
<file path=[Content_Types].xml><?xml version="1.0" encoding="utf-8"?>
<Types xmlns="http://schemas.openxmlformats.org/package/2006/content-types">
  <Default Extension="docx" ContentType="application/vnd.openxmlformats-officedocument.wordprocessingml.document"/>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jojo/Desktop/"/>
    </mc:Choice>
  </mc:AlternateContent>
  <xr:revisionPtr revIDLastSave="0" documentId="13_ncr:1_{E5627B45-FDB5-E947-8CA0-786FB6915654}" xr6:coauthVersionLast="47" xr6:coauthVersionMax="47" xr10:uidLastSave="{00000000-0000-0000-0000-000000000000}"/>
  <bookViews>
    <workbookView xWindow="0" yWindow="500" windowWidth="33600" windowHeight="20500" xr2:uid="{723E0006-D82E-E241-8C5F-09051360DF90}"/>
  </bookViews>
  <sheets>
    <sheet name="anagrafica" sheetId="1" r:id="rId1"/>
    <sheet name="calcs →" sheetId="22" r:id="rId2"/>
    <sheet name="REVENUE MODEL" sheetId="3" r:id="rId3"/>
    <sheet name="COSTI DI GESTIONE &amp; BEP" sheetId="6" r:id="rId4"/>
    <sheet name="HR" sheetId="7" r:id="rId5"/>
    <sheet name="INV" sheetId="8" r:id="rId6"/>
    <sheet name="CCN" sheetId="16" r:id="rId7"/>
    <sheet name="FONTI" sheetId="15" r:id="rId8"/>
    <sheet name="TAX" sheetId="23" r:id="rId9"/>
    <sheet name="incidenze" sheetId="11" r:id="rId10"/>
    <sheet name="main sheets →" sheetId="20" r:id="rId11"/>
    <sheet name="BP" sheetId="9" r:id="rId12"/>
    <sheet name="ANALISI" sheetId="10" r:id="rId13"/>
    <sheet name="RI" sheetId="17" r:id="rId14"/>
    <sheet name="extras →" sheetId="21" r:id="rId15"/>
    <sheet name="B. calcolo prezzi medi di vend" sheetId="4" r:id="rId16"/>
    <sheet name="B. linea prodotti Bomè" sheetId="5" r:id="rId17"/>
    <sheet name="C. bilanci" sheetId="12" r:id="rId18"/>
    <sheet name="D. Benchmark di settore" sheetId="19" r:id="rId19"/>
    <sheet name="D. situazione competitiva" sheetId="24"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0" l="1"/>
  <c r="M6" i="10"/>
  <c r="M7" i="10"/>
  <c r="M5" i="10"/>
  <c r="D54" i="16"/>
  <c r="D96" i="9"/>
  <c r="D95" i="9"/>
  <c r="E132" i="9"/>
  <c r="D128" i="9"/>
  <c r="D118" i="9"/>
  <c r="D125" i="9"/>
  <c r="D30" i="9"/>
  <c r="O18" i="6"/>
  <c r="P18" i="6"/>
  <c r="N18" i="6"/>
  <c r="N57" i="8"/>
  <c r="F15" i="8" s="1"/>
  <c r="M103" i="8"/>
  <c r="C22" i="15"/>
  <c r="E22" i="15"/>
  <c r="D22" i="15"/>
  <c r="E16" i="16"/>
  <c r="E78" i="9" s="1"/>
  <c r="F16" i="16"/>
  <c r="F65" i="11" s="1"/>
  <c r="D16" i="16"/>
  <c r="D65" i="11" s="1"/>
  <c r="E6" i="15"/>
  <c r="E43" i="9"/>
  <c r="F43" i="9"/>
  <c r="E51" i="9"/>
  <c r="F51" i="9"/>
  <c r="E73" i="9"/>
  <c r="F73" i="9"/>
  <c r="E77" i="9"/>
  <c r="F77" i="9"/>
  <c r="G75" i="15"/>
  <c r="H75" i="15"/>
  <c r="I75" i="15"/>
  <c r="F22" i="11" s="1"/>
  <c r="E5" i="15"/>
  <c r="D51" i="9" s="1"/>
  <c r="E20" i="15"/>
  <c r="D20" i="15"/>
  <c r="C20" i="15"/>
  <c r="F20" i="7"/>
  <c r="G25" i="6"/>
  <c r="S13" i="3"/>
  <c r="S12" i="3" s="1"/>
  <c r="S18" i="3"/>
  <c r="S17" i="3" s="1"/>
  <c r="S23" i="3"/>
  <c r="S22" i="3" s="1"/>
  <c r="S27" i="3"/>
  <c r="S28" i="3"/>
  <c r="S33" i="3"/>
  <c r="S32" i="3" s="1"/>
  <c r="D33" i="3"/>
  <c r="D32" i="3" s="1"/>
  <c r="D28" i="3"/>
  <c r="D27" i="3"/>
  <c r="D23" i="3"/>
  <c r="D22" i="3"/>
  <c r="D18" i="3"/>
  <c r="D17" i="3"/>
  <c r="D13" i="3"/>
  <c r="D12" i="3" s="1"/>
  <c r="E22" i="11"/>
  <c r="B94" i="9"/>
  <c r="I77" i="15"/>
  <c r="H77" i="15"/>
  <c r="G77" i="15"/>
  <c r="G78" i="15"/>
  <c r="F55" i="15"/>
  <c r="H78" i="15" s="1"/>
  <c r="F75" i="15"/>
  <c r="F76" i="15" s="1"/>
  <c r="G76" i="15" s="1"/>
  <c r="G73" i="15" s="1"/>
  <c r="C16" i="15" s="1"/>
  <c r="C42" i="15"/>
  <c r="M17" i="9"/>
  <c r="C76" i="9"/>
  <c r="M13" i="9" s="1"/>
  <c r="C75" i="9"/>
  <c r="M14" i="9" s="1"/>
  <c r="D75" i="15"/>
  <c r="D78" i="15" s="1"/>
  <c r="E75" i="15"/>
  <c r="E76" i="15" s="1"/>
  <c r="C75" i="15"/>
  <c r="C76" i="15" s="1"/>
  <c r="B151" i="8"/>
  <c r="K103" i="8"/>
  <c r="Q103" i="8" s="1"/>
  <c r="C66" i="9"/>
  <c r="C63" i="9" s="1"/>
  <c r="D66" i="9" s="1"/>
  <c r="D5" i="15"/>
  <c r="C32" i="16"/>
  <c r="D370" i="8"/>
  <c r="D373" i="8" s="1"/>
  <c r="D374" i="8" s="1"/>
  <c r="L151" i="8"/>
  <c r="M151" i="8" s="1"/>
  <c r="P151" i="8"/>
  <c r="D67" i="8"/>
  <c r="D68" i="8"/>
  <c r="D70" i="8" s="1"/>
  <c r="D71" i="8" s="1"/>
  <c r="C73" i="8"/>
  <c r="D124" i="8"/>
  <c r="E124" i="8"/>
  <c r="F124" i="8"/>
  <c r="G124" i="8"/>
  <c r="H124" i="8"/>
  <c r="I124" i="8"/>
  <c r="J124" i="8"/>
  <c r="M124" i="8" s="1"/>
  <c r="N124" i="8" s="1"/>
  <c r="O124" i="8" s="1"/>
  <c r="C124" i="8"/>
  <c r="B124" i="8"/>
  <c r="C66" i="8"/>
  <c r="C72" i="8" s="1"/>
  <c r="D66" i="8"/>
  <c r="E66" i="8"/>
  <c r="F66" i="8"/>
  <c r="G66" i="8"/>
  <c r="H66" i="8"/>
  <c r="I66" i="8"/>
  <c r="BS117" i="12"/>
  <c r="BR117" i="12"/>
  <c r="BQ117" i="12"/>
  <c r="BS118" i="12"/>
  <c r="BR118" i="12"/>
  <c r="BQ118" i="12"/>
  <c r="C5" i="15"/>
  <c r="E54" i="16"/>
  <c r="F54" i="16"/>
  <c r="B66" i="11"/>
  <c r="C15" i="16"/>
  <c r="C9" i="16"/>
  <c r="C7" i="16"/>
  <c r="C48" i="9" s="1"/>
  <c r="K6" i="9" s="1"/>
  <c r="J34" i="3"/>
  <c r="E9" i="6"/>
  <c r="BP230" i="12"/>
  <c r="BQ232" i="12"/>
  <c r="BR232" i="12"/>
  <c r="BQ230" i="12"/>
  <c r="BR230" i="12"/>
  <c r="BR231" i="12"/>
  <c r="BQ231" i="12"/>
  <c r="E11" i="6"/>
  <c r="D59" i="6"/>
  <c r="C63" i="11"/>
  <c r="D26" i="6"/>
  <c r="D5" i="23"/>
  <c r="E5" i="23"/>
  <c r="F5" i="23"/>
  <c r="D10" i="23"/>
  <c r="E10" i="23"/>
  <c r="F10" i="23"/>
  <c r="C10" i="23"/>
  <c r="C5" i="23"/>
  <c r="L43" i="8"/>
  <c r="L44" i="8"/>
  <c r="L45" i="8"/>
  <c r="L46" i="8"/>
  <c r="L47" i="8"/>
  <c r="L48" i="8"/>
  <c r="L49" i="8"/>
  <c r="L50" i="8"/>
  <c r="L51" i="8"/>
  <c r="L52" i="8"/>
  <c r="L53" i="8"/>
  <c r="L54" i="8"/>
  <c r="L55" i="8"/>
  <c r="L56" i="8"/>
  <c r="L57" i="8"/>
  <c r="L58" i="8"/>
  <c r="L59" i="8"/>
  <c r="L60" i="8"/>
  <c r="L61" i="8"/>
  <c r="L62" i="8"/>
  <c r="L63" i="8"/>
  <c r="L64" i="8"/>
  <c r="L65" i="8"/>
  <c r="L42" i="8"/>
  <c r="N65" i="8"/>
  <c r="G8" i="8"/>
  <c r="H8" i="8"/>
  <c r="AE6" i="19"/>
  <c r="T15" i="19"/>
  <c r="U15" i="19"/>
  <c r="W15" i="19"/>
  <c r="AG15" i="19"/>
  <c r="AG20" i="19" s="1"/>
  <c r="AH15" i="19"/>
  <c r="AH20" i="19" s="1"/>
  <c r="AI15" i="19"/>
  <c r="AI20" i="19" s="1"/>
  <c r="AE11" i="19"/>
  <c r="AF11" i="19"/>
  <c r="AE12" i="19"/>
  <c r="AF12" i="19"/>
  <c r="AE13" i="19"/>
  <c r="AF13" i="19"/>
  <c r="AE14" i="19"/>
  <c r="AF14" i="19"/>
  <c r="AE10" i="19"/>
  <c r="AF10" i="19"/>
  <c r="AF8" i="19"/>
  <c r="AE8" i="19"/>
  <c r="AF6" i="19"/>
  <c r="AD11" i="19"/>
  <c r="AD13" i="19"/>
  <c r="AD14" i="19"/>
  <c r="AD10" i="19"/>
  <c r="AD8" i="19"/>
  <c r="AD6" i="19"/>
  <c r="AC12" i="19"/>
  <c r="AC13" i="19"/>
  <c r="AC14" i="19"/>
  <c r="AC11" i="19"/>
  <c r="AC10" i="19"/>
  <c r="AC8" i="19"/>
  <c r="AC6" i="19"/>
  <c r="AA11" i="19"/>
  <c r="O11" i="19" s="1"/>
  <c r="AA12" i="19"/>
  <c r="O12" i="19" s="1"/>
  <c r="AA13" i="19"/>
  <c r="O13" i="19" s="1"/>
  <c r="AA14" i="19"/>
  <c r="O14" i="19" s="1"/>
  <c r="AA10" i="19"/>
  <c r="O10" i="19" s="1"/>
  <c r="AA8" i="19"/>
  <c r="O8" i="19" s="1"/>
  <c r="AA6" i="19"/>
  <c r="Z11" i="19"/>
  <c r="Z12" i="19"/>
  <c r="Z13" i="19"/>
  <c r="Z14" i="19"/>
  <c r="Z10" i="19"/>
  <c r="Z8" i="19"/>
  <c r="Z6" i="19"/>
  <c r="V7" i="19"/>
  <c r="X7" i="19" s="1"/>
  <c r="V8" i="19"/>
  <c r="X8" i="19" s="1"/>
  <c r="V9" i="19"/>
  <c r="Y9" i="19" s="1"/>
  <c r="V10" i="19"/>
  <c r="Y10" i="19" s="1"/>
  <c r="V11" i="19"/>
  <c r="Y11" i="19" s="1"/>
  <c r="V12" i="19"/>
  <c r="Y12" i="19" s="1"/>
  <c r="V13" i="19"/>
  <c r="X13" i="19" s="1"/>
  <c r="V14" i="19"/>
  <c r="Y14" i="19" s="1"/>
  <c r="V6" i="19"/>
  <c r="S11" i="19"/>
  <c r="S12" i="19"/>
  <c r="S13" i="19"/>
  <c r="S14" i="19"/>
  <c r="S10" i="19"/>
  <c r="S6" i="19"/>
  <c r="R11" i="19"/>
  <c r="R12" i="19"/>
  <c r="R13" i="19"/>
  <c r="R14" i="19"/>
  <c r="R10" i="19"/>
  <c r="R8" i="19"/>
  <c r="R6" i="19"/>
  <c r="Q11" i="19"/>
  <c r="Q12" i="19"/>
  <c r="Q13" i="19"/>
  <c r="Q14" i="19"/>
  <c r="Q10" i="19"/>
  <c r="Q6" i="19"/>
  <c r="P11" i="19"/>
  <c r="P12" i="19"/>
  <c r="P13" i="19"/>
  <c r="P14" i="19"/>
  <c r="P10" i="19"/>
  <c r="P6" i="19"/>
  <c r="I12" i="19"/>
  <c r="AB12" i="19" s="1"/>
  <c r="K12" i="19"/>
  <c r="AD12" i="19" s="1"/>
  <c r="I10" i="19"/>
  <c r="AB10" i="19" s="1"/>
  <c r="I6" i="19"/>
  <c r="AB6" i="19" s="1"/>
  <c r="I11" i="19"/>
  <c r="AB11" i="19" s="1"/>
  <c r="I13" i="19"/>
  <c r="AB13" i="19" s="1"/>
  <c r="I14" i="19"/>
  <c r="AB14" i="19" s="1"/>
  <c r="I8" i="19"/>
  <c r="AB8" i="19" s="1"/>
  <c r="P8" i="19"/>
  <c r="AF7" i="19"/>
  <c r="AE7" i="19"/>
  <c r="AD7" i="19"/>
  <c r="AC7" i="19"/>
  <c r="AB7" i="19"/>
  <c r="AA7" i="19"/>
  <c r="O7" i="19" s="1"/>
  <c r="Z7" i="19"/>
  <c r="R7" i="19"/>
  <c r="Q7" i="19"/>
  <c r="P7" i="19"/>
  <c r="AE9" i="19"/>
  <c r="AF9" i="19"/>
  <c r="AB9" i="19"/>
  <c r="AA9" i="19"/>
  <c r="O9" i="19" s="1"/>
  <c r="Z9" i="19"/>
  <c r="S9" i="19"/>
  <c r="R9" i="19"/>
  <c r="Q9" i="19"/>
  <c r="P9" i="19"/>
  <c r="D9" i="19" s="1"/>
  <c r="AD9" i="19" s="1"/>
  <c r="F78" i="9" l="1"/>
  <c r="E65" i="11"/>
  <c r="R103" i="8"/>
  <c r="Q127" i="8"/>
  <c r="G74" i="15"/>
  <c r="E45" i="15" s="1"/>
  <c r="E46" i="15" s="1"/>
  <c r="M36" i="9"/>
  <c r="D76" i="9" s="1"/>
  <c r="D24" i="11"/>
  <c r="E78" i="15"/>
  <c r="C55" i="15" s="1"/>
  <c r="D22" i="11"/>
  <c r="K40" i="9"/>
  <c r="E41" i="15"/>
  <c r="C78" i="15"/>
  <c r="D76" i="15"/>
  <c r="H76" i="15"/>
  <c r="M12" i="9"/>
  <c r="N103" i="8"/>
  <c r="O103" i="8" s="1"/>
  <c r="AI21" i="19"/>
  <c r="J5" i="10"/>
  <c r="AH21" i="19"/>
  <c r="J6" i="10"/>
  <c r="J7" i="10"/>
  <c r="AG21" i="19"/>
  <c r="Z15" i="19"/>
  <c r="H26" i="11" s="1"/>
  <c r="V15" i="19"/>
  <c r="AA15" i="19"/>
  <c r="H46" i="11" s="1"/>
  <c r="AE15" i="19"/>
  <c r="H58" i="11" s="1"/>
  <c r="X12" i="19"/>
  <c r="R15" i="19"/>
  <c r="H11" i="11" s="1"/>
  <c r="AD15" i="19"/>
  <c r="H61" i="11" s="1"/>
  <c r="X11" i="19"/>
  <c r="P15" i="19"/>
  <c r="H9" i="11" s="1"/>
  <c r="S15" i="19"/>
  <c r="H13" i="11" s="1"/>
  <c r="Y13" i="19"/>
  <c r="X10" i="19"/>
  <c r="X9" i="19"/>
  <c r="O6" i="19"/>
  <c r="O15" i="19" s="1"/>
  <c r="H49" i="11" s="1"/>
  <c r="AF15" i="19"/>
  <c r="H67" i="11" s="1"/>
  <c r="X6" i="19"/>
  <c r="C64" i="11"/>
  <c r="AB15" i="19"/>
  <c r="H50" i="11" s="1"/>
  <c r="Y6" i="19"/>
  <c r="Y7" i="19"/>
  <c r="Q8" i="19"/>
  <c r="Q15" i="19" s="1"/>
  <c r="H10" i="11" s="1"/>
  <c r="Y8" i="19"/>
  <c r="AC9" i="19"/>
  <c r="AC15" i="19" s="1"/>
  <c r="H56" i="11" s="1"/>
  <c r="C65" i="11"/>
  <c r="C16" i="16" s="1"/>
  <c r="C78" i="9" s="1"/>
  <c r="M7" i="9" s="1"/>
  <c r="C52" i="11"/>
  <c r="C51" i="11" s="1"/>
  <c r="C10" i="16" s="1"/>
  <c r="C50" i="9" s="1"/>
  <c r="K8" i="9" s="1"/>
  <c r="C8" i="16"/>
  <c r="C29" i="9"/>
  <c r="D15" i="6"/>
  <c r="C14" i="9" s="1"/>
  <c r="E20" i="7"/>
  <c r="D33" i="11"/>
  <c r="E33" i="11" s="1"/>
  <c r="D61" i="15"/>
  <c r="C61" i="15"/>
  <c r="C45" i="15" s="1"/>
  <c r="D60" i="15"/>
  <c r="C60" i="15"/>
  <c r="C41" i="15" s="1"/>
  <c r="D369" i="8"/>
  <c r="C369" i="8"/>
  <c r="C370" i="8"/>
  <c r="C373" i="8" s="1"/>
  <c r="G192" i="8"/>
  <c r="F192" i="8"/>
  <c r="E192" i="8"/>
  <c r="D192" i="8"/>
  <c r="C192" i="8"/>
  <c r="K190" i="8"/>
  <c r="H190" i="8"/>
  <c r="E369" i="8" s="1"/>
  <c r="G189" i="8"/>
  <c r="F189" i="8"/>
  <c r="E189" i="8"/>
  <c r="D189" i="8"/>
  <c r="G187" i="8"/>
  <c r="F187" i="8"/>
  <c r="E187" i="8"/>
  <c r="D187" i="8"/>
  <c r="C33" i="9"/>
  <c r="N9" i="6"/>
  <c r="E30" i="6"/>
  <c r="F30" i="6" s="1"/>
  <c r="G30" i="6" s="1"/>
  <c r="E37" i="6"/>
  <c r="F37" i="6" s="1"/>
  <c r="G37" i="6" s="1"/>
  <c r="F32" i="6"/>
  <c r="G32" i="6" s="1"/>
  <c r="E26" i="7"/>
  <c r="F26" i="7" s="1"/>
  <c r="G26" i="7" s="1"/>
  <c r="H26" i="7" s="1"/>
  <c r="G25" i="7"/>
  <c r="H25" i="7" s="1"/>
  <c r="E25" i="7"/>
  <c r="E24" i="7"/>
  <c r="E23" i="7"/>
  <c r="E22" i="7"/>
  <c r="E52" i="7" s="1"/>
  <c r="D27" i="7"/>
  <c r="E435" i="7"/>
  <c r="H435" i="7" s="1"/>
  <c r="K435" i="7" s="1"/>
  <c r="N435" i="7" s="1"/>
  <c r="E140" i="7"/>
  <c r="D19" i="7"/>
  <c r="D17" i="7"/>
  <c r="D16" i="7"/>
  <c r="D15" i="7"/>
  <c r="D14" i="7"/>
  <c r="D13" i="7"/>
  <c r="D12" i="7"/>
  <c r="D9" i="7"/>
  <c r="D8" i="7"/>
  <c r="D7" i="7"/>
  <c r="B10" i="7"/>
  <c r="B9" i="7"/>
  <c r="B19" i="7"/>
  <c r="B16" i="7"/>
  <c r="B15" i="7"/>
  <c r="B14" i="7"/>
  <c r="B13" i="7"/>
  <c r="B12" i="7"/>
  <c r="B8" i="7"/>
  <c r="B7" i="7"/>
  <c r="K437" i="7"/>
  <c r="H437" i="7"/>
  <c r="E31" i="23" s="1"/>
  <c r="H31" i="23" s="1"/>
  <c r="K31" i="23" s="1"/>
  <c r="N31" i="23" s="1"/>
  <c r="E437" i="7"/>
  <c r="D31" i="23" s="1"/>
  <c r="G31" i="23" s="1"/>
  <c r="J31" i="23" s="1"/>
  <c r="M31" i="23" s="1"/>
  <c r="G393" i="7"/>
  <c r="E393" i="7"/>
  <c r="Q393" i="7"/>
  <c r="L393" i="7"/>
  <c r="O393" i="7"/>
  <c r="J393" i="7"/>
  <c r="K481" i="7"/>
  <c r="F32" i="23" s="1"/>
  <c r="I32" i="23" s="1"/>
  <c r="L32" i="23" s="1"/>
  <c r="O32" i="23" s="1"/>
  <c r="H481" i="7"/>
  <c r="E32" i="23" s="1"/>
  <c r="H32" i="23" s="1"/>
  <c r="K32" i="23" s="1"/>
  <c r="N32" i="23" s="1"/>
  <c r="E481" i="7"/>
  <c r="D32" i="23" s="1"/>
  <c r="G32" i="23" s="1"/>
  <c r="J32" i="23" s="1"/>
  <c r="M32" i="23" s="1"/>
  <c r="E474" i="7"/>
  <c r="B11" i="7" s="1"/>
  <c r="G391" i="7"/>
  <c r="L391" i="7" s="1"/>
  <c r="Q391" i="7" s="1"/>
  <c r="V391" i="7" s="1"/>
  <c r="E391" i="7"/>
  <c r="J391" i="7" s="1"/>
  <c r="O391" i="7" s="1"/>
  <c r="T391" i="7" s="1"/>
  <c r="E259" i="7"/>
  <c r="H259" i="7" s="1"/>
  <c r="E349" i="7"/>
  <c r="D28" i="23" s="1"/>
  <c r="G28" i="23" s="1"/>
  <c r="J28" i="23" s="1"/>
  <c r="M28" i="23" s="1"/>
  <c r="K349" i="7"/>
  <c r="F28" i="23" s="1"/>
  <c r="I28" i="23" s="1"/>
  <c r="L28" i="23" s="1"/>
  <c r="O28" i="23" s="1"/>
  <c r="H349" i="7"/>
  <c r="E342" i="7"/>
  <c r="E347" i="7" s="1"/>
  <c r="H347" i="7" s="1"/>
  <c r="K347" i="7" s="1"/>
  <c r="N347" i="7" s="1"/>
  <c r="D474" i="7"/>
  <c r="D11" i="7" s="1"/>
  <c r="D430" i="7"/>
  <c r="D10" i="7" s="1"/>
  <c r="D342" i="7"/>
  <c r="D18" i="7" s="1"/>
  <c r="K305" i="7"/>
  <c r="H305" i="7"/>
  <c r="E305" i="7"/>
  <c r="E298" i="7"/>
  <c r="E303" i="7" s="1"/>
  <c r="H303" i="7" s="1"/>
  <c r="K303" i="7" s="1"/>
  <c r="N303" i="7" s="1"/>
  <c r="K261" i="7"/>
  <c r="H261" i="7"/>
  <c r="E261" i="7"/>
  <c r="L217" i="7"/>
  <c r="Q217" i="7"/>
  <c r="O217" i="7"/>
  <c r="J217" i="7"/>
  <c r="G217" i="7"/>
  <c r="E217" i="7"/>
  <c r="G215" i="7"/>
  <c r="L215" i="7" s="1"/>
  <c r="Q215" i="7" s="1"/>
  <c r="V215" i="7" s="1"/>
  <c r="E215" i="7"/>
  <c r="J215" i="7" s="1"/>
  <c r="O215" i="7" s="1"/>
  <c r="T215" i="7" s="1"/>
  <c r="Q173" i="7"/>
  <c r="O173" i="7"/>
  <c r="L173" i="7"/>
  <c r="J173" i="7"/>
  <c r="G173" i="7"/>
  <c r="E173" i="7"/>
  <c r="L171" i="7"/>
  <c r="Q171" i="7" s="1"/>
  <c r="V171" i="7" s="1"/>
  <c r="E171" i="7"/>
  <c r="J171" i="7" s="1"/>
  <c r="O171" i="7" s="1"/>
  <c r="T171" i="7" s="1"/>
  <c r="Q176" i="7"/>
  <c r="R176" i="7" s="1"/>
  <c r="V129" i="7"/>
  <c r="V132" i="7" s="1"/>
  <c r="W132" i="7" s="1"/>
  <c r="T129" i="7"/>
  <c r="T131" i="7" s="1"/>
  <c r="U131" i="7" s="1"/>
  <c r="Q129" i="7"/>
  <c r="Q130" i="7" s="1"/>
  <c r="R130" i="7" s="1"/>
  <c r="O129" i="7"/>
  <c r="P129" i="7" s="1"/>
  <c r="L129" i="7"/>
  <c r="L131" i="7" s="1"/>
  <c r="M131" i="7" s="1"/>
  <c r="J129" i="7"/>
  <c r="J132" i="7" s="1"/>
  <c r="K132" i="7" s="1"/>
  <c r="G129" i="7"/>
  <c r="G131" i="7" s="1"/>
  <c r="H131" i="7" s="1"/>
  <c r="E129" i="7"/>
  <c r="E132" i="7" s="1"/>
  <c r="F132" i="7" s="1"/>
  <c r="J67" i="7"/>
  <c r="J69" i="7" s="1"/>
  <c r="I67" i="7"/>
  <c r="I69" i="7" s="1"/>
  <c r="K71" i="7"/>
  <c r="K67" i="7"/>
  <c r="K69" i="7" s="1"/>
  <c r="H72" i="7"/>
  <c r="G72" i="7"/>
  <c r="L71" i="7"/>
  <c r="L67" i="7"/>
  <c r="L69" i="7" s="1"/>
  <c r="D14" i="6"/>
  <c r="D64" i="9"/>
  <c r="C74" i="9"/>
  <c r="D73" i="9"/>
  <c r="C73" i="9"/>
  <c r="D62" i="9"/>
  <c r="C44" i="9"/>
  <c r="K13" i="9" s="1"/>
  <c r="C43" i="9"/>
  <c r="K14" i="9" s="1"/>
  <c r="O63" i="8"/>
  <c r="O55" i="8"/>
  <c r="P55" i="8" s="1"/>
  <c r="C45" i="9"/>
  <c r="D28" i="9"/>
  <c r="D98" i="9" s="1"/>
  <c r="E28" i="9"/>
  <c r="E98" i="9" s="1"/>
  <c r="F28" i="9"/>
  <c r="F98" i="9" s="1"/>
  <c r="C28" i="9"/>
  <c r="C20" i="9"/>
  <c r="C12" i="9"/>
  <c r="C10" i="9"/>
  <c r="C23" i="9" s="1"/>
  <c r="C35" i="9" s="1"/>
  <c r="C24" i="11"/>
  <c r="C43" i="15"/>
  <c r="E62" i="15"/>
  <c r="F62" i="15" s="1"/>
  <c r="G62" i="15" s="1"/>
  <c r="F348" i="8"/>
  <c r="E348" i="8"/>
  <c r="D348" i="8"/>
  <c r="F347" i="8"/>
  <c r="E347" i="8"/>
  <c r="D347" i="8"/>
  <c r="C348" i="8"/>
  <c r="D42" i="15" s="1"/>
  <c r="D43" i="15" s="1"/>
  <c r="C347" i="8"/>
  <c r="H335" i="8"/>
  <c r="H336" i="8"/>
  <c r="H337" i="8"/>
  <c r="H338" i="8"/>
  <c r="H339" i="8"/>
  <c r="H340" i="8"/>
  <c r="H341" i="8"/>
  <c r="H334" i="8"/>
  <c r="H321" i="8"/>
  <c r="H322" i="8"/>
  <c r="H323" i="8"/>
  <c r="H324" i="8"/>
  <c r="H325" i="8"/>
  <c r="H326" i="8"/>
  <c r="H327" i="8"/>
  <c r="H320"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284"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52"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16" i="8"/>
  <c r="I331" i="8"/>
  <c r="H331" i="8"/>
  <c r="D331" i="8"/>
  <c r="I317" i="8"/>
  <c r="H317" i="8"/>
  <c r="D317" i="8"/>
  <c r="I281" i="8"/>
  <c r="H281" i="8"/>
  <c r="D281" i="8"/>
  <c r="I249" i="8"/>
  <c r="H249" i="8"/>
  <c r="D249" i="8"/>
  <c r="I213" i="8"/>
  <c r="H213" i="8"/>
  <c r="D213" i="8"/>
  <c r="C17" i="16"/>
  <c r="D30" i="11"/>
  <c r="E30" i="11"/>
  <c r="F30" i="11"/>
  <c r="C30" i="11"/>
  <c r="B139" i="8"/>
  <c r="C139" i="8"/>
  <c r="D139" i="8"/>
  <c r="B140" i="8"/>
  <c r="C140" i="8"/>
  <c r="D140" i="8"/>
  <c r="E140" i="8"/>
  <c r="F140" i="8"/>
  <c r="N140" i="8"/>
  <c r="B141" i="8"/>
  <c r="C141" i="8"/>
  <c r="D141" i="8"/>
  <c r="E141" i="8"/>
  <c r="F141" i="8"/>
  <c r="G141" i="8"/>
  <c r="N141" i="8"/>
  <c r="B142" i="8"/>
  <c r="C142" i="8"/>
  <c r="D142" i="8"/>
  <c r="E142" i="8"/>
  <c r="F142" i="8"/>
  <c r="G142" i="8"/>
  <c r="H142" i="8"/>
  <c r="N142" i="8"/>
  <c r="B143" i="8"/>
  <c r="C143" i="8"/>
  <c r="D143" i="8"/>
  <c r="E143" i="8"/>
  <c r="F143" i="8"/>
  <c r="G143" i="8"/>
  <c r="H143" i="8"/>
  <c r="I143" i="8"/>
  <c r="N143" i="8"/>
  <c r="B146" i="8"/>
  <c r="C146" i="8"/>
  <c r="K146" i="8"/>
  <c r="L146" i="8"/>
  <c r="M146" i="8"/>
  <c r="N146" i="8"/>
  <c r="B147" i="8"/>
  <c r="C147" i="8"/>
  <c r="D147" i="8"/>
  <c r="E147" i="8"/>
  <c r="N147" i="8"/>
  <c r="B148" i="8"/>
  <c r="C148" i="8"/>
  <c r="D148" i="8"/>
  <c r="E148" i="8"/>
  <c r="F148" i="8"/>
  <c r="N148" i="8"/>
  <c r="B149" i="8"/>
  <c r="C149" i="8"/>
  <c r="D149" i="8"/>
  <c r="E149" i="8"/>
  <c r="F149" i="8"/>
  <c r="G149" i="8"/>
  <c r="N149" i="8"/>
  <c r="B150" i="8"/>
  <c r="C150" i="8"/>
  <c r="D150" i="8"/>
  <c r="E150" i="8"/>
  <c r="F150" i="8"/>
  <c r="G150" i="8"/>
  <c r="H150" i="8"/>
  <c r="L150" i="8"/>
  <c r="M150" i="8"/>
  <c r="N150" i="8"/>
  <c r="B154" i="8"/>
  <c r="C154" i="8"/>
  <c r="N154" i="8"/>
  <c r="B156" i="8"/>
  <c r="C156" i="8"/>
  <c r="J156" i="8"/>
  <c r="K156" i="8"/>
  <c r="L156" i="8"/>
  <c r="M156" i="8"/>
  <c r="N156" i="8"/>
  <c r="B157" i="8"/>
  <c r="C157" i="8"/>
  <c r="D157" i="8"/>
  <c r="E157" i="8"/>
  <c r="N157" i="8"/>
  <c r="B158" i="8"/>
  <c r="C158" i="8"/>
  <c r="D158" i="8"/>
  <c r="E158" i="8"/>
  <c r="F158" i="8"/>
  <c r="N158" i="8"/>
  <c r="B159" i="8"/>
  <c r="C159" i="8"/>
  <c r="D159" i="8"/>
  <c r="E159" i="8"/>
  <c r="F159" i="8"/>
  <c r="G159" i="8"/>
  <c r="N159" i="8"/>
  <c r="B160" i="8"/>
  <c r="C160" i="8"/>
  <c r="D160" i="8"/>
  <c r="E160" i="8"/>
  <c r="F160" i="8"/>
  <c r="G160" i="8"/>
  <c r="H160" i="8"/>
  <c r="N160" i="8"/>
  <c r="B161" i="8"/>
  <c r="C161" i="8"/>
  <c r="D161" i="8"/>
  <c r="E161" i="8"/>
  <c r="F161" i="8"/>
  <c r="G161" i="8"/>
  <c r="H161" i="8"/>
  <c r="I161" i="8"/>
  <c r="N161" i="8"/>
  <c r="B164" i="8"/>
  <c r="D164" i="8"/>
  <c r="E164" i="8"/>
  <c r="F164" i="8"/>
  <c r="G164" i="8"/>
  <c r="H164" i="8"/>
  <c r="I164" i="8"/>
  <c r="J164" i="8"/>
  <c r="K164" i="8"/>
  <c r="L164" i="8"/>
  <c r="M164" i="8"/>
  <c r="N164" i="8"/>
  <c r="B165" i="8"/>
  <c r="G165" i="8"/>
  <c r="H165" i="8"/>
  <c r="I165" i="8"/>
  <c r="J165" i="8"/>
  <c r="K165" i="8"/>
  <c r="L165" i="8"/>
  <c r="M165" i="8"/>
  <c r="N165" i="8"/>
  <c r="B166" i="8"/>
  <c r="C166" i="8"/>
  <c r="D166" i="8"/>
  <c r="J166" i="8"/>
  <c r="K166" i="8"/>
  <c r="L166" i="8"/>
  <c r="M166" i="8"/>
  <c r="N166" i="8"/>
  <c r="B167" i="8"/>
  <c r="C167" i="8"/>
  <c r="D167" i="8"/>
  <c r="E167" i="8"/>
  <c r="K167" i="8"/>
  <c r="L167" i="8"/>
  <c r="M167" i="8"/>
  <c r="N167" i="8"/>
  <c r="B168" i="8"/>
  <c r="C168" i="8"/>
  <c r="D168" i="8"/>
  <c r="E168" i="8"/>
  <c r="F168" i="8"/>
  <c r="N168" i="8"/>
  <c r="B136" i="8"/>
  <c r="C136" i="8"/>
  <c r="D136" i="8"/>
  <c r="E136" i="8"/>
  <c r="F136" i="8"/>
  <c r="G136" i="8"/>
  <c r="H136" i="8"/>
  <c r="I136" i="8"/>
  <c r="N136" i="8"/>
  <c r="D135" i="8"/>
  <c r="E135" i="8"/>
  <c r="F135" i="8"/>
  <c r="G135" i="8"/>
  <c r="M134" i="8"/>
  <c r="E134" i="8"/>
  <c r="F134" i="8"/>
  <c r="G134" i="8"/>
  <c r="D134" i="8"/>
  <c r="D133" i="8"/>
  <c r="U126" i="8"/>
  <c r="U107" i="8"/>
  <c r="U98" i="8"/>
  <c r="U91" i="8"/>
  <c r="U88" i="8"/>
  <c r="U87" i="8"/>
  <c r="U85" i="8"/>
  <c r="N133" i="8"/>
  <c r="L133" i="8"/>
  <c r="M133" i="8"/>
  <c r="E133" i="8"/>
  <c r="F133" i="8"/>
  <c r="C133" i="8"/>
  <c r="C18" i="11"/>
  <c r="C19" i="9" s="1"/>
  <c r="D8" i="11"/>
  <c r="C8" i="11"/>
  <c r="D28" i="8"/>
  <c r="C28" i="8"/>
  <c r="G22" i="8"/>
  <c r="G23" i="8" s="1"/>
  <c r="H22" i="8"/>
  <c r="H23" i="8" s="1"/>
  <c r="F22" i="8"/>
  <c r="F23" i="8" s="1"/>
  <c r="E96" i="8"/>
  <c r="F96" i="8"/>
  <c r="D96" i="8"/>
  <c r="C96" i="8"/>
  <c r="E89" i="8"/>
  <c r="F89" i="8"/>
  <c r="D89" i="8"/>
  <c r="C89" i="8"/>
  <c r="D122" i="8"/>
  <c r="E119" i="8"/>
  <c r="U119" i="8" s="1"/>
  <c r="K118" i="8"/>
  <c r="C118" i="8" s="1"/>
  <c r="C117" i="8" s="1"/>
  <c r="C122" i="8" s="1"/>
  <c r="C115" i="8"/>
  <c r="K107" i="8"/>
  <c r="D107" i="8" s="1"/>
  <c r="D154" i="8" s="1"/>
  <c r="D105" i="8"/>
  <c r="E105" i="8"/>
  <c r="C105" i="8"/>
  <c r="K98" i="8"/>
  <c r="F98" i="8" s="1"/>
  <c r="F146" i="8" s="1"/>
  <c r="K91" i="8"/>
  <c r="L91" i="8" s="1"/>
  <c r="N139" i="8" s="1"/>
  <c r="K88" i="8"/>
  <c r="M88" i="8" s="1"/>
  <c r="N88" i="8" s="1"/>
  <c r="O88" i="8" s="1"/>
  <c r="H10" i="8" s="1"/>
  <c r="K87" i="8"/>
  <c r="M87" i="8" s="1"/>
  <c r="F9" i="8" s="1"/>
  <c r="G85" i="8"/>
  <c r="H85" i="8" s="1"/>
  <c r="H133" i="8" s="1"/>
  <c r="C23" i="8"/>
  <c r="D22" i="8"/>
  <c r="E22" i="8" s="1"/>
  <c r="E23" i="8" s="1"/>
  <c r="D19" i="8"/>
  <c r="E19" i="8"/>
  <c r="C19" i="8"/>
  <c r="D11" i="8"/>
  <c r="C11" i="8"/>
  <c r="E11" i="8"/>
  <c r="N45" i="6"/>
  <c r="N51" i="6" s="1"/>
  <c r="D43" i="6"/>
  <c r="E43" i="6" s="1"/>
  <c r="D45" i="6"/>
  <c r="E45" i="6" s="1"/>
  <c r="F45" i="6" s="1"/>
  <c r="G45" i="6" s="1"/>
  <c r="E41" i="6"/>
  <c r="F41" i="6" s="1"/>
  <c r="G41" i="6" s="1"/>
  <c r="F12" i="9" s="1"/>
  <c r="E27" i="6"/>
  <c r="F27" i="6"/>
  <c r="G27" i="6"/>
  <c r="E28" i="6"/>
  <c r="F28" i="6"/>
  <c r="G28" i="6"/>
  <c r="P17" i="6"/>
  <c r="F25" i="6"/>
  <c r="O17" i="6" s="1"/>
  <c r="E25" i="6"/>
  <c r="N17" i="6" s="1"/>
  <c r="F79" i="6"/>
  <c r="D79" i="6"/>
  <c r="H76" i="6"/>
  <c r="G76" i="6"/>
  <c r="D76" i="6"/>
  <c r="H73" i="6"/>
  <c r="G73" i="6"/>
  <c r="F73" i="6"/>
  <c r="K34" i="3"/>
  <c r="D23" i="6"/>
  <c r="D25" i="6"/>
  <c r="D28" i="6"/>
  <c r="D27" i="6"/>
  <c r="E70" i="6"/>
  <c r="D70" i="6"/>
  <c r="C70" i="6"/>
  <c r="B70" i="6"/>
  <c r="B73" i="6" s="1"/>
  <c r="B76" i="6" s="1"/>
  <c r="E49" i="6"/>
  <c r="F49" i="6" s="1"/>
  <c r="G49" i="6" s="1"/>
  <c r="E48" i="6"/>
  <c r="F48" i="6" s="1"/>
  <c r="E20" i="9" s="1"/>
  <c r="E97" i="9" s="1"/>
  <c r="F31" i="7"/>
  <c r="G31" i="7" s="1"/>
  <c r="H31" i="7" s="1"/>
  <c r="E30" i="7"/>
  <c r="F30" i="7" s="1"/>
  <c r="G30" i="7" s="1"/>
  <c r="H30" i="7" s="1"/>
  <c r="E32" i="7"/>
  <c r="F32" i="7" s="1"/>
  <c r="G32" i="7" s="1"/>
  <c r="E29" i="7"/>
  <c r="D33" i="7"/>
  <c r="D50" i="6"/>
  <c r="AG15" i="12"/>
  <c r="J31" i="3"/>
  <c r="I133" i="5"/>
  <c r="M133" i="5" s="1"/>
  <c r="J125" i="5" s="1"/>
  <c r="L132" i="5"/>
  <c r="J132" i="5"/>
  <c r="K131" i="5"/>
  <c r="J131" i="5"/>
  <c r="I131" i="5"/>
  <c r="I132" i="5"/>
  <c r="I130" i="5"/>
  <c r="J130" i="5"/>
  <c r="I129" i="5"/>
  <c r="M129" i="5" s="1"/>
  <c r="R84" i="5"/>
  <c r="P84" i="5"/>
  <c r="O84" i="5"/>
  <c r="J87" i="5"/>
  <c r="K87" i="5"/>
  <c r="L87" i="5"/>
  <c r="M87" i="5"/>
  <c r="I87" i="5"/>
  <c r="N86" i="5"/>
  <c r="N85" i="5"/>
  <c r="N84" i="5"/>
  <c r="Q84" i="5" s="1"/>
  <c r="I78" i="5"/>
  <c r="J76" i="5" s="1"/>
  <c r="K144" i="4"/>
  <c r="K139" i="4"/>
  <c r="K138" i="4"/>
  <c r="K134" i="4"/>
  <c r="K132" i="4"/>
  <c r="J144" i="4"/>
  <c r="J139" i="4"/>
  <c r="J138" i="4"/>
  <c r="J134" i="4"/>
  <c r="L134" i="4" s="1"/>
  <c r="J132" i="4"/>
  <c r="AA30" i="4"/>
  <c r="AA29" i="4"/>
  <c r="AA26" i="4"/>
  <c r="AA25" i="4"/>
  <c r="AA24" i="4"/>
  <c r="AA23" i="4"/>
  <c r="AA22" i="4"/>
  <c r="AA21" i="4"/>
  <c r="AA20" i="4"/>
  <c r="AA19" i="4"/>
  <c r="AA18" i="4"/>
  <c r="AA17" i="4"/>
  <c r="AA16" i="4"/>
  <c r="AA15" i="4"/>
  <c r="AA14" i="4"/>
  <c r="Y13" i="4"/>
  <c r="AA12" i="4"/>
  <c r="AA11" i="4"/>
  <c r="AA10" i="4"/>
  <c r="AA9" i="4"/>
  <c r="V15" i="4"/>
  <c r="V14" i="4"/>
  <c r="V10" i="4"/>
  <c r="V9" i="4"/>
  <c r="V8" i="4"/>
  <c r="V7" i="4"/>
  <c r="V6" i="4"/>
  <c r="Q24" i="4"/>
  <c r="Q23" i="4"/>
  <c r="Q21" i="4"/>
  <c r="K140" i="4" s="1"/>
  <c r="Q6" i="4"/>
  <c r="J137" i="4" s="1"/>
  <c r="L27" i="4"/>
  <c r="L26" i="4"/>
  <c r="L23" i="4"/>
  <c r="L22" i="4"/>
  <c r="L10" i="4"/>
  <c r="J133" i="4" s="1"/>
  <c r="F175" i="4"/>
  <c r="F174" i="4"/>
  <c r="F26" i="4"/>
  <c r="F25" i="4"/>
  <c r="F16" i="4"/>
  <c r="F15" i="4"/>
  <c r="F24" i="4"/>
  <c r="F11" i="4"/>
  <c r="F132" i="4"/>
  <c r="F131" i="4"/>
  <c r="F128" i="4"/>
  <c r="F38" i="4"/>
  <c r="F9" i="4"/>
  <c r="F7" i="4"/>
  <c r="F8" i="4"/>
  <c r="F178" i="4"/>
  <c r="F177" i="4"/>
  <c r="F176" i="4"/>
  <c r="F139" i="4"/>
  <c r="F135" i="4"/>
  <c r="F155" i="4"/>
  <c r="F134" i="4"/>
  <c r="F154" i="4"/>
  <c r="F153" i="4"/>
  <c r="F152" i="4"/>
  <c r="F141" i="4"/>
  <c r="F151" i="4"/>
  <c r="F138" i="4"/>
  <c r="F150" i="4"/>
  <c r="D149" i="4"/>
  <c r="F148" i="4"/>
  <c r="F147" i="4"/>
  <c r="F136" i="4"/>
  <c r="F146" i="4"/>
  <c r="F145" i="4"/>
  <c r="F137" i="4"/>
  <c r="F140" i="4"/>
  <c r="E64" i="9" l="1"/>
  <c r="F64" i="9" s="1"/>
  <c r="M40" i="9"/>
  <c r="E62" i="9"/>
  <c r="F62" i="9" s="1"/>
  <c r="I76" i="15"/>
  <c r="I73" i="15" s="1"/>
  <c r="H73" i="15"/>
  <c r="D16" i="15" s="1"/>
  <c r="S103" i="8"/>
  <c r="S127" i="8" s="1"/>
  <c r="R127" i="8"/>
  <c r="G41" i="15"/>
  <c r="G43" i="15" s="1"/>
  <c r="F24" i="11"/>
  <c r="M94" i="9"/>
  <c r="F76" i="9" s="1"/>
  <c r="M37" i="9"/>
  <c r="D75" i="9" s="1"/>
  <c r="D46" i="15"/>
  <c r="F77" i="15"/>
  <c r="C54" i="15"/>
  <c r="C46" i="15"/>
  <c r="E42" i="15"/>
  <c r="E43" i="15"/>
  <c r="D26" i="9" s="1"/>
  <c r="E77" i="15"/>
  <c r="I74" i="15"/>
  <c r="E17" i="15" s="1"/>
  <c r="E16" i="15"/>
  <c r="M9" i="9"/>
  <c r="K12" i="9"/>
  <c r="D45" i="9"/>
  <c r="K18" i="9"/>
  <c r="K135" i="4"/>
  <c r="J143" i="4"/>
  <c r="K133" i="4"/>
  <c r="K141" i="4"/>
  <c r="K143" i="4"/>
  <c r="J135" i="4"/>
  <c r="K142" i="4"/>
  <c r="X15" i="19"/>
  <c r="H21" i="11" s="1"/>
  <c r="AH22" i="19"/>
  <c r="L6" i="10" s="1"/>
  <c r="K6" i="10"/>
  <c r="K7" i="10"/>
  <c r="AG22" i="19"/>
  <c r="L7" i="10" s="1"/>
  <c r="AI22" i="19"/>
  <c r="L5" i="10" s="1"/>
  <c r="K5" i="10"/>
  <c r="Q85" i="5"/>
  <c r="O85" i="5" s="1"/>
  <c r="Q86" i="5"/>
  <c r="O86" i="5" s="1"/>
  <c r="P86" i="5" s="1"/>
  <c r="J121" i="5"/>
  <c r="J11" i="3" s="1"/>
  <c r="M130" i="5"/>
  <c r="J122" i="5" s="1"/>
  <c r="K122" i="5" s="1"/>
  <c r="M132" i="5"/>
  <c r="J124" i="5" s="1"/>
  <c r="J26" i="3" s="1"/>
  <c r="N437" i="7"/>
  <c r="O437" i="7" s="1"/>
  <c r="F31" i="23"/>
  <c r="I31" i="23" s="1"/>
  <c r="L31" i="23" s="1"/>
  <c r="O31" i="23" s="1"/>
  <c r="O176" i="7"/>
  <c r="P176" i="7" s="1"/>
  <c r="S176" i="7" s="1"/>
  <c r="F22" i="23"/>
  <c r="I22" i="23" s="1"/>
  <c r="L22" i="23" s="1"/>
  <c r="O22" i="23" s="1"/>
  <c r="Q218" i="7"/>
  <c r="R218" i="7" s="1"/>
  <c r="F25" i="23"/>
  <c r="I25" i="23" s="1"/>
  <c r="L25" i="23" s="1"/>
  <c r="O25" i="23" s="1"/>
  <c r="O394" i="7"/>
  <c r="T394" i="7" s="1"/>
  <c r="U394" i="7" s="1"/>
  <c r="F29" i="23"/>
  <c r="I29" i="23" s="1"/>
  <c r="L29" i="23" s="1"/>
  <c r="O29" i="23" s="1"/>
  <c r="F261" i="7"/>
  <c r="D26" i="23"/>
  <c r="G26" i="23" s="1"/>
  <c r="J26" i="23" s="1"/>
  <c r="M26" i="23" s="1"/>
  <c r="Q396" i="7"/>
  <c r="R396" i="7" s="1"/>
  <c r="F30" i="23"/>
  <c r="I30" i="23" s="1"/>
  <c r="L30" i="23" s="1"/>
  <c r="O30" i="23" s="1"/>
  <c r="E394" i="7"/>
  <c r="F394" i="7" s="1"/>
  <c r="D29" i="23"/>
  <c r="G29" i="23" s="1"/>
  <c r="J29" i="23" s="1"/>
  <c r="M29" i="23" s="1"/>
  <c r="F173" i="7"/>
  <c r="F12" i="7" s="1"/>
  <c r="D22" i="23"/>
  <c r="G22" i="23" s="1"/>
  <c r="J22" i="23" s="1"/>
  <c r="M22" i="23" s="1"/>
  <c r="E220" i="7"/>
  <c r="F220" i="7" s="1"/>
  <c r="D24" i="23"/>
  <c r="G24" i="23" s="1"/>
  <c r="J24" i="23" s="1"/>
  <c r="M24" i="23" s="1"/>
  <c r="N261" i="7"/>
  <c r="O261" i="7" s="1"/>
  <c r="P261" i="7" s="1"/>
  <c r="F26" i="23"/>
  <c r="I26" i="23" s="1"/>
  <c r="L26" i="23" s="1"/>
  <c r="O26" i="23" s="1"/>
  <c r="G394" i="7"/>
  <c r="H394" i="7" s="1"/>
  <c r="D30" i="23"/>
  <c r="G30" i="23" s="1"/>
  <c r="J30" i="23" s="1"/>
  <c r="M30" i="23" s="1"/>
  <c r="K217" i="7"/>
  <c r="G14" i="7" s="1"/>
  <c r="E24" i="23"/>
  <c r="H24" i="23" s="1"/>
  <c r="K24" i="23" s="1"/>
  <c r="N24" i="23" s="1"/>
  <c r="I261" i="7"/>
  <c r="J261" i="7" s="1"/>
  <c r="G16" i="7" s="1"/>
  <c r="E26" i="23"/>
  <c r="H26" i="23" s="1"/>
  <c r="K26" i="23" s="1"/>
  <c r="N26" i="23" s="1"/>
  <c r="H7" i="7"/>
  <c r="F20" i="23"/>
  <c r="I20" i="23" s="1"/>
  <c r="L20" i="23" s="1"/>
  <c r="O20" i="23" s="1"/>
  <c r="G174" i="7"/>
  <c r="H174" i="7" s="1"/>
  <c r="D23" i="23"/>
  <c r="G23" i="23" s="1"/>
  <c r="J23" i="23" s="1"/>
  <c r="M23" i="23" s="1"/>
  <c r="G219" i="7"/>
  <c r="H219" i="7" s="1"/>
  <c r="D25" i="23"/>
  <c r="G25" i="23" s="1"/>
  <c r="J25" i="23" s="1"/>
  <c r="M25" i="23" s="1"/>
  <c r="H352" i="7"/>
  <c r="I352" i="7" s="1"/>
  <c r="J352" i="7" s="1"/>
  <c r="E28" i="23"/>
  <c r="H28" i="23" s="1"/>
  <c r="K28" i="23" s="1"/>
  <c r="N28" i="23" s="1"/>
  <c r="J176" i="7"/>
  <c r="K176" i="7" s="1"/>
  <c r="E22" i="23"/>
  <c r="H22" i="23" s="1"/>
  <c r="K22" i="23" s="1"/>
  <c r="N22" i="23" s="1"/>
  <c r="F305" i="7"/>
  <c r="G305" i="7" s="1"/>
  <c r="F17" i="7" s="1"/>
  <c r="D27" i="23"/>
  <c r="G27" i="23" s="1"/>
  <c r="J27" i="23" s="1"/>
  <c r="M27" i="23" s="1"/>
  <c r="L176" i="7"/>
  <c r="M176" i="7" s="1"/>
  <c r="E23" i="23"/>
  <c r="H23" i="23" s="1"/>
  <c r="K23" i="23" s="1"/>
  <c r="N23" i="23" s="1"/>
  <c r="P217" i="7"/>
  <c r="H14" i="7" s="1"/>
  <c r="F24" i="23"/>
  <c r="I24" i="23" s="1"/>
  <c r="L24" i="23" s="1"/>
  <c r="O24" i="23" s="1"/>
  <c r="I305" i="7"/>
  <c r="J305" i="7" s="1"/>
  <c r="G17" i="7" s="1"/>
  <c r="E27" i="23"/>
  <c r="H27" i="23" s="1"/>
  <c r="K27" i="23" s="1"/>
  <c r="N27" i="23" s="1"/>
  <c r="J396" i="7"/>
  <c r="K396" i="7" s="1"/>
  <c r="N396" i="7" s="1"/>
  <c r="E29" i="23"/>
  <c r="H29" i="23" s="1"/>
  <c r="K29" i="23" s="1"/>
  <c r="N29" i="23" s="1"/>
  <c r="L305" i="7"/>
  <c r="O305" i="7" s="1"/>
  <c r="F27" i="23"/>
  <c r="I27" i="23" s="1"/>
  <c r="L27" i="23" s="1"/>
  <c r="O27" i="23" s="1"/>
  <c r="V173" i="7"/>
  <c r="V174" i="7" s="1"/>
  <c r="W174" i="7" s="1"/>
  <c r="F23" i="23"/>
  <c r="I23" i="23" s="1"/>
  <c r="L23" i="23" s="1"/>
  <c r="O23" i="23" s="1"/>
  <c r="L219" i="7"/>
  <c r="M219" i="7" s="1"/>
  <c r="E25" i="23"/>
  <c r="H25" i="23" s="1"/>
  <c r="K25" i="23" s="1"/>
  <c r="N25" i="23" s="1"/>
  <c r="L396" i="7"/>
  <c r="M396" i="7" s="1"/>
  <c r="E30" i="23"/>
  <c r="H30" i="23" s="1"/>
  <c r="K30" i="23" s="1"/>
  <c r="N30" i="23" s="1"/>
  <c r="F367" i="8"/>
  <c r="G367" i="8"/>
  <c r="G60" i="15"/>
  <c r="F60" i="15"/>
  <c r="D45" i="15"/>
  <c r="E61" i="15"/>
  <c r="D41" i="15"/>
  <c r="E60" i="15"/>
  <c r="D10" i="6"/>
  <c r="D57" i="6" s="1"/>
  <c r="D52" i="9"/>
  <c r="K32" i="9" s="1"/>
  <c r="D48" i="11"/>
  <c r="C30" i="9"/>
  <c r="C48" i="11"/>
  <c r="M18" i="9"/>
  <c r="F9" i="6"/>
  <c r="G9" i="6" s="1"/>
  <c r="E59" i="6"/>
  <c r="D63" i="11"/>
  <c r="D62" i="11" s="1"/>
  <c r="P63" i="8"/>
  <c r="P65" i="8" s="1"/>
  <c r="O65" i="8"/>
  <c r="M131" i="5"/>
  <c r="J123" i="5" s="1"/>
  <c r="K123" i="5" s="1"/>
  <c r="K125" i="5"/>
  <c r="J16" i="3"/>
  <c r="J136" i="4"/>
  <c r="J142" i="4"/>
  <c r="L142" i="4" s="1"/>
  <c r="K145" i="4"/>
  <c r="J140" i="4"/>
  <c r="J141" i="4"/>
  <c r="K136" i="4"/>
  <c r="K137" i="4"/>
  <c r="J145" i="4"/>
  <c r="L145" i="4" s="1"/>
  <c r="Q5" i="15"/>
  <c r="P41" i="15"/>
  <c r="N87" i="8"/>
  <c r="R87" i="8" s="1"/>
  <c r="I190" i="8"/>
  <c r="F369" i="8" s="1"/>
  <c r="E65" i="15"/>
  <c r="E191" i="8"/>
  <c r="F191" i="8"/>
  <c r="F23" i="7"/>
  <c r="G23" i="7" s="1"/>
  <c r="H23" i="7" s="1"/>
  <c r="E53" i="7"/>
  <c r="F24" i="7"/>
  <c r="G24" i="7" s="1"/>
  <c r="H24" i="7" s="1"/>
  <c r="E54" i="7"/>
  <c r="O174" i="7"/>
  <c r="P174" i="7" s="1"/>
  <c r="E27" i="7"/>
  <c r="D20" i="6" s="1"/>
  <c r="D44" i="6"/>
  <c r="D46" i="6" s="1"/>
  <c r="C21" i="9" s="1"/>
  <c r="D33" i="6"/>
  <c r="D35" i="6"/>
  <c r="C6" i="9"/>
  <c r="K13" i="3"/>
  <c r="D34" i="6"/>
  <c r="O45" i="6"/>
  <c r="O51" i="6" s="1"/>
  <c r="E8" i="11"/>
  <c r="O9" i="6"/>
  <c r="Y15" i="19"/>
  <c r="H23" i="11" s="1"/>
  <c r="F33" i="11"/>
  <c r="C12" i="11"/>
  <c r="C13" i="11" s="1"/>
  <c r="C51" i="9"/>
  <c r="E367" i="8"/>
  <c r="D191" i="8"/>
  <c r="G191" i="8"/>
  <c r="D349" i="8"/>
  <c r="C50" i="11"/>
  <c r="C20" i="16"/>
  <c r="D11" i="16"/>
  <c r="D27" i="9"/>
  <c r="D6" i="9"/>
  <c r="E130" i="7"/>
  <c r="F130" i="7" s="1"/>
  <c r="K393" i="7"/>
  <c r="G19" i="7" s="1"/>
  <c r="E479" i="7"/>
  <c r="K479" i="7" s="1"/>
  <c r="N479" i="7" s="1"/>
  <c r="F481" i="7"/>
  <c r="G481" i="7" s="1"/>
  <c r="F485" i="7" s="1"/>
  <c r="F11" i="7" s="1"/>
  <c r="L481" i="7"/>
  <c r="M481" i="7" s="1"/>
  <c r="L485" i="7" s="1"/>
  <c r="H11" i="7" s="1"/>
  <c r="J395" i="7"/>
  <c r="K395" i="7" s="1"/>
  <c r="D20" i="7"/>
  <c r="D34" i="7" s="1"/>
  <c r="H263" i="7"/>
  <c r="I263" i="7" s="1"/>
  <c r="J263" i="7" s="1"/>
  <c r="O175" i="7"/>
  <c r="P175" i="7" s="1"/>
  <c r="B17" i="7"/>
  <c r="J394" i="7"/>
  <c r="K394" i="7" s="1"/>
  <c r="B18" i="7"/>
  <c r="H393" i="7"/>
  <c r="F9" i="7" s="1"/>
  <c r="F217" i="7"/>
  <c r="F14" i="7" s="1"/>
  <c r="L349" i="7"/>
  <c r="M349" i="7" s="1"/>
  <c r="H18" i="7" s="1"/>
  <c r="H217" i="7"/>
  <c r="F15" i="7" s="1"/>
  <c r="O396" i="7"/>
  <c r="T396" i="7" s="1"/>
  <c r="U396" i="7" s="1"/>
  <c r="L437" i="7"/>
  <c r="M437" i="7" s="1"/>
  <c r="L441" i="7" s="1"/>
  <c r="H10" i="7" s="1"/>
  <c r="L261" i="7"/>
  <c r="M261" i="7" s="1"/>
  <c r="H16" i="7" s="1"/>
  <c r="E307" i="7"/>
  <c r="F307" i="7" s="1"/>
  <c r="G307" i="7" s="1"/>
  <c r="K308" i="7"/>
  <c r="L308" i="7" s="1"/>
  <c r="O308" i="7" s="1"/>
  <c r="H307" i="7"/>
  <c r="I307" i="7" s="1"/>
  <c r="J307" i="7" s="1"/>
  <c r="H306" i="7"/>
  <c r="I306" i="7" s="1"/>
  <c r="J306" i="7" s="1"/>
  <c r="T393" i="7"/>
  <c r="U393" i="7" s="1"/>
  <c r="I481" i="7"/>
  <c r="J481" i="7" s="1"/>
  <c r="I485" i="7" s="1"/>
  <c r="G11" i="7" s="1"/>
  <c r="Q174" i="7"/>
  <c r="R174" i="7" s="1"/>
  <c r="H308" i="7"/>
  <c r="I308" i="7" s="1"/>
  <c r="J308" i="7" s="1"/>
  <c r="V393" i="7"/>
  <c r="W393" i="7" s="1"/>
  <c r="I349" i="7"/>
  <c r="J349" i="7" s="1"/>
  <c r="G18" i="7" s="1"/>
  <c r="K352" i="7"/>
  <c r="L352" i="7" s="1"/>
  <c r="M352" i="7" s="1"/>
  <c r="F437" i="7"/>
  <c r="G437" i="7" s="1"/>
  <c r="F441" i="7" s="1"/>
  <c r="F10" i="7" s="1"/>
  <c r="T217" i="7"/>
  <c r="U217" i="7" s="1"/>
  <c r="H350" i="7"/>
  <c r="I350" i="7" s="1"/>
  <c r="J350" i="7" s="1"/>
  <c r="Q394" i="7"/>
  <c r="R394" i="7" s="1"/>
  <c r="I437" i="7"/>
  <c r="J437" i="7" s="1"/>
  <c r="I441" i="7" s="1"/>
  <c r="G10" i="7" s="1"/>
  <c r="Q220" i="7"/>
  <c r="R220" i="7" s="1"/>
  <c r="F349" i="7"/>
  <c r="G349" i="7" s="1"/>
  <c r="F18" i="7" s="1"/>
  <c r="E352" i="7"/>
  <c r="F352" i="7" s="1"/>
  <c r="G352" i="7" s="1"/>
  <c r="E350" i="7"/>
  <c r="F350" i="7" s="1"/>
  <c r="G350" i="7" s="1"/>
  <c r="G396" i="7"/>
  <c r="H396" i="7" s="1"/>
  <c r="N259" i="7"/>
  <c r="K259" i="7"/>
  <c r="R393" i="7"/>
  <c r="H9" i="7" s="1"/>
  <c r="R217" i="7"/>
  <c r="V217" i="7"/>
  <c r="W217" i="7" s="1"/>
  <c r="G261" i="7"/>
  <c r="F16" i="7" s="1"/>
  <c r="H351" i="7"/>
  <c r="N305" i="7"/>
  <c r="P393" i="7"/>
  <c r="H19" i="7" s="1"/>
  <c r="F393" i="7"/>
  <c r="F19" i="7" s="1"/>
  <c r="Q395" i="7"/>
  <c r="R395" i="7" s="1"/>
  <c r="E396" i="7"/>
  <c r="L395" i="7"/>
  <c r="M395" i="7" s="1"/>
  <c r="M393" i="7"/>
  <c r="E395" i="7"/>
  <c r="F395" i="7" s="1"/>
  <c r="G395" i="7"/>
  <c r="H395" i="7" s="1"/>
  <c r="O395" i="7"/>
  <c r="L394" i="7"/>
  <c r="M394" i="7" s="1"/>
  <c r="N481" i="7"/>
  <c r="O481" i="7" s="1"/>
  <c r="E351" i="7"/>
  <c r="N349" i="7"/>
  <c r="O349" i="7" s="1"/>
  <c r="K351" i="7"/>
  <c r="K350" i="7"/>
  <c r="E306" i="7"/>
  <c r="E308" i="7"/>
  <c r="K307" i="7"/>
  <c r="K306" i="7"/>
  <c r="M217" i="7"/>
  <c r="J218" i="7"/>
  <c r="K218" i="7" s="1"/>
  <c r="J220" i="7"/>
  <c r="K220" i="7" s="1"/>
  <c r="E219" i="7"/>
  <c r="E218" i="7"/>
  <c r="F218" i="7" s="1"/>
  <c r="Q219" i="7"/>
  <c r="J219" i="7"/>
  <c r="L218" i="7"/>
  <c r="L220" i="7"/>
  <c r="G218" i="7"/>
  <c r="H218" i="7" s="1"/>
  <c r="O218" i="7"/>
  <c r="G220" i="7"/>
  <c r="O220" i="7"/>
  <c r="O219" i="7"/>
  <c r="P219" i="7" s="1"/>
  <c r="K173" i="7"/>
  <c r="G12" i="7" s="1"/>
  <c r="P173" i="7"/>
  <c r="H12" i="7" s="1"/>
  <c r="V175" i="7"/>
  <c r="W175" i="7" s="1"/>
  <c r="G175" i="7"/>
  <c r="H175" i="7" s="1"/>
  <c r="H173" i="7"/>
  <c r="L130" i="7"/>
  <c r="M130" i="7" s="1"/>
  <c r="M173" i="7"/>
  <c r="G13" i="7" s="1"/>
  <c r="G176" i="7"/>
  <c r="H176" i="7" s="1"/>
  <c r="T173" i="7"/>
  <c r="T174" i="7" s="1"/>
  <c r="U174" i="7" s="1"/>
  <c r="R173" i="7"/>
  <c r="H13" i="7" s="1"/>
  <c r="L132" i="7"/>
  <c r="M132" i="7" s="1"/>
  <c r="N132" i="7" s="1"/>
  <c r="O132" i="7"/>
  <c r="P132" i="7" s="1"/>
  <c r="E174" i="7"/>
  <c r="Q175" i="7"/>
  <c r="E176" i="7"/>
  <c r="F176" i="7" s="1"/>
  <c r="J175" i="7"/>
  <c r="K175" i="7" s="1"/>
  <c r="V176" i="7"/>
  <c r="W176" i="7" s="1"/>
  <c r="L175" i="7"/>
  <c r="M175" i="7" s="1"/>
  <c r="E175" i="7"/>
  <c r="F175" i="7" s="1"/>
  <c r="J174" i="7"/>
  <c r="K174" i="7" s="1"/>
  <c r="L174" i="7"/>
  <c r="M174" i="7" s="1"/>
  <c r="V130" i="7"/>
  <c r="W130" i="7" s="1"/>
  <c r="T132" i="7"/>
  <c r="U132" i="7" s="1"/>
  <c r="X132" i="7" s="1"/>
  <c r="H262" i="7"/>
  <c r="V131" i="7"/>
  <c r="W131" i="7" s="1"/>
  <c r="X131" i="7" s="1"/>
  <c r="H264" i="7"/>
  <c r="N262" i="7"/>
  <c r="E263" i="7"/>
  <c r="E262" i="7"/>
  <c r="E264" i="7"/>
  <c r="K262" i="7"/>
  <c r="K264" i="7"/>
  <c r="K263" i="7"/>
  <c r="Q131" i="7"/>
  <c r="R131" i="7" s="1"/>
  <c r="Q132" i="7"/>
  <c r="R132" i="7" s="1"/>
  <c r="G130" i="7"/>
  <c r="H130" i="7" s="1"/>
  <c r="F129" i="7"/>
  <c r="G132" i="7"/>
  <c r="H132" i="7" s="1"/>
  <c r="I132" i="7" s="1"/>
  <c r="H129" i="7"/>
  <c r="O130" i="7"/>
  <c r="P130" i="7" s="1"/>
  <c r="S130" i="7" s="1"/>
  <c r="J131" i="7"/>
  <c r="K131" i="7" s="1"/>
  <c r="N131" i="7" s="1"/>
  <c r="J130" i="7"/>
  <c r="K130" i="7" s="1"/>
  <c r="E131" i="7"/>
  <c r="F131" i="7" s="1"/>
  <c r="I131" i="7" s="1"/>
  <c r="U129" i="7"/>
  <c r="T130" i="7"/>
  <c r="U130" i="7" s="1"/>
  <c r="W129" i="7"/>
  <c r="O131" i="7"/>
  <c r="P131" i="7" s="1"/>
  <c r="R129" i="7"/>
  <c r="F21" i="23" s="1"/>
  <c r="I21" i="23" s="1"/>
  <c r="L21" i="23" s="1"/>
  <c r="O21" i="23" s="1"/>
  <c r="K129" i="7"/>
  <c r="M129" i="7"/>
  <c r="I71" i="7"/>
  <c r="J71" i="7"/>
  <c r="I68" i="7"/>
  <c r="J68" i="7"/>
  <c r="K68" i="7"/>
  <c r="K72" i="7" s="1"/>
  <c r="L68" i="7"/>
  <c r="L72" i="7" s="1"/>
  <c r="D18" i="6"/>
  <c r="D19" i="6"/>
  <c r="E33" i="7"/>
  <c r="D13" i="6"/>
  <c r="D16" i="6" s="1"/>
  <c r="C11" i="11" s="1"/>
  <c r="F29" i="7"/>
  <c r="E18" i="6" s="1"/>
  <c r="F19" i="6"/>
  <c r="E19" i="6"/>
  <c r="D20" i="9"/>
  <c r="E12" i="9"/>
  <c r="D12" i="9"/>
  <c r="C46" i="9"/>
  <c r="C30" i="10" s="1"/>
  <c r="M72" i="9"/>
  <c r="C67" i="11"/>
  <c r="C26" i="11"/>
  <c r="C27" i="9" s="1"/>
  <c r="C58" i="11"/>
  <c r="C52" i="9" s="1"/>
  <c r="K9" i="9" s="1"/>
  <c r="D367" i="8"/>
  <c r="C367" i="8"/>
  <c r="E373" i="8"/>
  <c r="C374" i="8"/>
  <c r="Q8" i="15"/>
  <c r="P42" i="15" s="1"/>
  <c r="C349" i="8"/>
  <c r="F349" i="8"/>
  <c r="E349" i="8"/>
  <c r="E139" i="8"/>
  <c r="E165" i="8"/>
  <c r="C164" i="8"/>
  <c r="D165" i="8"/>
  <c r="E146" i="8"/>
  <c r="C165" i="8"/>
  <c r="D146" i="8"/>
  <c r="F139" i="8"/>
  <c r="U117" i="8"/>
  <c r="U118" i="8"/>
  <c r="K135" i="8"/>
  <c r="J135" i="8"/>
  <c r="I135" i="8"/>
  <c r="Q87" i="8"/>
  <c r="N47" i="8" s="1"/>
  <c r="G133" i="8"/>
  <c r="H135" i="8"/>
  <c r="M136" i="8"/>
  <c r="R88" i="8"/>
  <c r="Q88" i="8" s="1"/>
  <c r="N51" i="8" s="1"/>
  <c r="O51" i="8" s="1"/>
  <c r="L136" i="8"/>
  <c r="K136" i="8"/>
  <c r="J136" i="8"/>
  <c r="Q107" i="8"/>
  <c r="S88" i="8"/>
  <c r="Q91" i="8"/>
  <c r="F10" i="8"/>
  <c r="G10" i="8"/>
  <c r="G89" i="8"/>
  <c r="E122" i="8"/>
  <c r="F118" i="8"/>
  <c r="F165" i="8" s="1"/>
  <c r="K119" i="8"/>
  <c r="F119" i="8" s="1"/>
  <c r="D109" i="8"/>
  <c r="E107" i="8"/>
  <c r="E154" i="8" s="1"/>
  <c r="L87" i="8"/>
  <c r="N135" i="8" s="1"/>
  <c r="G91" i="8"/>
  <c r="G139" i="8" s="1"/>
  <c r="H86" i="8"/>
  <c r="I85" i="8"/>
  <c r="I133" i="8" s="1"/>
  <c r="F99" i="8"/>
  <c r="D199" i="8" s="1"/>
  <c r="C183" i="8" s="1"/>
  <c r="C185" i="8" s="1"/>
  <c r="G98" i="8"/>
  <c r="G146" i="8" s="1"/>
  <c r="D23" i="8"/>
  <c r="F43" i="6"/>
  <c r="E26" i="6"/>
  <c r="E23" i="6"/>
  <c r="B79" i="6"/>
  <c r="E50" i="6"/>
  <c r="G48" i="6"/>
  <c r="F50" i="6"/>
  <c r="F11" i="6"/>
  <c r="H32" i="7"/>
  <c r="G19" i="6" s="1"/>
  <c r="F22" i="7"/>
  <c r="L34" i="3"/>
  <c r="J33" i="3"/>
  <c r="J32" i="3" s="1"/>
  <c r="J67" i="3" s="1"/>
  <c r="K28" i="3"/>
  <c r="K33" i="3"/>
  <c r="J23" i="3"/>
  <c r="J28" i="3"/>
  <c r="J13" i="3"/>
  <c r="J18" i="3"/>
  <c r="K23" i="3"/>
  <c r="K18" i="3"/>
  <c r="J73" i="5"/>
  <c r="N87" i="5"/>
  <c r="J77" i="5"/>
  <c r="J74" i="5"/>
  <c r="J75" i="5"/>
  <c r="K41" i="9" l="1"/>
  <c r="E45" i="9"/>
  <c r="F45" i="9" s="1"/>
  <c r="E52" i="9"/>
  <c r="K61" i="9" s="1"/>
  <c r="G45" i="15"/>
  <c r="M95" i="9"/>
  <c r="F75" i="9" s="1"/>
  <c r="F107" i="9" s="1"/>
  <c r="M65" i="9"/>
  <c r="E76" i="9" s="1"/>
  <c r="E24" i="11"/>
  <c r="J12" i="3"/>
  <c r="J55" i="3" s="1"/>
  <c r="F41" i="15"/>
  <c r="F43" i="15" s="1"/>
  <c r="H74" i="15"/>
  <c r="M66" i="9" s="1"/>
  <c r="E75" i="9" s="1"/>
  <c r="G42" i="15"/>
  <c r="D54" i="15"/>
  <c r="Q41" i="15"/>
  <c r="Q43" i="15" s="1"/>
  <c r="C17" i="15"/>
  <c r="M35" i="9"/>
  <c r="D77" i="15"/>
  <c r="C77" i="15" s="1"/>
  <c r="K17" i="9"/>
  <c r="K16" i="9" s="1"/>
  <c r="K73" i="9"/>
  <c r="W173" i="7"/>
  <c r="N176" i="7"/>
  <c r="N264" i="7"/>
  <c r="F23" i="6"/>
  <c r="Q87" i="5"/>
  <c r="M134" i="5"/>
  <c r="O87" i="5"/>
  <c r="P85" i="5"/>
  <c r="P87" i="5" s="1"/>
  <c r="K121" i="5"/>
  <c r="L121" i="5" s="1"/>
  <c r="L11" i="3" s="1"/>
  <c r="K124" i="5"/>
  <c r="L124" i="5" s="1"/>
  <c r="L26" i="3" s="1"/>
  <c r="J21" i="3"/>
  <c r="N35" i="6" s="1"/>
  <c r="K31" i="3"/>
  <c r="K32" i="3" s="1"/>
  <c r="K67" i="3" s="1"/>
  <c r="J27" i="3"/>
  <c r="J64" i="3" s="1"/>
  <c r="M305" i="7"/>
  <c r="H17" i="7" s="1"/>
  <c r="N263" i="7"/>
  <c r="O263" i="7" s="1"/>
  <c r="P263" i="7" s="1"/>
  <c r="P394" i="7"/>
  <c r="S394" i="7" s="1"/>
  <c r="F8" i="7"/>
  <c r="D21" i="23"/>
  <c r="G21" i="23" s="1"/>
  <c r="J21" i="23" s="1"/>
  <c r="M21" i="23" s="1"/>
  <c r="G8" i="7"/>
  <c r="E21" i="23"/>
  <c r="H21" i="23" s="1"/>
  <c r="K21" i="23" s="1"/>
  <c r="N21" i="23" s="1"/>
  <c r="F7" i="7"/>
  <c r="D20" i="23"/>
  <c r="G20" i="23" s="1"/>
  <c r="J20" i="23" s="1"/>
  <c r="M20" i="23" s="1"/>
  <c r="O33" i="23"/>
  <c r="G7" i="7"/>
  <c r="E20" i="23"/>
  <c r="H20" i="23" s="1"/>
  <c r="K20" i="23" s="1"/>
  <c r="N20" i="23" s="1"/>
  <c r="F42" i="15"/>
  <c r="F61" i="15"/>
  <c r="C49" i="11"/>
  <c r="D49" i="11" s="1"/>
  <c r="D55" i="16" s="1"/>
  <c r="E6" i="9"/>
  <c r="E48" i="11"/>
  <c r="D15" i="16"/>
  <c r="D77" i="9"/>
  <c r="M29" i="9" s="1"/>
  <c r="G23" i="6"/>
  <c r="F63" i="11"/>
  <c r="F62" i="11" s="1"/>
  <c r="G59" i="6"/>
  <c r="F26" i="6"/>
  <c r="F59" i="6"/>
  <c r="E63" i="11"/>
  <c r="E62" i="11" s="1"/>
  <c r="L135" i="8"/>
  <c r="P43" i="15"/>
  <c r="F65" i="15"/>
  <c r="F27" i="7"/>
  <c r="L122" i="5"/>
  <c r="L21" i="3" s="1"/>
  <c r="K21" i="3"/>
  <c r="K22" i="3" s="1"/>
  <c r="K61" i="3" s="1"/>
  <c r="L125" i="5"/>
  <c r="L16" i="3" s="1"/>
  <c r="K16" i="3"/>
  <c r="K17" i="3" s="1"/>
  <c r="K58" i="3" s="1"/>
  <c r="J17" i="3"/>
  <c r="J58" i="3" s="1"/>
  <c r="L123" i="5"/>
  <c r="L31" i="3"/>
  <c r="J190" i="8"/>
  <c r="G369" i="8" s="1"/>
  <c r="O87" i="8"/>
  <c r="G9" i="8"/>
  <c r="S174" i="7"/>
  <c r="H479" i="7"/>
  <c r="C13" i="9"/>
  <c r="G26" i="6"/>
  <c r="E9" i="11"/>
  <c r="D38" i="6"/>
  <c r="E27" i="9"/>
  <c r="P9" i="6"/>
  <c r="P45" i="6"/>
  <c r="P51" i="6" s="1"/>
  <c r="F8" i="11"/>
  <c r="E11" i="16"/>
  <c r="E30" i="9"/>
  <c r="D7" i="9"/>
  <c r="E44" i="6"/>
  <c r="F44" i="6" s="1"/>
  <c r="G44" i="6" s="1"/>
  <c r="G11" i="6"/>
  <c r="E374" i="8"/>
  <c r="O136" i="8"/>
  <c r="P136" i="8" s="1"/>
  <c r="O47" i="8"/>
  <c r="R107" i="8"/>
  <c r="S107" i="8" s="1"/>
  <c r="P51" i="8"/>
  <c r="C29" i="10"/>
  <c r="D21" i="6"/>
  <c r="C14" i="11"/>
  <c r="S217" i="7"/>
  <c r="H15" i="7"/>
  <c r="N217" i="7"/>
  <c r="G15" i="7"/>
  <c r="N393" i="7"/>
  <c r="G9" i="7"/>
  <c r="S129" i="7"/>
  <c r="H8" i="7"/>
  <c r="I173" i="7"/>
  <c r="F13" i="7"/>
  <c r="E440" i="7"/>
  <c r="F440" i="7" s="1"/>
  <c r="G440" i="7" s="1"/>
  <c r="E439" i="7"/>
  <c r="F439" i="7" s="1"/>
  <c r="G439" i="7" s="1"/>
  <c r="E438" i="7"/>
  <c r="F438" i="7" s="1"/>
  <c r="G438" i="7" s="1"/>
  <c r="H484" i="7"/>
  <c r="I484" i="7" s="1"/>
  <c r="J484" i="7" s="1"/>
  <c r="H483" i="7"/>
  <c r="I483" i="7" s="1"/>
  <c r="J483" i="7" s="1"/>
  <c r="H482" i="7"/>
  <c r="I482" i="7" s="1"/>
  <c r="J482" i="7" s="1"/>
  <c r="H440" i="7"/>
  <c r="I440" i="7" s="1"/>
  <c r="J440" i="7" s="1"/>
  <c r="H439" i="7"/>
  <c r="I439" i="7" s="1"/>
  <c r="J439" i="7" s="1"/>
  <c r="H438" i="7"/>
  <c r="I438" i="7" s="1"/>
  <c r="J438" i="7" s="1"/>
  <c r="K440" i="7"/>
  <c r="L440" i="7" s="1"/>
  <c r="M440" i="7" s="1"/>
  <c r="K439" i="7"/>
  <c r="L439" i="7" s="1"/>
  <c r="M439" i="7" s="1"/>
  <c r="K438" i="7"/>
  <c r="L438" i="7" s="1"/>
  <c r="M438" i="7" s="1"/>
  <c r="E483" i="7"/>
  <c r="F483" i="7" s="1"/>
  <c r="G483" i="7" s="1"/>
  <c r="E482" i="7"/>
  <c r="F482" i="7" s="1"/>
  <c r="G482" i="7" s="1"/>
  <c r="E484" i="7"/>
  <c r="F484" i="7" s="1"/>
  <c r="G484" i="7" s="1"/>
  <c r="K482" i="7"/>
  <c r="L482" i="7" s="1"/>
  <c r="M482" i="7" s="1"/>
  <c r="K484" i="7"/>
  <c r="L484" i="7" s="1"/>
  <c r="M484" i="7" s="1"/>
  <c r="K483" i="7"/>
  <c r="L483" i="7" s="1"/>
  <c r="M483" i="7" s="1"/>
  <c r="M308" i="7"/>
  <c r="I129" i="7"/>
  <c r="N394" i="7"/>
  <c r="I393" i="7"/>
  <c r="X217" i="7"/>
  <c r="P396" i="7"/>
  <c r="S396" i="7" s="1"/>
  <c r="V219" i="7"/>
  <c r="W219" i="7" s="1"/>
  <c r="V220" i="7"/>
  <c r="W220" i="7" s="1"/>
  <c r="S393" i="7"/>
  <c r="V394" i="7"/>
  <c r="W394" i="7" s="1"/>
  <c r="X394" i="7" s="1"/>
  <c r="X393" i="7"/>
  <c r="N308" i="7"/>
  <c r="V395" i="7"/>
  <c r="W395" i="7" s="1"/>
  <c r="V396" i="7"/>
  <c r="W396" i="7" s="1"/>
  <c r="X396" i="7" s="1"/>
  <c r="T218" i="7"/>
  <c r="U218" i="7" s="1"/>
  <c r="T220" i="7"/>
  <c r="U220" i="7" s="1"/>
  <c r="N130" i="7"/>
  <c r="T219" i="7"/>
  <c r="U219" i="7" s="1"/>
  <c r="V218" i="7"/>
  <c r="W218" i="7" s="1"/>
  <c r="S173" i="7"/>
  <c r="J309" i="7"/>
  <c r="L262" i="7"/>
  <c r="M262" i="7" s="1"/>
  <c r="I264" i="7"/>
  <c r="J264" i="7" s="1"/>
  <c r="N307" i="7"/>
  <c r="L307" i="7"/>
  <c r="O307" i="7" s="1"/>
  <c r="P307" i="7" s="1"/>
  <c r="L351" i="7"/>
  <c r="M351" i="7" s="1"/>
  <c r="P220" i="7"/>
  <c r="S220" i="7" s="1"/>
  <c r="I351" i="7"/>
  <c r="J351" i="7" s="1"/>
  <c r="J353" i="7" s="1"/>
  <c r="F262" i="7"/>
  <c r="G262" i="7" s="1"/>
  <c r="P218" i="7"/>
  <c r="S218" i="7" s="1"/>
  <c r="F306" i="7"/>
  <c r="G306" i="7" s="1"/>
  <c r="F263" i="7"/>
  <c r="G263" i="7" s="1"/>
  <c r="M220" i="7"/>
  <c r="N220" i="7" s="1"/>
  <c r="F264" i="7"/>
  <c r="G264" i="7" s="1"/>
  <c r="H220" i="7"/>
  <c r="I220" i="7" s="1"/>
  <c r="F308" i="7"/>
  <c r="G308" i="7" s="1"/>
  <c r="R219" i="7"/>
  <c r="S219" i="7" s="1"/>
  <c r="L263" i="7"/>
  <c r="M263" i="7" s="1"/>
  <c r="O264" i="7"/>
  <c r="P264" i="7" s="1"/>
  <c r="R175" i="7"/>
  <c r="S175" i="7" s="1"/>
  <c r="M218" i="7"/>
  <c r="N218" i="7" s="1"/>
  <c r="F219" i="7"/>
  <c r="I219" i="7" s="1"/>
  <c r="L350" i="7"/>
  <c r="M350" i="7" s="1"/>
  <c r="I262" i="7"/>
  <c r="J262" i="7" s="1"/>
  <c r="K219" i="7"/>
  <c r="N219" i="7" s="1"/>
  <c r="F351" i="7"/>
  <c r="G351" i="7" s="1"/>
  <c r="G353" i="7" s="1"/>
  <c r="S132" i="7"/>
  <c r="L264" i="7"/>
  <c r="M264" i="7" s="1"/>
  <c r="O262" i="7"/>
  <c r="P262" i="7" s="1"/>
  <c r="F174" i="7"/>
  <c r="I174" i="7" s="1"/>
  <c r="N306" i="7"/>
  <c r="L306" i="7"/>
  <c r="O306" i="7" s="1"/>
  <c r="P306" i="7" s="1"/>
  <c r="F396" i="7"/>
  <c r="I396" i="7" s="1"/>
  <c r="N173" i="7"/>
  <c r="I394" i="7"/>
  <c r="N395" i="7"/>
  <c r="P395" i="7"/>
  <c r="S395" i="7" s="1"/>
  <c r="T395" i="7"/>
  <c r="U395" i="7" s="1"/>
  <c r="I395" i="7"/>
  <c r="P481" i="7"/>
  <c r="O485" i="7" s="1"/>
  <c r="P437" i="7"/>
  <c r="O441" i="7" s="1"/>
  <c r="P349" i="7"/>
  <c r="N351" i="7"/>
  <c r="N352" i="7"/>
  <c r="N350" i="7"/>
  <c r="P305" i="7"/>
  <c r="P308" i="7"/>
  <c r="I218" i="7"/>
  <c r="I217" i="7"/>
  <c r="I176" i="7"/>
  <c r="S131" i="7"/>
  <c r="X174" i="7"/>
  <c r="X130" i="7"/>
  <c r="I175" i="7"/>
  <c r="U173" i="7"/>
  <c r="T176" i="7"/>
  <c r="T175" i="7"/>
  <c r="N174" i="7"/>
  <c r="N175" i="7"/>
  <c r="X129" i="7"/>
  <c r="I130" i="7"/>
  <c r="N129" i="7"/>
  <c r="F33" i="7"/>
  <c r="E34" i="7"/>
  <c r="G29" i="7"/>
  <c r="G33" i="7" s="1"/>
  <c r="D67" i="11"/>
  <c r="C79" i="9"/>
  <c r="M8" i="9" s="1"/>
  <c r="C46" i="11"/>
  <c r="C49" i="9"/>
  <c r="K7" i="9" s="1"/>
  <c r="K5" i="9" s="1"/>
  <c r="E8" i="9"/>
  <c r="G50" i="6"/>
  <c r="F20" i="9"/>
  <c r="F97" i="9" s="1"/>
  <c r="M98" i="9"/>
  <c r="F373" i="8"/>
  <c r="F374" i="8" s="1"/>
  <c r="E199" i="8"/>
  <c r="F199" i="8" s="1"/>
  <c r="E166" i="8"/>
  <c r="G119" i="8"/>
  <c r="G166" i="8" s="1"/>
  <c r="F166" i="8"/>
  <c r="K99" i="8"/>
  <c r="F147" i="8" s="1"/>
  <c r="U99" i="8"/>
  <c r="D115" i="8"/>
  <c r="U109" i="8"/>
  <c r="H89" i="8"/>
  <c r="U86" i="8"/>
  <c r="Q136" i="8"/>
  <c r="S87" i="8"/>
  <c r="H26" i="8" s="1"/>
  <c r="F16" i="11" s="1"/>
  <c r="F18" i="9" s="1"/>
  <c r="G26" i="8"/>
  <c r="E16" i="11" s="1"/>
  <c r="E18" i="9" s="1"/>
  <c r="R91" i="8"/>
  <c r="G92" i="8"/>
  <c r="D197" i="8" s="1"/>
  <c r="D183" i="8" s="1"/>
  <c r="F120" i="8"/>
  <c r="F122" i="8" s="1"/>
  <c r="F107" i="8"/>
  <c r="F154" i="8" s="1"/>
  <c r="F105" i="8"/>
  <c r="H91" i="8"/>
  <c r="H139" i="8" s="1"/>
  <c r="K109" i="8"/>
  <c r="E109" i="8" s="1"/>
  <c r="I86" i="8"/>
  <c r="K86" i="8" s="1"/>
  <c r="J85" i="8"/>
  <c r="H98" i="8"/>
  <c r="H146" i="8" s="1"/>
  <c r="G43" i="6"/>
  <c r="G22" i="7"/>
  <c r="G27" i="7" s="1"/>
  <c r="L23" i="3"/>
  <c r="L13" i="3"/>
  <c r="L33" i="3"/>
  <c r="L18" i="3"/>
  <c r="L28" i="3"/>
  <c r="E107" i="9" l="1"/>
  <c r="M93" i="9"/>
  <c r="F52" i="9"/>
  <c r="K90" i="9" s="1"/>
  <c r="X173" i="7"/>
  <c r="D17" i="15"/>
  <c r="F45" i="15"/>
  <c r="K21" i="9"/>
  <c r="M64" i="9"/>
  <c r="K99" i="9"/>
  <c r="K39" i="9"/>
  <c r="K11" i="3"/>
  <c r="K12" i="3" s="1"/>
  <c r="K26" i="3"/>
  <c r="K27" i="3" s="1"/>
  <c r="K64" i="3" s="1"/>
  <c r="J22" i="3"/>
  <c r="J61" i="3" s="1"/>
  <c r="L22" i="3"/>
  <c r="L61" i="3" s="1"/>
  <c r="M33" i="23"/>
  <c r="O25" i="7" s="1"/>
  <c r="O26" i="7" s="1"/>
  <c r="Q25" i="7"/>
  <c r="Q26" i="7" s="1"/>
  <c r="F49" i="23"/>
  <c r="F66" i="11" s="1"/>
  <c r="N33" i="23"/>
  <c r="G61" i="15"/>
  <c r="E49" i="11"/>
  <c r="D47" i="11"/>
  <c r="E7" i="9"/>
  <c r="F48" i="11"/>
  <c r="E15" i="16"/>
  <c r="M54" i="9"/>
  <c r="F15" i="16"/>
  <c r="M87" i="9"/>
  <c r="E46" i="6"/>
  <c r="D21" i="9" s="1"/>
  <c r="G65" i="15"/>
  <c r="L32" i="3"/>
  <c r="L67" i="3" s="1"/>
  <c r="L17" i="3"/>
  <c r="L58" i="3" s="1"/>
  <c r="M135" i="8"/>
  <c r="H9" i="8"/>
  <c r="H11" i="8" s="1"/>
  <c r="O89" i="8"/>
  <c r="P19" i="7"/>
  <c r="N67" i="7" s="1"/>
  <c r="H20" i="7"/>
  <c r="O19" i="7"/>
  <c r="M67" i="7" s="1"/>
  <c r="O22" i="7"/>
  <c r="M71" i="7" s="1"/>
  <c r="F46" i="6"/>
  <c r="J68" i="3"/>
  <c r="J54" i="3" s="1"/>
  <c r="D39" i="6"/>
  <c r="C10" i="11" s="1"/>
  <c r="L12" i="3"/>
  <c r="L55" i="3" s="1"/>
  <c r="P35" i="6"/>
  <c r="F11" i="16"/>
  <c r="F6" i="9"/>
  <c r="F27" i="9"/>
  <c r="F30" i="9"/>
  <c r="C23" i="10"/>
  <c r="F9" i="11"/>
  <c r="F8" i="9"/>
  <c r="G373" i="8"/>
  <c r="G374" i="8" s="1"/>
  <c r="I199" i="8"/>
  <c r="P47" i="8"/>
  <c r="P43" i="8" s="1"/>
  <c r="E26" i="8"/>
  <c r="K89" i="8"/>
  <c r="J133" i="8"/>
  <c r="J86" i="8"/>
  <c r="M86" i="8" s="1"/>
  <c r="P22" i="7"/>
  <c r="P21" i="7"/>
  <c r="Q8" i="7" s="1"/>
  <c r="F15" i="6" s="1"/>
  <c r="O21" i="7"/>
  <c r="G20" i="7"/>
  <c r="F13" i="6" s="1"/>
  <c r="J485" i="7"/>
  <c r="P20" i="7"/>
  <c r="Q7" i="7" s="1"/>
  <c r="F14" i="6" s="1"/>
  <c r="Q22" i="7"/>
  <c r="O71" i="7" s="1"/>
  <c r="O20" i="7"/>
  <c r="J441" i="7"/>
  <c r="G485" i="7"/>
  <c r="X220" i="7"/>
  <c r="N397" i="7"/>
  <c r="N482" i="7"/>
  <c r="O482" i="7" s="1"/>
  <c r="P482" i="7" s="1"/>
  <c r="N484" i="7"/>
  <c r="O484" i="7" s="1"/>
  <c r="P484" i="7" s="1"/>
  <c r="N483" i="7"/>
  <c r="O483" i="7" s="1"/>
  <c r="P483" i="7" s="1"/>
  <c r="N133" i="7"/>
  <c r="N440" i="7"/>
  <c r="O440" i="7" s="1"/>
  <c r="P440" i="7" s="1"/>
  <c r="N439" i="7"/>
  <c r="O439" i="7" s="1"/>
  <c r="P439" i="7" s="1"/>
  <c r="N438" i="7"/>
  <c r="O438" i="7" s="1"/>
  <c r="P438" i="7" s="1"/>
  <c r="N221" i="7"/>
  <c r="Q19" i="7"/>
  <c r="O67" i="7" s="1"/>
  <c r="I133" i="7"/>
  <c r="G441" i="7"/>
  <c r="X219" i="7"/>
  <c r="N71" i="7"/>
  <c r="X218" i="7"/>
  <c r="X395" i="7"/>
  <c r="X397" i="7" s="1"/>
  <c r="S397" i="7"/>
  <c r="J265" i="7"/>
  <c r="S221" i="7"/>
  <c r="S177" i="7"/>
  <c r="G265" i="7"/>
  <c r="M307" i="7"/>
  <c r="S133" i="7"/>
  <c r="G309" i="7"/>
  <c r="M353" i="7"/>
  <c r="M265" i="7"/>
  <c r="P265" i="7"/>
  <c r="U176" i="7"/>
  <c r="X176" i="7" s="1"/>
  <c r="O352" i="7"/>
  <c r="P352" i="7" s="1"/>
  <c r="M306" i="7"/>
  <c r="U175" i="7"/>
  <c r="X175" i="7" s="1"/>
  <c r="O350" i="7"/>
  <c r="P350" i="7" s="1"/>
  <c r="O351" i="7"/>
  <c r="P351" i="7" s="1"/>
  <c r="M485" i="7"/>
  <c r="M441" i="7"/>
  <c r="I397" i="7"/>
  <c r="I221" i="7"/>
  <c r="P309" i="7"/>
  <c r="I177" i="7"/>
  <c r="N177" i="7"/>
  <c r="X133" i="7"/>
  <c r="H29" i="7"/>
  <c r="F18" i="6"/>
  <c r="E20" i="6"/>
  <c r="E21" i="6" s="1"/>
  <c r="E67" i="11"/>
  <c r="E79" i="9" s="1"/>
  <c r="D17" i="16"/>
  <c r="D79" i="9"/>
  <c r="M31" i="9" s="1"/>
  <c r="G46" i="6"/>
  <c r="E21" i="9"/>
  <c r="E14" i="11"/>
  <c r="E9" i="9"/>
  <c r="G99" i="8"/>
  <c r="G100" i="8" s="1"/>
  <c r="D200" i="8" s="1"/>
  <c r="E200" i="8"/>
  <c r="F200" i="8" s="1"/>
  <c r="D156" i="8"/>
  <c r="E197" i="8"/>
  <c r="F197" i="8" s="1"/>
  <c r="Q99" i="8"/>
  <c r="U120" i="8"/>
  <c r="E115" i="8"/>
  <c r="E156" i="8"/>
  <c r="H119" i="8"/>
  <c r="H166" i="8" s="1"/>
  <c r="K92" i="8"/>
  <c r="Q92" i="8" s="1"/>
  <c r="U92" i="8"/>
  <c r="I134" i="8"/>
  <c r="G96" i="8"/>
  <c r="S91" i="8"/>
  <c r="I91" i="8"/>
  <c r="I139" i="8" s="1"/>
  <c r="I89" i="8"/>
  <c r="K120" i="8"/>
  <c r="G120" i="8" s="1"/>
  <c r="G167" i="8" s="1"/>
  <c r="G107" i="8"/>
  <c r="G154" i="8" s="1"/>
  <c r="F109" i="8"/>
  <c r="F156" i="8" s="1"/>
  <c r="I98" i="8"/>
  <c r="I146" i="8" s="1"/>
  <c r="M85" i="8"/>
  <c r="H22" i="7"/>
  <c r="H27" i="7" s="1"/>
  <c r="L27" i="3"/>
  <c r="L64" i="3" s="1"/>
  <c r="E47" i="15" l="1"/>
  <c r="G79" i="15" s="1"/>
  <c r="D25" i="9"/>
  <c r="E35" i="6"/>
  <c r="D49" i="23"/>
  <c r="D66" i="11" s="1"/>
  <c r="D14" i="11"/>
  <c r="O35" i="6"/>
  <c r="N34" i="6"/>
  <c r="E33" i="6"/>
  <c r="E34" i="6"/>
  <c r="F49" i="11"/>
  <c r="F55" i="16" s="1"/>
  <c r="E55" i="16"/>
  <c r="P25" i="7"/>
  <c r="P26" i="7" s="1"/>
  <c r="E49" i="23"/>
  <c r="E66" i="11" s="1"/>
  <c r="E47" i="11"/>
  <c r="D9" i="16"/>
  <c r="D49" i="9"/>
  <c r="D46" i="11"/>
  <c r="F7" i="9"/>
  <c r="K55" i="3"/>
  <c r="F33" i="6"/>
  <c r="F35" i="6"/>
  <c r="F34" i="6"/>
  <c r="O34" i="6"/>
  <c r="G147" i="8"/>
  <c r="K100" i="8"/>
  <c r="G148" i="8" s="1"/>
  <c r="K133" i="8"/>
  <c r="Q133" i="8" s="1"/>
  <c r="Q135" i="8"/>
  <c r="O135" i="8"/>
  <c r="P135" i="8" s="1"/>
  <c r="P23" i="7"/>
  <c r="P8" i="7"/>
  <c r="E15" i="6" s="1"/>
  <c r="M69" i="7"/>
  <c r="E12" i="11"/>
  <c r="E13" i="11" s="1"/>
  <c r="E14" i="9"/>
  <c r="E96" i="9" s="1"/>
  <c r="J66" i="3"/>
  <c r="J57" i="3"/>
  <c r="J63" i="3"/>
  <c r="J60" i="3"/>
  <c r="L68" i="3"/>
  <c r="G35" i="6"/>
  <c r="G34" i="6"/>
  <c r="P34" i="6"/>
  <c r="G33" i="6"/>
  <c r="F9" i="9"/>
  <c r="F10" i="9" s="1"/>
  <c r="H99" i="8"/>
  <c r="I99" i="8" s="1"/>
  <c r="E184" i="8"/>
  <c r="D184" i="8"/>
  <c r="D185" i="8" s="1"/>
  <c r="G105" i="8"/>
  <c r="U100" i="8"/>
  <c r="N46" i="8"/>
  <c r="I200" i="8"/>
  <c r="I197" i="8"/>
  <c r="R99" i="8"/>
  <c r="S99" i="8" s="1"/>
  <c r="K95" i="9"/>
  <c r="E28" i="8"/>
  <c r="C16" i="11"/>
  <c r="C18" i="9" s="1"/>
  <c r="N68" i="7"/>
  <c r="N69" i="7"/>
  <c r="M68" i="7"/>
  <c r="P7" i="7"/>
  <c r="E14" i="6" s="1"/>
  <c r="N15" i="6" s="1"/>
  <c r="Q20" i="7"/>
  <c r="R7" i="7" s="1"/>
  <c r="G14" i="6" s="1"/>
  <c r="Q21" i="7"/>
  <c r="R8" i="7" s="1"/>
  <c r="G15" i="6" s="1"/>
  <c r="X221" i="7"/>
  <c r="C11" i="9"/>
  <c r="E13" i="6"/>
  <c r="G13" i="6"/>
  <c r="F34" i="7"/>
  <c r="M309" i="7"/>
  <c r="P353" i="7"/>
  <c r="X177" i="7"/>
  <c r="G18" i="6"/>
  <c r="O23" i="7"/>
  <c r="P441" i="7"/>
  <c r="P485" i="7"/>
  <c r="H33" i="7"/>
  <c r="G20" i="6"/>
  <c r="G34" i="7"/>
  <c r="F20" i="6"/>
  <c r="F21" i="6" s="1"/>
  <c r="O15" i="6" s="1"/>
  <c r="O16" i="6"/>
  <c r="F16" i="6"/>
  <c r="E11" i="11" s="1"/>
  <c r="E13" i="9" s="1"/>
  <c r="F67" i="11"/>
  <c r="F79" i="9" s="1"/>
  <c r="M60" i="9"/>
  <c r="E17" i="16"/>
  <c r="F21" i="9"/>
  <c r="F14" i="11"/>
  <c r="I119" i="8"/>
  <c r="I166" i="8" s="1"/>
  <c r="O166" i="8" s="1"/>
  <c r="P166" i="8" s="1"/>
  <c r="F167" i="8"/>
  <c r="G140" i="8"/>
  <c r="H92" i="8"/>
  <c r="L86" i="8"/>
  <c r="N134" i="8" s="1"/>
  <c r="H134" i="8"/>
  <c r="J134" i="8"/>
  <c r="R92" i="8"/>
  <c r="Q86" i="8"/>
  <c r="F26" i="8" s="1"/>
  <c r="D16" i="11" s="1"/>
  <c r="D18" i="9" s="1"/>
  <c r="J91" i="8"/>
  <c r="J139" i="8" s="1"/>
  <c r="J89" i="8"/>
  <c r="G121" i="8"/>
  <c r="H120" i="8"/>
  <c r="H167" i="8" s="1"/>
  <c r="H107" i="8"/>
  <c r="H154" i="8" s="1"/>
  <c r="G109" i="8"/>
  <c r="G156" i="8" s="1"/>
  <c r="F110" i="8"/>
  <c r="J98" i="8"/>
  <c r="J146" i="8" s="1"/>
  <c r="E49" i="9" l="1"/>
  <c r="K55" i="9" s="1"/>
  <c r="D23" i="10"/>
  <c r="K30" i="9"/>
  <c r="E46" i="11"/>
  <c r="N43" i="8"/>
  <c r="F8" i="8"/>
  <c r="F11" i="8" s="1"/>
  <c r="E38" i="6"/>
  <c r="E39" i="6" s="1"/>
  <c r="D48" i="23" s="1"/>
  <c r="D53" i="11" s="1"/>
  <c r="D52" i="11" s="1"/>
  <c r="D51" i="11" s="1"/>
  <c r="N10" i="6"/>
  <c r="N36" i="6" s="1"/>
  <c r="N37" i="6" s="1"/>
  <c r="F47" i="11"/>
  <c r="F49" i="9" s="1"/>
  <c r="E9" i="16"/>
  <c r="D43" i="16"/>
  <c r="Q100" i="8"/>
  <c r="O133" i="8"/>
  <c r="P133" i="8" s="1"/>
  <c r="H100" i="8"/>
  <c r="H148" i="8" s="1"/>
  <c r="O10" i="6"/>
  <c r="F38" i="6"/>
  <c r="F39" i="6" s="1"/>
  <c r="K68" i="3"/>
  <c r="K54" i="3" s="1"/>
  <c r="H147" i="8"/>
  <c r="M72" i="7"/>
  <c r="N16" i="6"/>
  <c r="D74" i="9"/>
  <c r="E74" i="9" s="1"/>
  <c r="N72" i="7"/>
  <c r="F14" i="9"/>
  <c r="F96" i="9" s="1"/>
  <c r="F12" i="11"/>
  <c r="F13" i="11" s="1"/>
  <c r="P16" i="6"/>
  <c r="D14" i="9"/>
  <c r="D29" i="11"/>
  <c r="E29" i="11" s="1"/>
  <c r="F29" i="11" s="1"/>
  <c r="D12" i="11"/>
  <c r="D13" i="11" s="1"/>
  <c r="L60" i="3"/>
  <c r="L57" i="3"/>
  <c r="L66" i="3"/>
  <c r="L63" i="3"/>
  <c r="L54" i="3"/>
  <c r="P10" i="6"/>
  <c r="G38" i="6"/>
  <c r="O46" i="8"/>
  <c r="O43" i="8" s="1"/>
  <c r="K66" i="9" s="1"/>
  <c r="D43" i="9"/>
  <c r="K37" i="9" s="1"/>
  <c r="Q23" i="7"/>
  <c r="O68" i="7"/>
  <c r="O69" i="7"/>
  <c r="G16" i="6"/>
  <c r="F11" i="11" s="1"/>
  <c r="F13" i="9" s="1"/>
  <c r="H34" i="7"/>
  <c r="E16" i="6"/>
  <c r="D11" i="11" s="1"/>
  <c r="D13" i="9" s="1"/>
  <c r="G21" i="6"/>
  <c r="O19" i="6"/>
  <c r="F17" i="16"/>
  <c r="M89" i="9"/>
  <c r="I92" i="8"/>
  <c r="H140" i="8"/>
  <c r="H93" i="8"/>
  <c r="Q166" i="8"/>
  <c r="I147" i="8"/>
  <c r="J99" i="8"/>
  <c r="K110" i="8"/>
  <c r="Q110" i="8" s="1"/>
  <c r="U110" i="8"/>
  <c r="K134" i="8"/>
  <c r="G122" i="8"/>
  <c r="U121" i="8"/>
  <c r="M89" i="8"/>
  <c r="S92" i="8"/>
  <c r="M91" i="8"/>
  <c r="K139" i="8" s="1"/>
  <c r="I120" i="8"/>
  <c r="I167" i="8" s="1"/>
  <c r="K121" i="8"/>
  <c r="G168" i="8" s="1"/>
  <c r="I107" i="8"/>
  <c r="I154" i="8" s="1"/>
  <c r="F115" i="8"/>
  <c r="H109" i="8"/>
  <c r="H156" i="8" s="1"/>
  <c r="E23" i="10" l="1"/>
  <c r="F74" i="9"/>
  <c r="F80" i="9" s="1"/>
  <c r="E80" i="9"/>
  <c r="D50" i="11"/>
  <c r="D10" i="16"/>
  <c r="D10" i="11"/>
  <c r="N12" i="6"/>
  <c r="N13" i="6" s="1"/>
  <c r="M61" i="9"/>
  <c r="M32" i="9"/>
  <c r="R100" i="8"/>
  <c r="S100" i="8" s="1"/>
  <c r="F9" i="16"/>
  <c r="F43" i="16" s="1"/>
  <c r="F46" i="11"/>
  <c r="F52" i="6"/>
  <c r="E48" i="23"/>
  <c r="E53" i="11" s="1"/>
  <c r="E52" i="11" s="1"/>
  <c r="E51" i="11" s="1"/>
  <c r="E43" i="16"/>
  <c r="I100" i="8"/>
  <c r="I148" i="8" s="1"/>
  <c r="H101" i="8"/>
  <c r="D201" i="8" s="1"/>
  <c r="E201" i="8" s="1"/>
  <c r="F201" i="8" s="1"/>
  <c r="I201" i="8" s="1"/>
  <c r="K57" i="3"/>
  <c r="K63" i="3"/>
  <c r="K60" i="3"/>
  <c r="K66" i="3"/>
  <c r="O12" i="6"/>
  <c r="O13" i="6" s="1"/>
  <c r="O21" i="6" s="1"/>
  <c r="O46" i="6" s="1"/>
  <c r="O47" i="6" s="1"/>
  <c r="O50" i="6" s="1"/>
  <c r="O52" i="6" s="1"/>
  <c r="O36" i="6"/>
  <c r="O37" i="6" s="1"/>
  <c r="O39" i="6" s="1"/>
  <c r="G39" i="6"/>
  <c r="P12" i="6"/>
  <c r="P13" i="6" s="1"/>
  <c r="P36" i="6"/>
  <c r="P37" i="6" s="1"/>
  <c r="P15" i="6"/>
  <c r="P19" i="6" s="1"/>
  <c r="R110" i="8"/>
  <c r="S110" i="8" s="1"/>
  <c r="O72" i="7"/>
  <c r="N19" i="6"/>
  <c r="D11" i="9"/>
  <c r="E10" i="11"/>
  <c r="O27" i="6"/>
  <c r="O26" i="6"/>
  <c r="O28" i="6"/>
  <c r="D198" i="8"/>
  <c r="M99" i="8"/>
  <c r="J147" i="8"/>
  <c r="G110" i="8"/>
  <c r="J92" i="8"/>
  <c r="I140" i="8"/>
  <c r="F157" i="8"/>
  <c r="K93" i="8"/>
  <c r="U93" i="8"/>
  <c r="H96" i="8"/>
  <c r="L134" i="8"/>
  <c r="N89" i="8"/>
  <c r="G11" i="8"/>
  <c r="H121" i="8"/>
  <c r="H122" i="8" s="1"/>
  <c r="Q121" i="8"/>
  <c r="N91" i="8"/>
  <c r="L139" i="8" s="1"/>
  <c r="J120" i="8"/>
  <c r="J167" i="8" s="1"/>
  <c r="Q167" i="8" s="1"/>
  <c r="J107" i="8"/>
  <c r="J154" i="8" s="1"/>
  <c r="I109" i="8"/>
  <c r="I156" i="8" s="1"/>
  <c r="M90" i="9" l="1"/>
  <c r="D50" i="9"/>
  <c r="K31" i="9" s="1"/>
  <c r="F23" i="10"/>
  <c r="K88" i="9"/>
  <c r="D29" i="9"/>
  <c r="E50" i="11"/>
  <c r="E10" i="16"/>
  <c r="G52" i="6"/>
  <c r="F48" i="23"/>
  <c r="F53" i="11" s="1"/>
  <c r="F52" i="11" s="1"/>
  <c r="F51" i="11" s="1"/>
  <c r="J100" i="8"/>
  <c r="M100" i="8" s="1"/>
  <c r="N100" i="8" s="1"/>
  <c r="Q93" i="8"/>
  <c r="R93" i="8" s="1"/>
  <c r="S93" i="8" s="1"/>
  <c r="H105" i="8"/>
  <c r="U101" i="8"/>
  <c r="K101" i="8"/>
  <c r="Q101" i="8" s="1"/>
  <c r="I93" i="8"/>
  <c r="I94" i="8" s="1"/>
  <c r="F10" i="11"/>
  <c r="F42" i="11" s="1"/>
  <c r="P39" i="6"/>
  <c r="P27" i="6"/>
  <c r="P26" i="6"/>
  <c r="P28" i="6"/>
  <c r="P21" i="6"/>
  <c r="P46" i="6" s="1"/>
  <c r="P47" i="6" s="1"/>
  <c r="P50" i="6" s="1"/>
  <c r="P52" i="6" s="1"/>
  <c r="D203" i="8"/>
  <c r="E183" i="8"/>
  <c r="E185" i="8" s="1"/>
  <c r="R121" i="8"/>
  <c r="S121" i="8" s="1"/>
  <c r="N59" i="8"/>
  <c r="F17" i="8" s="1"/>
  <c r="E198" i="8"/>
  <c r="F198" i="8" s="1"/>
  <c r="N39" i="6"/>
  <c r="N26" i="6"/>
  <c r="N27" i="6"/>
  <c r="N21" i="6"/>
  <c r="N46" i="6" s="1"/>
  <c r="N47" i="6" s="1"/>
  <c r="N50" i="6" s="1"/>
  <c r="N52" i="6" s="1"/>
  <c r="N28" i="6"/>
  <c r="E11" i="9"/>
  <c r="E15" i="9" s="1"/>
  <c r="E42" i="11"/>
  <c r="O167" i="8"/>
  <c r="P167" i="8" s="1"/>
  <c r="M92" i="8"/>
  <c r="J140" i="8"/>
  <c r="H141" i="8"/>
  <c r="O156" i="8"/>
  <c r="P156" i="8" s="1"/>
  <c r="Q156" i="8"/>
  <c r="K147" i="8"/>
  <c r="N99" i="8"/>
  <c r="H110" i="8"/>
  <c r="G157" i="8"/>
  <c r="G111" i="8"/>
  <c r="G115" i="8" s="1"/>
  <c r="I121" i="8"/>
  <c r="H168" i="8"/>
  <c r="O134" i="8"/>
  <c r="P134" i="8" s="1"/>
  <c r="Q134" i="8"/>
  <c r="Q137" i="8" s="1"/>
  <c r="M137" i="8" s="1"/>
  <c r="O91" i="8"/>
  <c r="M139" i="8" s="1"/>
  <c r="M107" i="8"/>
  <c r="K154" i="8" s="1"/>
  <c r="E50" i="9" l="1"/>
  <c r="M55" i="9"/>
  <c r="M53" i="9" s="1"/>
  <c r="K148" i="8"/>
  <c r="J148" i="8"/>
  <c r="R101" i="8"/>
  <c r="S101" i="8" s="1"/>
  <c r="E29" i="9"/>
  <c r="F50" i="11"/>
  <c r="F10" i="16"/>
  <c r="F50" i="9" s="1"/>
  <c r="H149" i="8"/>
  <c r="I101" i="8"/>
  <c r="J101" i="8" s="1"/>
  <c r="M101" i="8" s="1"/>
  <c r="J149" i="8"/>
  <c r="J93" i="8"/>
  <c r="M93" i="8" s="1"/>
  <c r="I141" i="8"/>
  <c r="I149" i="8"/>
  <c r="F43" i="11"/>
  <c r="F12" i="23" s="1"/>
  <c r="F11" i="23"/>
  <c r="E43" i="11"/>
  <c r="E12" i="23" s="1"/>
  <c r="E11" i="23"/>
  <c r="F11" i="9"/>
  <c r="F15" i="9" s="1"/>
  <c r="O146" i="8"/>
  <c r="O59" i="8"/>
  <c r="I198" i="8"/>
  <c r="E8" i="10"/>
  <c r="I96" i="8"/>
  <c r="L137" i="8"/>
  <c r="F17" i="11"/>
  <c r="O139" i="8"/>
  <c r="P139" i="8" s="1"/>
  <c r="Q139" i="8"/>
  <c r="K149" i="8"/>
  <c r="I110" i="8"/>
  <c r="H157" i="8"/>
  <c r="L147" i="8"/>
  <c r="O99" i="8"/>
  <c r="M147" i="8" s="1"/>
  <c r="J121" i="8"/>
  <c r="I168" i="8"/>
  <c r="K94" i="8"/>
  <c r="U94" i="8"/>
  <c r="O100" i="8"/>
  <c r="M148" i="8" s="1"/>
  <c r="L148" i="8"/>
  <c r="N92" i="8"/>
  <c r="K140" i="8"/>
  <c r="I122" i="8"/>
  <c r="U111" i="8"/>
  <c r="N107" i="8"/>
  <c r="L154" i="8" s="1"/>
  <c r="K111" i="8"/>
  <c r="G158" i="8" s="1"/>
  <c r="F8" i="10" l="1"/>
  <c r="F16" i="9"/>
  <c r="K60" i="9"/>
  <c r="M88" i="9"/>
  <c r="M86" i="9" s="1"/>
  <c r="J141" i="8"/>
  <c r="P59" i="8"/>
  <c r="H17" i="8" s="1"/>
  <c r="G17" i="8"/>
  <c r="N101" i="8"/>
  <c r="N105" i="8" s="1"/>
  <c r="I102" i="8"/>
  <c r="K89" i="9"/>
  <c r="F29" i="9"/>
  <c r="I142" i="8"/>
  <c r="O147" i="8"/>
  <c r="P147" i="8" s="1"/>
  <c r="K137" i="8" a="1"/>
  <c r="K137" i="8" s="1"/>
  <c r="E17" i="11"/>
  <c r="M121" i="8"/>
  <c r="J168" i="8"/>
  <c r="J122" i="8"/>
  <c r="O92" i="8"/>
  <c r="M140" i="8" s="1"/>
  <c r="L140" i="8"/>
  <c r="O148" i="8"/>
  <c r="P148" i="8" s="1"/>
  <c r="Q148" i="8"/>
  <c r="I157" i="8"/>
  <c r="J110" i="8"/>
  <c r="N93" i="8"/>
  <c r="K141" i="8"/>
  <c r="J94" i="8"/>
  <c r="Q94" i="8"/>
  <c r="R94" i="8" s="1"/>
  <c r="S94" i="8" s="1"/>
  <c r="H111" i="8"/>
  <c r="H112" i="8" s="1"/>
  <c r="Q111" i="8"/>
  <c r="O107" i="8"/>
  <c r="M154" i="8" s="1"/>
  <c r="L149" i="8" l="1"/>
  <c r="O101" i="8"/>
  <c r="K102" i="8"/>
  <c r="J102" i="8"/>
  <c r="U102" i="8"/>
  <c r="I105" i="8"/>
  <c r="Q140" i="8"/>
  <c r="R111" i="8"/>
  <c r="S111" i="8" s="1"/>
  <c r="O140" i="8"/>
  <c r="P140" i="8" s="1"/>
  <c r="H115" i="8"/>
  <c r="O154" i="8"/>
  <c r="P154" i="8" s="1"/>
  <c r="J137" i="8" a="1"/>
  <c r="J137" i="8" s="1"/>
  <c r="C17" i="11" s="1"/>
  <c r="D17" i="11"/>
  <c r="J142" i="8"/>
  <c r="M94" i="8"/>
  <c r="J95" i="8"/>
  <c r="J96" i="8" s="1"/>
  <c r="O93" i="8"/>
  <c r="M141" i="8" s="1"/>
  <c r="L141" i="8"/>
  <c r="K168" i="8"/>
  <c r="M122" i="8"/>
  <c r="N121" i="8"/>
  <c r="J157" i="8"/>
  <c r="M110" i="8"/>
  <c r="I111" i="8"/>
  <c r="I158" i="8" s="1"/>
  <c r="H158" i="8"/>
  <c r="M149" i="8"/>
  <c r="Q149" i="8" s="1"/>
  <c r="O105" i="8"/>
  <c r="K112" i="8"/>
  <c r="U112" i="8"/>
  <c r="J150" i="8" l="1"/>
  <c r="M102" i="8"/>
  <c r="I150" i="8"/>
  <c r="Q102" i="8"/>
  <c r="H159" i="8"/>
  <c r="Q112" i="8"/>
  <c r="R112" i="8" s="1"/>
  <c r="S112" i="8" s="1"/>
  <c r="I112" i="8"/>
  <c r="I159" i="8" s="1"/>
  <c r="O164" i="8" s="1"/>
  <c r="O141" i="8"/>
  <c r="P141" i="8" s="1"/>
  <c r="Q154" i="8"/>
  <c r="O149" i="8"/>
  <c r="P149" i="8" s="1"/>
  <c r="Q141" i="8"/>
  <c r="L168" i="8"/>
  <c r="O121" i="8"/>
  <c r="N122" i="8"/>
  <c r="N110" i="8"/>
  <c r="K157" i="8"/>
  <c r="K142" i="8"/>
  <c r="N94" i="8"/>
  <c r="U95" i="8"/>
  <c r="K95" i="8"/>
  <c r="Q95" i="8" s="1"/>
  <c r="J111" i="8"/>
  <c r="J158" i="8" s="1"/>
  <c r="I113" i="8" l="1"/>
  <c r="K150" i="8"/>
  <c r="M105" i="8"/>
  <c r="R102" i="8"/>
  <c r="O57" i="8" s="1"/>
  <c r="J112" i="8"/>
  <c r="J159" i="8" s="1"/>
  <c r="R95" i="8"/>
  <c r="S95" i="8" s="1"/>
  <c r="N56" i="8"/>
  <c r="M95" i="8"/>
  <c r="K143" i="8" s="1"/>
  <c r="M111" i="8"/>
  <c r="K158" i="8" s="1"/>
  <c r="J143" i="8"/>
  <c r="L142" i="8"/>
  <c r="O94" i="8"/>
  <c r="M142" i="8" s="1"/>
  <c r="O110" i="8"/>
  <c r="M157" i="8" s="1"/>
  <c r="L157" i="8"/>
  <c r="K113" i="8"/>
  <c r="C70" i="8" s="1"/>
  <c r="C71" i="8" s="1"/>
  <c r="M168" i="8"/>
  <c r="O122" i="8"/>
  <c r="I115" i="8"/>
  <c r="U113" i="8"/>
  <c r="P57" i="8" l="1"/>
  <c r="H15" i="8" s="1"/>
  <c r="G15" i="8"/>
  <c r="M112" i="8"/>
  <c r="N112" i="8" s="1"/>
  <c r="O56" i="8"/>
  <c r="G14" i="8" s="1"/>
  <c r="F14" i="8"/>
  <c r="Q113" i="8"/>
  <c r="M96" i="8"/>
  <c r="N95" i="8"/>
  <c r="L143" i="8" s="1"/>
  <c r="N111" i="8"/>
  <c r="L158" i="8" s="1"/>
  <c r="Q157" i="8"/>
  <c r="Q142" i="8"/>
  <c r="I160" i="8"/>
  <c r="O165" i="8" s="1"/>
  <c r="P165" i="8" s="1"/>
  <c r="O142" i="8"/>
  <c r="P142" i="8" s="1"/>
  <c r="O168" i="8"/>
  <c r="J113" i="8"/>
  <c r="J160" i="8" s="1"/>
  <c r="K159" i="8"/>
  <c r="O157" i="8"/>
  <c r="P157" i="8" s="1"/>
  <c r="R113" i="8" l="1"/>
  <c r="S113" i="8" s="1"/>
  <c r="P56" i="8"/>
  <c r="H14" i="8" s="1"/>
  <c r="N96" i="8"/>
  <c r="O95" i="8"/>
  <c r="O96" i="8" s="1"/>
  <c r="O111" i="8"/>
  <c r="M158" i="8" s="1"/>
  <c r="O158" i="8" s="1"/>
  <c r="P158" i="8" s="1"/>
  <c r="J114" i="8"/>
  <c r="D204" i="8" s="1"/>
  <c r="M113" i="8"/>
  <c r="K160" i="8" s="1"/>
  <c r="O112" i="8"/>
  <c r="M159" i="8" s="1"/>
  <c r="L159" i="8"/>
  <c r="N113" i="8" l="1"/>
  <c r="L160" i="8" s="1"/>
  <c r="J115" i="8"/>
  <c r="K114" i="8"/>
  <c r="J161" i="8" s="1"/>
  <c r="M143" i="8"/>
  <c r="Q158" i="8"/>
  <c r="U114" i="8"/>
  <c r="E204" i="8"/>
  <c r="F352" i="8" s="1"/>
  <c r="D205" i="8"/>
  <c r="E205" i="8" s="1"/>
  <c r="Q159" i="8"/>
  <c r="O159" i="8"/>
  <c r="P159" i="8" s="1"/>
  <c r="Q114" i="8" l="1"/>
  <c r="F368" i="8"/>
  <c r="F370" i="8" s="1"/>
  <c r="G368" i="8"/>
  <c r="G370" i="8" s="1"/>
  <c r="E368" i="8"/>
  <c r="E370" i="8" s="1"/>
  <c r="N58" i="8"/>
  <c r="F27" i="8"/>
  <c r="D18" i="11" s="1"/>
  <c r="M114" i="8"/>
  <c r="K161" i="8" s="1"/>
  <c r="O113" i="8"/>
  <c r="M160" i="8" s="1"/>
  <c r="O160" i="8" s="1"/>
  <c r="P160" i="8" s="1"/>
  <c r="O143" i="8"/>
  <c r="P143" i="8" s="1"/>
  <c r="Q143" i="8"/>
  <c r="D356" i="8"/>
  <c r="F356" i="8"/>
  <c r="E356" i="8"/>
  <c r="C356" i="8"/>
  <c r="E357" i="8"/>
  <c r="C357" i="8"/>
  <c r="D357" i="8"/>
  <c r="F357" i="8"/>
  <c r="D368" i="8"/>
  <c r="C368" i="8"/>
  <c r="R114" i="8"/>
  <c r="O58" i="8" s="1"/>
  <c r="G16" i="8" s="1"/>
  <c r="N114" i="8"/>
  <c r="L161" i="8" s="1"/>
  <c r="M115" i="8"/>
  <c r="D47" i="15" l="1"/>
  <c r="F79" i="15" s="1"/>
  <c r="F78" i="15" s="1"/>
  <c r="D55" i="15" s="1"/>
  <c r="F16" i="8"/>
  <c r="F19" i="8" s="1"/>
  <c r="N54" i="8"/>
  <c r="D44" i="9" s="1"/>
  <c r="Q160" i="8"/>
  <c r="C26" i="9"/>
  <c r="O54" i="8"/>
  <c r="E44" i="9" s="1"/>
  <c r="E46" i="9" s="1"/>
  <c r="N42" i="8"/>
  <c r="C358" i="8"/>
  <c r="C22" i="11" s="1"/>
  <c r="F358" i="8"/>
  <c r="E358" i="8"/>
  <c r="D358" i="8"/>
  <c r="C23" i="11"/>
  <c r="O114" i="8"/>
  <c r="M161" i="8" s="1"/>
  <c r="O161" i="8" s="1"/>
  <c r="P161" i="8" s="1"/>
  <c r="N115" i="8"/>
  <c r="G19" i="8"/>
  <c r="D19" i="9"/>
  <c r="F28" i="8"/>
  <c r="S114" i="8"/>
  <c r="H27" i="8" s="1"/>
  <c r="H28" i="8" s="1"/>
  <c r="G27" i="8"/>
  <c r="D117" i="9" l="1"/>
  <c r="G55" i="15"/>
  <c r="I78" i="15" s="1"/>
  <c r="C21" i="11"/>
  <c r="D46" i="9"/>
  <c r="D57" i="9" s="1"/>
  <c r="K36" i="9"/>
  <c r="K35" i="9" s="1"/>
  <c r="E372" i="8"/>
  <c r="H186" i="8" s="1"/>
  <c r="H187" i="8" s="1"/>
  <c r="D33" i="16"/>
  <c r="C25" i="9"/>
  <c r="S41" i="15"/>
  <c r="S43" i="15" s="1"/>
  <c r="G6" i="15" s="1"/>
  <c r="K65" i="9"/>
  <c r="O42" i="8"/>
  <c r="P58" i="8"/>
  <c r="R41" i="15"/>
  <c r="R43" i="15" s="1"/>
  <c r="F6" i="15" s="1"/>
  <c r="Q161" i="8"/>
  <c r="Q169" i="8" s="1"/>
  <c r="M169" i="8" s="1"/>
  <c r="E18" i="11"/>
  <c r="E19" i="9" s="1"/>
  <c r="E95" i="9" s="1"/>
  <c r="G28" i="8"/>
  <c r="F18" i="11"/>
  <c r="F19" i="9" s="1"/>
  <c r="F95" i="9" s="1"/>
  <c r="O115" i="8"/>
  <c r="E57" i="9" l="1"/>
  <c r="F5" i="15"/>
  <c r="E371" i="8"/>
  <c r="G5" i="15"/>
  <c r="D30" i="10"/>
  <c r="D29" i="10"/>
  <c r="G46" i="15"/>
  <c r="F25" i="9" s="1"/>
  <c r="F46" i="15"/>
  <c r="E25" i="9" s="1"/>
  <c r="P54" i="8"/>
  <c r="F44" i="9" s="1"/>
  <c r="F46" i="9" s="1"/>
  <c r="H16" i="8"/>
  <c r="H19" i="8" s="1"/>
  <c r="E33" i="16"/>
  <c r="P42" i="8"/>
  <c r="D21" i="11"/>
  <c r="F21" i="11"/>
  <c r="E21" i="11"/>
  <c r="F22" i="9"/>
  <c r="E22" i="9"/>
  <c r="L169" i="8"/>
  <c r="F19" i="11"/>
  <c r="F57" i="9" l="1"/>
  <c r="E29" i="10"/>
  <c r="E30" i="10"/>
  <c r="F372" i="8"/>
  <c r="H188" i="8"/>
  <c r="K72" i="9"/>
  <c r="F29" i="10"/>
  <c r="K94" i="9"/>
  <c r="K93" i="9" s="1"/>
  <c r="F33" i="16"/>
  <c r="D23" i="11"/>
  <c r="E7" i="10"/>
  <c r="F23" i="9"/>
  <c r="F7" i="10"/>
  <c r="K169" i="8"/>
  <c r="E19" i="11"/>
  <c r="F30" i="10" l="1"/>
  <c r="H192" i="8"/>
  <c r="H189" i="8"/>
  <c r="H191" i="8" s="1"/>
  <c r="I186" i="8"/>
  <c r="I187" i="8" s="1"/>
  <c r="F371" i="8"/>
  <c r="F84" i="9"/>
  <c r="F26" i="9"/>
  <c r="G47" i="15"/>
  <c r="I79" i="15" s="1"/>
  <c r="E26" i="9"/>
  <c r="E14" i="10" s="1"/>
  <c r="F47" i="15"/>
  <c r="H79" i="15" s="1"/>
  <c r="F23" i="11"/>
  <c r="E23" i="11"/>
  <c r="J169" i="8"/>
  <c r="C19" i="11" s="1"/>
  <c r="D19" i="11"/>
  <c r="G372" i="8" l="1"/>
  <c r="I188" i="8"/>
  <c r="F31" i="9"/>
  <c r="E31" i="9"/>
  <c r="I192" i="8" l="1"/>
  <c r="I189" i="8"/>
  <c r="I191" i="8" s="1"/>
  <c r="J186" i="8"/>
  <c r="G371" i="8"/>
  <c r="J188" i="8" s="1"/>
  <c r="J189" i="8" s="1"/>
  <c r="F37" i="11"/>
  <c r="F38" i="11" s="1"/>
  <c r="F6" i="23"/>
  <c r="E37" i="11"/>
  <c r="E38" i="11" s="1"/>
  <c r="E6" i="23"/>
  <c r="J187" i="8" l="1"/>
  <c r="J191" i="8" s="1"/>
  <c r="J192" i="8"/>
  <c r="E39" i="11"/>
  <c r="E7" i="23"/>
  <c r="F39" i="11"/>
  <c r="F7" i="23"/>
  <c r="D11" i="6"/>
  <c r="C48" i="23" l="1"/>
  <c r="C9" i="11"/>
  <c r="E33" i="9"/>
  <c r="E8" i="23"/>
  <c r="F63" i="15" s="1"/>
  <c r="F33" i="9"/>
  <c r="F8" i="23"/>
  <c r="G63" i="15" s="1"/>
  <c r="C61" i="11"/>
  <c r="D61" i="11" s="1"/>
  <c r="C8" i="9"/>
  <c r="C9" i="9" s="1"/>
  <c r="C15" i="9" s="1"/>
  <c r="D52" i="6"/>
  <c r="C42" i="11" l="1"/>
  <c r="C54" i="11"/>
  <c r="C56" i="11"/>
  <c r="E34" i="9"/>
  <c r="E67" i="9" s="1"/>
  <c r="F34" i="9"/>
  <c r="F67" i="9" s="1"/>
  <c r="F94" i="9" s="1"/>
  <c r="F99" i="9" s="1"/>
  <c r="E61" i="11"/>
  <c r="F61" i="11" s="1"/>
  <c r="C22" i="9"/>
  <c r="C14" i="10" s="1"/>
  <c r="C77" i="9"/>
  <c r="M6" i="9" s="1"/>
  <c r="M5" i="9" s="1"/>
  <c r="F65" i="9" l="1"/>
  <c r="E94" i="9"/>
  <c r="E99" i="9" s="1"/>
  <c r="C43" i="11"/>
  <c r="C12" i="23" s="1"/>
  <c r="C11" i="23"/>
  <c r="C25" i="10"/>
  <c r="C80" i="9"/>
  <c r="D44" i="16"/>
  <c r="F5" i="17"/>
  <c r="F9" i="10"/>
  <c r="F35" i="9"/>
  <c r="E9" i="10"/>
  <c r="E5" i="17"/>
  <c r="C8" i="10"/>
  <c r="E25" i="10"/>
  <c r="C15" i="10"/>
  <c r="C31" i="9"/>
  <c r="C6" i="23" s="1"/>
  <c r="C7" i="10"/>
  <c r="M100" i="9" l="1"/>
  <c r="M74" i="9"/>
  <c r="E20" i="16"/>
  <c r="E44" i="16"/>
  <c r="F20" i="16"/>
  <c r="F44" i="16"/>
  <c r="C34" i="9"/>
  <c r="C67" i="9" s="1"/>
  <c r="D65" i="9" s="1"/>
  <c r="D63" i="9" s="1"/>
  <c r="E66" i="9" s="1"/>
  <c r="C37" i="11"/>
  <c r="C38" i="11" s="1"/>
  <c r="F25" i="10"/>
  <c r="M41" i="9" l="1"/>
  <c r="C18" i="15"/>
  <c r="C68" i="9"/>
  <c r="M19" i="9"/>
  <c r="M16" i="9" s="1"/>
  <c r="M21" i="9" s="1"/>
  <c r="F21" i="16"/>
  <c r="C39" i="11"/>
  <c r="C8" i="23" s="1"/>
  <c r="C7" i="23"/>
  <c r="C5" i="17"/>
  <c r="C9" i="10"/>
  <c r="C20" i="10" l="1"/>
  <c r="C5" i="10" l="1"/>
  <c r="C82" i="9"/>
  <c r="C16" i="10"/>
  <c r="E52" i="6"/>
  <c r="D9" i="11"/>
  <c r="D42" i="11" s="1"/>
  <c r="D8" i="9"/>
  <c r="D9" i="9" l="1"/>
  <c r="E10" i="9" s="1"/>
  <c r="D25" i="10"/>
  <c r="D11" i="23"/>
  <c r="D43" i="11"/>
  <c r="D12" i="23" s="1"/>
  <c r="D10" i="9" l="1"/>
  <c r="D15" i="9"/>
  <c r="D16" i="9" l="1"/>
  <c r="E16" i="9"/>
  <c r="D8" i="10"/>
  <c r="D22" i="9"/>
  <c r="E37" i="9" l="1"/>
  <c r="D116" i="9"/>
  <c r="D23" i="9"/>
  <c r="E23" i="9"/>
  <c r="D31" i="9"/>
  <c r="D37" i="9" s="1"/>
  <c r="D14" i="10"/>
  <c r="D7" i="10"/>
  <c r="D37" i="11" l="1"/>
  <c r="D38" i="11" s="1"/>
  <c r="D6" i="23"/>
  <c r="D7" i="23" l="1"/>
  <c r="D39" i="11"/>
  <c r="D33" i="9" s="1"/>
  <c r="D38" i="9" s="1"/>
  <c r="E38" i="9" l="1"/>
  <c r="D119" i="9" s="1"/>
  <c r="D120" i="9" s="1"/>
  <c r="F38" i="9"/>
  <c r="D127" i="9" s="1"/>
  <c r="D8" i="23"/>
  <c r="E63" i="15" s="1"/>
  <c r="D34" i="9" l="1"/>
  <c r="D67" i="9" s="1"/>
  <c r="E65" i="9" s="1"/>
  <c r="E63" i="9" s="1"/>
  <c r="F66" i="9" l="1"/>
  <c r="F63" i="9" s="1"/>
  <c r="F68" i="9" s="1"/>
  <c r="E68" i="9"/>
  <c r="E82" i="9" s="1"/>
  <c r="D35" i="9"/>
  <c r="D5" i="17"/>
  <c r="E35" i="9"/>
  <c r="D9" i="10"/>
  <c r="F69" i="9" l="1"/>
  <c r="F82" i="9"/>
  <c r="F108" i="9"/>
  <c r="D94" i="9"/>
  <c r="D99" i="9" s="1"/>
  <c r="M42" i="9"/>
  <c r="K64" i="9"/>
  <c r="C57" i="11"/>
  <c r="D57" i="11" s="1"/>
  <c r="E57" i="11" s="1"/>
  <c r="F57" i="11" s="1"/>
  <c r="C12" i="16"/>
  <c r="C23" i="16" s="1"/>
  <c r="D54" i="11" l="1"/>
  <c r="D53" i="16" s="1"/>
  <c r="D56" i="16" s="1"/>
  <c r="C53" i="9"/>
  <c r="C55" i="9" s="1"/>
  <c r="C86" i="9" s="1"/>
  <c r="C24" i="10"/>
  <c r="C33" i="10"/>
  <c r="C34" i="10"/>
  <c r="D55" i="11"/>
  <c r="C7" i="17" l="1"/>
  <c r="C8" i="17" s="1"/>
  <c r="C9" i="17" s="1"/>
  <c r="E54" i="11"/>
  <c r="E53" i="16" s="1"/>
  <c r="C11" i="10"/>
  <c r="C6" i="10"/>
  <c r="D7" i="16"/>
  <c r="D45" i="16" s="1"/>
  <c r="D56" i="11"/>
  <c r="C26" i="10"/>
  <c r="D58" i="6"/>
  <c r="D60" i="6" s="1"/>
  <c r="E60" i="6" s="1"/>
  <c r="C10" i="10"/>
  <c r="C19" i="10"/>
  <c r="F54" i="11" l="1"/>
  <c r="E55" i="11"/>
  <c r="E7" i="16" s="1"/>
  <c r="E48" i="9" s="1"/>
  <c r="E53" i="9" s="1"/>
  <c r="E55" i="9" s="1"/>
  <c r="F55" i="11"/>
  <c r="F7" i="16" s="1"/>
  <c r="F48" i="9" s="1"/>
  <c r="F53" i="16"/>
  <c r="D48" i="9"/>
  <c r="D12" i="16"/>
  <c r="E58" i="6"/>
  <c r="F60" i="6"/>
  <c r="E56" i="11" l="1"/>
  <c r="K29" i="9"/>
  <c r="K28" i="9" s="1"/>
  <c r="K44" i="9" s="1"/>
  <c r="F53" i="9"/>
  <c r="F87" i="9"/>
  <c r="F24" i="10"/>
  <c r="F26" i="10" s="1"/>
  <c r="K87" i="9"/>
  <c r="K86" i="9" s="1"/>
  <c r="F56" i="11"/>
  <c r="F12" i="16"/>
  <c r="F23" i="16" s="1"/>
  <c r="F32" i="16" s="1"/>
  <c r="D13" i="16"/>
  <c r="D121" i="9" s="1"/>
  <c r="F45" i="16"/>
  <c r="D33" i="10"/>
  <c r="D24" i="10"/>
  <c r="E12" i="16"/>
  <c r="E45" i="16"/>
  <c r="F58" i="6"/>
  <c r="G60" i="6"/>
  <c r="G58" i="6" s="1"/>
  <c r="F56" i="16"/>
  <c r="F58" i="9" l="1"/>
  <c r="F55" i="9"/>
  <c r="F56" i="9" s="1"/>
  <c r="G57" i="6"/>
  <c r="K54" i="9"/>
  <c r="K53" i="9" s="1"/>
  <c r="F33" i="10"/>
  <c r="E23" i="16"/>
  <c r="E13" i="16"/>
  <c r="E24" i="10"/>
  <c r="E33" i="10"/>
  <c r="D26" i="10"/>
  <c r="F13" i="16"/>
  <c r="E57" i="6"/>
  <c r="E32" i="16" l="1"/>
  <c r="E35" i="16" s="1"/>
  <c r="D15" i="15" s="1"/>
  <c r="F24" i="16"/>
  <c r="F100" i="9" s="1"/>
  <c r="F102" i="9" s="1"/>
  <c r="F106" i="9" s="1"/>
  <c r="F110" i="9" s="1"/>
  <c r="E26" i="10"/>
  <c r="E56" i="16"/>
  <c r="F57" i="6"/>
  <c r="F35" i="16"/>
  <c r="E15" i="15" s="1"/>
  <c r="D34" i="10" l="1"/>
  <c r="D15" i="10"/>
  <c r="D53" i="9"/>
  <c r="E58" i="9" s="1"/>
  <c r="D58" i="9" l="1"/>
  <c r="D55" i="9"/>
  <c r="E56" i="9" l="1"/>
  <c r="D56" i="9"/>
  <c r="D11" i="10"/>
  <c r="D6" i="10"/>
  <c r="D10" i="10"/>
  <c r="D7" i="17"/>
  <c r="D8" i="17" s="1"/>
  <c r="D9" i="17" s="1"/>
  <c r="F112" i="9"/>
  <c r="K98" i="9" l="1"/>
  <c r="K97" i="9" s="1"/>
  <c r="K102" i="9" s="1"/>
  <c r="F15" i="10"/>
  <c r="F34" i="10"/>
  <c r="F11" i="10" l="1"/>
  <c r="F7" i="17"/>
  <c r="F8" i="17" s="1"/>
  <c r="F9" i="17" s="1"/>
  <c r="F10" i="10"/>
  <c r="F6" i="10"/>
  <c r="E15" i="10" l="1"/>
  <c r="E34" i="10"/>
  <c r="E10" i="10" l="1"/>
  <c r="E6" i="10"/>
  <c r="E11" i="10"/>
  <c r="E7" i="17"/>
  <c r="E8" i="17" s="1"/>
  <c r="E9" i="17" s="1"/>
  <c r="D68" i="9" l="1"/>
  <c r="D108" i="9" s="1"/>
  <c r="M39" i="9"/>
  <c r="E108" i="9" l="1"/>
  <c r="E69" i="9"/>
  <c r="D16" i="10"/>
  <c r="D18" i="15"/>
  <c r="D19" i="15" s="1"/>
  <c r="M73" i="9"/>
  <c r="D5" i="10"/>
  <c r="D20" i="10"/>
  <c r="D69" i="9"/>
  <c r="D19" i="10"/>
  <c r="K71" i="9"/>
  <c r="K76" i="9" s="1"/>
  <c r="E18" i="15" l="1"/>
  <c r="E19" i="15" s="1"/>
  <c r="M99" i="9"/>
  <c r="M97" i="9" s="1"/>
  <c r="M102" i="9" s="1"/>
  <c r="F19" i="10"/>
  <c r="E19" i="10"/>
  <c r="M71" i="9"/>
  <c r="M76" i="9" s="1"/>
  <c r="E20" i="10"/>
  <c r="E5" i="10"/>
  <c r="E16" i="10"/>
  <c r="F5" i="10" l="1"/>
  <c r="F16" i="10"/>
  <c r="F20" i="10"/>
  <c r="F86" i="9"/>
  <c r="E86" i="9"/>
  <c r="F83" i="9" l="1"/>
  <c r="D78" i="9"/>
  <c r="D107" i="9" s="1"/>
  <c r="D20" i="16"/>
  <c r="D23" i="16" s="1"/>
  <c r="D24" i="16" l="1"/>
  <c r="D100" i="9" s="1"/>
  <c r="D102" i="9" s="1"/>
  <c r="D106" i="9" s="1"/>
  <c r="D110" i="9" s="1"/>
  <c r="D32" i="16"/>
  <c r="D35" i="16" s="1"/>
  <c r="C15" i="15" s="1"/>
  <c r="C19" i="15" s="1"/>
  <c r="E24" i="16"/>
  <c r="E100" i="9" s="1"/>
  <c r="E102" i="9" s="1"/>
  <c r="E106" i="9" s="1"/>
  <c r="E110" i="9" s="1"/>
  <c r="D84" i="9"/>
  <c r="D80" i="9"/>
  <c r="D87" i="9" s="1"/>
  <c r="M30" i="9"/>
  <c r="M28" i="9" s="1"/>
  <c r="M44" i="9" s="1"/>
  <c r="E84" i="9"/>
  <c r="D21" i="16"/>
  <c r="D122" i="9" s="1"/>
  <c r="D123" i="9" s="1"/>
  <c r="D126" i="9" s="1"/>
  <c r="D129" i="9" s="1"/>
  <c r="D132" i="9" s="1"/>
  <c r="E133" i="9" s="1"/>
  <c r="E21" i="16"/>
  <c r="D82" i="9" l="1"/>
  <c r="D86" i="9" s="1"/>
  <c r="E87" i="9"/>
  <c r="E112" i="9" s="1"/>
  <c r="D112" i="9"/>
  <c r="E83" i="9"/>
  <c r="D83" i="9"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<sst xmlns="http://schemas.openxmlformats.org/spreadsheetml/2006/main" count="4006" uniqueCount="1664">
  <si>
    <t>Azienda:</t>
  </si>
  <si>
    <t>Settore:</t>
  </si>
  <si>
    <t>Produzione di prodotti alimentari a base di carne (Ateco C10.13)</t>
  </si>
  <si>
    <t>specialità</t>
  </si>
  <si>
    <t>halal</t>
  </si>
  <si>
    <t>azienda</t>
  </si>
  <si>
    <t>prodotto</t>
  </si>
  <si>
    <t>prezzo al kg</t>
  </si>
  <si>
    <t>variabili di calcolo</t>
  </si>
  <si>
    <t>Pfitscher</t>
  </si>
  <si>
    <t>speck</t>
  </si>
  <si>
    <t xml:space="preserve"> IGP</t>
  </si>
  <si>
    <t>dettagli</t>
  </si>
  <si>
    <t>cuore</t>
  </si>
  <si>
    <t>sfuso</t>
  </si>
  <si>
    <t>prosciutto cotto</t>
  </si>
  <si>
    <t>trancio</t>
  </si>
  <si>
    <t>pancetta</t>
  </si>
  <si>
    <t>IGP</t>
  </si>
  <si>
    <t>light</t>
  </si>
  <si>
    <t>guanciale</t>
  </si>
  <si>
    <t>selection</t>
  </si>
  <si>
    <t>fette</t>
  </si>
  <si>
    <t>selection baffa</t>
  </si>
  <si>
    <t>selection cuore</t>
  </si>
  <si>
    <t>Praga mini</t>
  </si>
  <si>
    <t>selection fette</t>
  </si>
  <si>
    <t>Bio</t>
  </si>
  <si>
    <t>IGP BIO</t>
  </si>
  <si>
    <t>bioland fette</t>
  </si>
  <si>
    <t xml:space="preserve">coppa </t>
  </si>
  <si>
    <t>Bioland</t>
  </si>
  <si>
    <t>affumicata</t>
  </si>
  <si>
    <t>Segata</t>
  </si>
  <si>
    <t>tridentum</t>
  </si>
  <si>
    <t>Preziose bontà</t>
  </si>
  <si>
    <t xml:space="preserve">speck </t>
  </si>
  <si>
    <t>classici</t>
  </si>
  <si>
    <t>alta qualità</t>
  </si>
  <si>
    <t>amadeus</t>
  </si>
  <si>
    <t>S.Vigilio</t>
  </si>
  <si>
    <t>Amorcotto</t>
  </si>
  <si>
    <t>Sopramonte</t>
  </si>
  <si>
    <t>S. Martino</t>
  </si>
  <si>
    <t>S. Rocco</t>
  </si>
  <si>
    <t>cotto</t>
  </si>
  <si>
    <t>di praga</t>
  </si>
  <si>
    <t>novella</t>
  </si>
  <si>
    <t>toast</t>
  </si>
  <si>
    <t>porchetta</t>
  </si>
  <si>
    <t>arista</t>
  </si>
  <si>
    <t>cotta al forno</t>
  </si>
  <si>
    <t>rostella</t>
  </si>
  <si>
    <t>spalla arrosto</t>
  </si>
  <si>
    <t xml:space="preserve">tacchino </t>
  </si>
  <si>
    <t>poulet</t>
  </si>
  <si>
    <t>arrosto</t>
  </si>
  <si>
    <t>mortadella</t>
  </si>
  <si>
    <t>bologna</t>
  </si>
  <si>
    <t>stufata</t>
  </si>
  <si>
    <t>salata</t>
  </si>
  <si>
    <t>stagionato</t>
  </si>
  <si>
    <t>affumicata cubetti</t>
  </si>
  <si>
    <t>casalinga</t>
  </si>
  <si>
    <t>carne salada</t>
  </si>
  <si>
    <t xml:space="preserve">Fesa </t>
  </si>
  <si>
    <t>Lardo</t>
  </si>
  <si>
    <t>salato</t>
  </si>
  <si>
    <t>stinco</t>
  </si>
  <si>
    <t>prosciutto crudo</t>
  </si>
  <si>
    <t>Parma</t>
  </si>
  <si>
    <t>Tirolinger</t>
  </si>
  <si>
    <t>intero</t>
  </si>
  <si>
    <t>Bomè</t>
  </si>
  <si>
    <t>no ogm</t>
  </si>
  <si>
    <t>granfetta</t>
  </si>
  <si>
    <t>Fratelli Corrà</t>
  </si>
  <si>
    <t>bresaola</t>
  </si>
  <si>
    <t>Manzo</t>
  </si>
  <si>
    <t xml:space="preserve">Filetto </t>
  </si>
  <si>
    <t>di montagna</t>
  </si>
  <si>
    <t>nero</t>
  </si>
  <si>
    <t>doppio affumicato</t>
  </si>
  <si>
    <t>lardo</t>
  </si>
  <si>
    <t>con erbe</t>
  </si>
  <si>
    <t>Salumi simonini</t>
  </si>
  <si>
    <t>carpaccio</t>
  </si>
  <si>
    <t>arrosto all'inglese</t>
  </si>
  <si>
    <t>sottofesa</t>
  </si>
  <si>
    <t>fesa</t>
  </si>
  <si>
    <t>punta d'anca</t>
  </si>
  <si>
    <t xml:space="preserve">cotta </t>
  </si>
  <si>
    <t>mezzo</t>
  </si>
  <si>
    <t>Trockner</t>
  </si>
  <si>
    <t>tradizionale</t>
  </si>
  <si>
    <t>premium</t>
  </si>
  <si>
    <t>lonzino</t>
  </si>
  <si>
    <t xml:space="preserve">linea </t>
  </si>
  <si>
    <t>prodotti</t>
  </si>
  <si>
    <t>prezzo ipotetico</t>
  </si>
  <si>
    <t>cotti</t>
  </si>
  <si>
    <t>bio</t>
  </si>
  <si>
    <t>nazionale</t>
  </si>
  <si>
    <t>rustico</t>
  </si>
  <si>
    <t>adamello</t>
  </si>
  <si>
    <t>tranci</t>
  </si>
  <si>
    <t>mattonella</t>
  </si>
  <si>
    <t>girello</t>
  </si>
  <si>
    <t>tesa</t>
  </si>
  <si>
    <t>tesa doppia</t>
  </si>
  <si>
    <t>affumicata doppia</t>
  </si>
  <si>
    <t>stufata doppia</t>
  </si>
  <si>
    <t>speckotto</t>
  </si>
  <si>
    <t>speckotto al rosmarino</t>
  </si>
  <si>
    <t>tacchinella alle erbe</t>
  </si>
  <si>
    <t>prosciutto black angus</t>
  </si>
  <si>
    <t>guanciale de bellotta</t>
  </si>
  <si>
    <t>prosciutto di agnello</t>
  </si>
  <si>
    <t>sottofesa all'ingese</t>
  </si>
  <si>
    <t>gran beef all'inglese</t>
  </si>
  <si>
    <t>fumatello</t>
  </si>
  <si>
    <t>speck bio</t>
  </si>
  <si>
    <t>speck bio mattonella</t>
  </si>
  <si>
    <t>carne salada bio</t>
  </si>
  <si>
    <t>pastrami al pepe nero</t>
  </si>
  <si>
    <t>pancetta affumicata di bovino</t>
  </si>
  <si>
    <t>pancetta tesa di bovino</t>
  </si>
  <si>
    <t>prosciutto di bovino</t>
  </si>
  <si>
    <t>fumatello affumicato</t>
  </si>
  <si>
    <t>girello di carne salada</t>
  </si>
  <si>
    <t>gran beef</t>
  </si>
  <si>
    <t>pancetta stufata di vitello doppia</t>
  </si>
  <si>
    <t>pancetta stufata di vitello arrotolata</t>
  </si>
  <si>
    <t>tacchino</t>
  </si>
  <si>
    <t>quota nazionale</t>
  </si>
  <si>
    <t>cat. di riferimento</t>
  </si>
  <si>
    <t>altri salumi</t>
  </si>
  <si>
    <t>mortadella e wurstel</t>
  </si>
  <si>
    <t>prezzi al kg per tipologia prodotto</t>
  </si>
  <si>
    <t>Calcolo della media disponibile per prodotto</t>
  </si>
  <si>
    <t xml:space="preserve">prodotto </t>
  </si>
  <si>
    <t xml:space="preserve">media </t>
  </si>
  <si>
    <t>mediana</t>
  </si>
  <si>
    <t>beta</t>
  </si>
  <si>
    <t>quant</t>
  </si>
  <si>
    <t>Prosciutto cotto</t>
  </si>
  <si>
    <t>Prosciutto crudo</t>
  </si>
  <si>
    <t>Totale</t>
  </si>
  <si>
    <t>totale</t>
  </si>
  <si>
    <t>anno</t>
  </si>
  <si>
    <t>SVILUPPO DI UN MIX PRODOTTI</t>
  </si>
  <si>
    <t>a. Linee prodotti</t>
  </si>
  <si>
    <t>ingrediente principale</t>
  </si>
  <si>
    <t>lavorazione principale</t>
  </si>
  <si>
    <t>biologico</t>
  </si>
  <si>
    <t>bovino</t>
  </si>
  <si>
    <t>suino</t>
  </si>
  <si>
    <t>ovino</t>
  </si>
  <si>
    <t>cat. Prod.</t>
  </si>
  <si>
    <t>aromatizzata; affumicata; stagionata;</t>
  </si>
  <si>
    <t>grasso</t>
  </si>
  <si>
    <t>aromatizzata; massaggiata; affumicata; stagionata;</t>
  </si>
  <si>
    <t>salume cotto</t>
  </si>
  <si>
    <t>aromatizzata; cotta al vapore;</t>
  </si>
  <si>
    <t>aromatizzata; cotta al forno;</t>
  </si>
  <si>
    <t>aromatizzata; affumicata;</t>
  </si>
  <si>
    <t>aromatizzata; stagionata;</t>
  </si>
  <si>
    <t xml:space="preserve">salatura; </t>
  </si>
  <si>
    <t>aromatizzata; salatura;</t>
  </si>
  <si>
    <t>stagionata;</t>
  </si>
  <si>
    <t>salatura; stagionata;</t>
  </si>
  <si>
    <t>salatura; affumicata; stagionata;</t>
  </si>
  <si>
    <t xml:space="preserve">salatura; affumicata; </t>
  </si>
  <si>
    <t>cotta al vapore; affumicata;</t>
  </si>
  <si>
    <t>cotta al forno; affumicata;</t>
  </si>
  <si>
    <t>aviario</t>
  </si>
  <si>
    <t>aromatizzata</t>
  </si>
  <si>
    <t>aromatizzata; cotta al forno; affumicata;</t>
  </si>
  <si>
    <t>prosciutto alternativo</t>
  </si>
  <si>
    <t>aromatizzata; salatura; affumicata;</t>
  </si>
  <si>
    <t xml:space="preserve">aromatizzata; salatura; </t>
  </si>
  <si>
    <t>salatura; cotta al vapore;</t>
  </si>
  <si>
    <t>PRODUZIONE SALUMI</t>
  </si>
  <si>
    <t>Sulla base della struttura di lavorazione principale dei prodotti Bomè si identificano questi key processes:</t>
  </si>
  <si>
    <t>aromatizzazione</t>
  </si>
  <si>
    <t>salatura</t>
  </si>
  <si>
    <t>affumicatura</t>
  </si>
  <si>
    <t>stagionatura</t>
  </si>
  <si>
    <t>cottura al vapore</t>
  </si>
  <si>
    <t>cottura al forno</t>
  </si>
  <si>
    <t>a cui si aggiungono per standard normativi i seguenti processi:</t>
  </si>
  <si>
    <t>asciugatura</t>
  </si>
  <si>
    <t>massaggiatura</t>
  </si>
  <si>
    <t>confezionamento</t>
  </si>
  <si>
    <t>selezione</t>
  </si>
  <si>
    <t>rifilatura</t>
  </si>
  <si>
    <t>raffreddamento</t>
  </si>
  <si>
    <t>raffredamento</t>
  </si>
  <si>
    <t>lavaggio</t>
  </si>
  <si>
    <t xml:space="preserve">lavaggio </t>
  </si>
  <si>
    <t>stuccatura</t>
  </si>
  <si>
    <t>Pancetta</t>
  </si>
  <si>
    <t>sgrassatura</t>
  </si>
  <si>
    <t>taglio</t>
  </si>
  <si>
    <t>eventualmente stagionatura; affumicatura;</t>
  </si>
  <si>
    <t>Mortadella e simili</t>
  </si>
  <si>
    <t>triturazione</t>
  </si>
  <si>
    <t>impastatura</t>
  </si>
  <si>
    <t>insaccatura</t>
  </si>
  <si>
    <t>precottura</t>
  </si>
  <si>
    <t>cottura</t>
  </si>
  <si>
    <t>http://www.giuseppezeppa.com/files/salumi-giu-17.pdf</t>
  </si>
  <si>
    <t>celle di raffreddamento</t>
  </si>
  <si>
    <t>Lardo e Grassi</t>
  </si>
  <si>
    <t>Speck</t>
  </si>
  <si>
    <t>disosso</t>
  </si>
  <si>
    <t>Carne salada</t>
  </si>
  <si>
    <t>SELEZIONE CARNI</t>
  </si>
  <si>
    <t>inbound</t>
  </si>
  <si>
    <t>TAGLIO e RIDIMENSIONAMENTO o RIFILATURA CARNI</t>
  </si>
  <si>
    <t>MASSAGGIATURA</t>
  </si>
  <si>
    <t>AROMATIZZAZIONE</t>
  </si>
  <si>
    <t>SALATURA</t>
  </si>
  <si>
    <t>RAFFREDDAMENTO</t>
  </si>
  <si>
    <t>STAGIONATURA</t>
  </si>
  <si>
    <t>AFFUMICATURA</t>
  </si>
  <si>
    <t>outbound</t>
  </si>
  <si>
    <t>SGRASSATURA</t>
  </si>
  <si>
    <t>QUALITY CONTROL &amp; PACKAGING</t>
  </si>
  <si>
    <t xml:space="preserve">affumicata </t>
  </si>
  <si>
    <t>stagionata</t>
  </si>
  <si>
    <t>LAVAGGIO &amp; ASCIUGATURA</t>
  </si>
  <si>
    <t>IMPASTATURA &amp; INSACCATURA</t>
  </si>
  <si>
    <t>mortadella e simili</t>
  </si>
  <si>
    <t>COTTURA al FORNO o al VAPORE</t>
  </si>
  <si>
    <t xml:space="preserve">cotto al vapore </t>
  </si>
  <si>
    <t>cotto al forno</t>
  </si>
  <si>
    <t>affumicato</t>
  </si>
  <si>
    <t>Lardo e grassi</t>
  </si>
  <si>
    <t>Linee individuate</t>
  </si>
  <si>
    <t>Grasso e Lardo</t>
  </si>
  <si>
    <t>Prosciutto alternativo</t>
  </si>
  <si>
    <t>Salume cotto</t>
  </si>
  <si>
    <t>come?</t>
  </si>
  <si>
    <t>Raggruppamento sulla base di tipologia di lavorazione, omgrediente principale e tipologia di prodotto</t>
  </si>
  <si>
    <t>prezzo di mkt</t>
  </si>
  <si>
    <t>usato prezzo medio mortadella vista la similarità in uso ingrediente e processo produzione e prodotto finale</t>
  </si>
  <si>
    <t>si ipotizza prezzo simile al prosciutto cotto, processo simile ma ingrediente principale in input molto variegato</t>
  </si>
  <si>
    <t>prodotto output</t>
  </si>
  <si>
    <t>caratteristiche</t>
  </si>
  <si>
    <t>MIX PRODOTTI</t>
  </si>
  <si>
    <t>Linea  Carne Salada</t>
  </si>
  <si>
    <t>Totale ricavi Linea A</t>
  </si>
  <si>
    <t>Linea  Speck</t>
  </si>
  <si>
    <t>Totale ricavi Linea B</t>
  </si>
  <si>
    <t>Linea Grasso e Lardo</t>
  </si>
  <si>
    <t>Linea  Salumi cotti</t>
  </si>
  <si>
    <t>Linea  Prosciutto alternativo</t>
  </si>
  <si>
    <t>Totale ricavi Linea C</t>
  </si>
  <si>
    <t>Totale ricavi Linea D</t>
  </si>
  <si>
    <t>Totale ricavi Linea E</t>
  </si>
  <si>
    <t>Linea A  - Carne Salada</t>
  </si>
  <si>
    <t>Linea B - Speck</t>
  </si>
  <si>
    <t>Linea C - Grasso e Lardo</t>
  </si>
  <si>
    <t>Linea  D - Salumi cotti</t>
  </si>
  <si>
    <t>Linea  E - Prosciutto alternativo</t>
  </si>
  <si>
    <t>TOTALE RICAVI</t>
  </si>
  <si>
    <t>TOTALE</t>
  </si>
  <si>
    <t>quota produzione media nazionale</t>
  </si>
  <si>
    <t>ridistribuzione su tot</t>
  </si>
  <si>
    <t>si ipotizza che sulla base delle percentuali di valore prodotto totale a livello nazionale si usano le percentuali relative ai prodotti effettivamente venduti da bomè. Si scalano i valori percentuali fino al compimento del 100% del prodotto aziendale</t>
  </si>
  <si>
    <t>-&gt; costituiscono le quote di mix prodotto, si usano per suddividere il fatturato rispetto alle varie linee</t>
  </si>
  <si>
    <t>quantità [kg]</t>
  </si>
  <si>
    <t>prezzo di vendita [€/kg]</t>
  </si>
  <si>
    <t>Variabili</t>
  </si>
  <si>
    <t>Fatturato</t>
  </si>
  <si>
    <t>trend forecast</t>
  </si>
  <si>
    <t>CAGR (2020-2024)</t>
  </si>
  <si>
    <t>https://online.hbs.edu/blog/post/financial-forecasting-methods</t>
  </si>
  <si>
    <t>dinamica prezzi più complessa del previsto; difficile effettuare forecast realistico; conviene usare dato provvisto da ricerche di mercato;</t>
  </si>
  <si>
    <t>Carne Salada</t>
  </si>
  <si>
    <t>rapp. Ingrediente suino</t>
  </si>
  <si>
    <t>rapp. Ingrediente bovino</t>
  </si>
  <si>
    <t>rapp. Ingrediente ovino</t>
  </si>
  <si>
    <t>rapp. ingrediente aviario</t>
  </si>
  <si>
    <t>https://www.assica.it/magazine/prospettive-a-breve-termine-dei-mercati-agricoli-dellue/</t>
  </si>
  <si>
    <t>inflazione BCE</t>
  </si>
  <si>
    <t>https://global.morningstar.com/it/economia/nonostante-la-tregua-la-bce-potrebbe-aumentare-i-tassi-di-interesse-questanno#:~:text=Attualmente%20prevedono%20che%20l'inflazione,rispetto%20all'1%2C8%25)</t>
  </si>
  <si>
    <t>influenza prezzo di vendita</t>
  </si>
  <si>
    <t>PRODUCTION PROCESS ANALYSIS</t>
  </si>
  <si>
    <t xml:space="preserve"> </t>
  </si>
  <si>
    <t>Acquisto materie prime</t>
  </si>
  <si>
    <t>Costo del venduto</t>
  </si>
  <si>
    <t>Salari e stipendi</t>
  </si>
  <si>
    <t>Oneri sociali</t>
  </si>
  <si>
    <t>TFR</t>
  </si>
  <si>
    <t>Costi del personale</t>
  </si>
  <si>
    <t>Servizi: amministratori-consulenti-servizi tecnici</t>
  </si>
  <si>
    <t>provvigioni ed oneri concessi</t>
  </si>
  <si>
    <t>Servizi: costi servizi commerciali</t>
  </si>
  <si>
    <t>Oneri diversi di gestione</t>
  </si>
  <si>
    <t>altri accantonamenti</t>
  </si>
  <si>
    <t>Dipendenti</t>
  </si>
  <si>
    <t>Collaboratori</t>
  </si>
  <si>
    <t>CONTO ECONOMICO</t>
  </si>
  <si>
    <t>Ricavi</t>
  </si>
  <si>
    <t>% di crescita ricavi</t>
  </si>
  <si>
    <t>(Costo del venduto)</t>
  </si>
  <si>
    <t>Valore aggiunto</t>
  </si>
  <si>
    <t>% di crescita valore aggiunto</t>
  </si>
  <si>
    <t>(Costi per servizi)</t>
  </si>
  <si>
    <t>(Totale costo del lavoro)</t>
  </si>
  <si>
    <t>di cui: accantonamenti TFR</t>
  </si>
  <si>
    <t>EBITDA</t>
  </si>
  <si>
    <t>% di crescita EBITDA</t>
  </si>
  <si>
    <t>Accantonamenti per rischi</t>
  </si>
  <si>
    <t>Ammortamenti per immobilizzazioni immateriali</t>
  </si>
  <si>
    <t>Ammortamenti per immobilizzazioni materiali</t>
  </si>
  <si>
    <t>% di crescita ebitda</t>
  </si>
  <si>
    <t>Oneri finanziari su debiti a medio lungo</t>
  </si>
  <si>
    <t>Oneri finanziari su debiti a breve</t>
  </si>
  <si>
    <t>Proventi finanziari</t>
  </si>
  <si>
    <t>Rettifiche di valore attività finanziarie</t>
  </si>
  <si>
    <t>Partite straordinarie</t>
  </si>
  <si>
    <t>Utile ante-imposte</t>
  </si>
  <si>
    <t>Imposte</t>
  </si>
  <si>
    <t>Utile netto</t>
  </si>
  <si>
    <t>STATO PATRIMONIALE</t>
  </si>
  <si>
    <t>Immobilizzazioni immateriali</t>
  </si>
  <si>
    <t>Immobilizzazioni materiali</t>
  </si>
  <si>
    <t>Immobilizzazioni finanziarie</t>
  </si>
  <si>
    <t>Totale attivo fisso</t>
  </si>
  <si>
    <t>Rimanenze</t>
  </si>
  <si>
    <t>Crediti vs clienti</t>
  </si>
  <si>
    <t>Altri crediti</t>
  </si>
  <si>
    <t>Liquidità</t>
  </si>
  <si>
    <t>Ratei e risconti attivi</t>
  </si>
  <si>
    <t>Totale attivo corrente</t>
  </si>
  <si>
    <t>Totale attivo</t>
  </si>
  <si>
    <t>Capitale</t>
  </si>
  <si>
    <t>Riserve (perdite a nuovo)</t>
  </si>
  <si>
    <t>Utile dell'esercizio</t>
  </si>
  <si>
    <t>Totale patrimonio netto</t>
  </si>
  <si>
    <t xml:space="preserve">Fondi rischi e oneri </t>
  </si>
  <si>
    <t>Fondo TFR</t>
  </si>
  <si>
    <t>Debiti finanziari a L/T</t>
  </si>
  <si>
    <t>Debiti finanziari a breve</t>
  </si>
  <si>
    <t>Debiti vs fornitori</t>
  </si>
  <si>
    <t>Altri debiti</t>
  </si>
  <si>
    <t>Ratei e risconti passivi</t>
  </si>
  <si>
    <t>Totale debiti</t>
  </si>
  <si>
    <t>Totale passivo</t>
  </si>
  <si>
    <t>Cashflow netto</t>
  </si>
  <si>
    <t>RENDICONTO FINANZIARIO</t>
  </si>
  <si>
    <t>Ammortamenti</t>
  </si>
  <si>
    <t>Accantonamento TFR</t>
  </si>
  <si>
    <t>Accantonamento per rischi</t>
  </si>
  <si>
    <t>Primary cash-flow</t>
  </si>
  <si>
    <t>+/- variazione CCN</t>
  </si>
  <si>
    <t>utilizzo fondi TFR o rischi</t>
  </si>
  <si>
    <t>Cash-flow operativo</t>
  </si>
  <si>
    <t>Investimenti immob. Immateriali</t>
  </si>
  <si>
    <t>Investimenti immob. Materiali</t>
  </si>
  <si>
    <t>Investimenti immob. Finanziarie</t>
  </si>
  <si>
    <t>Levered cash-flow</t>
  </si>
  <si>
    <t>variazione pn</t>
  </si>
  <si>
    <t>variazione debiti finanziari</t>
  </si>
  <si>
    <t>distribuzione utili</t>
  </si>
  <si>
    <t>Cash-flow netto</t>
  </si>
  <si>
    <t>check cashflow netto</t>
  </si>
  <si>
    <t>check Attivo-passivo</t>
  </si>
  <si>
    <t>ROI</t>
  </si>
  <si>
    <t>ROE</t>
  </si>
  <si>
    <t>ROS</t>
  </si>
  <si>
    <t>MOL/Ricavi netti</t>
  </si>
  <si>
    <t>Utile (perdita) / Ricavi netti</t>
  </si>
  <si>
    <t>Ricavi netti /attivo</t>
  </si>
  <si>
    <t>MOL/ Attivo</t>
  </si>
  <si>
    <t>Copertura del debito</t>
  </si>
  <si>
    <t>EBIT/OF</t>
  </si>
  <si>
    <t>NET DEB. / EBITDA</t>
  </si>
  <si>
    <t>DEBT/EQUITY</t>
  </si>
  <si>
    <t>Patrimonializzazione</t>
  </si>
  <si>
    <t xml:space="preserve">PN/ATTIVO </t>
  </si>
  <si>
    <t>PN/ATTIVO FISSO</t>
  </si>
  <si>
    <t>Gestione del circolante</t>
  </si>
  <si>
    <t>Tasso di rotazione crediti</t>
  </si>
  <si>
    <t>Tasso di rotazione delle scorte</t>
  </si>
  <si>
    <t>Tasso di rotazione debiti</t>
  </si>
  <si>
    <t>Durata del ciclo di cassa</t>
  </si>
  <si>
    <t>Composizione attivo fisso</t>
  </si>
  <si>
    <t>IMMOB MAT / ATT FISSO</t>
  </si>
  <si>
    <t>Composizione attivo circolante</t>
  </si>
  <si>
    <t>Rimanenze / Attivo circolante</t>
  </si>
  <si>
    <t>Liquidità / Attivo circolante</t>
  </si>
  <si>
    <t>IPOTESI PREVISIONALI</t>
  </si>
  <si>
    <t>Costo del venduto / Ricavi</t>
  </si>
  <si>
    <t>Costi per servizi / Ricavi</t>
  </si>
  <si>
    <t>Costo del lavoro / Ricavi</t>
  </si>
  <si>
    <t>Accantonamento TFR/Ricavi</t>
  </si>
  <si>
    <t>Accantonamenti per rischi / Ricavi</t>
  </si>
  <si>
    <t>Oneri diversi di gestione / ricavi</t>
  </si>
  <si>
    <t>Ammortamento immobilizzazioni immateriali</t>
  </si>
  <si>
    <t>Fondo ammortamento immobilizzazioni immateriali</t>
  </si>
  <si>
    <t>Ammortamento immobilizzazioni materiali</t>
  </si>
  <si>
    <t>Fondo ammortamento immobilizzazioni materiali</t>
  </si>
  <si>
    <t>Costo medio dell'indebitamento finanz a M/L</t>
  </si>
  <si>
    <t>Accensione e rimborso debiti finanziari</t>
  </si>
  <si>
    <t>Costo medio dell'indebitamento finanziario a breve</t>
  </si>
  <si>
    <t>Valore medio annuo dell'esposizione fin a breve</t>
  </si>
  <si>
    <t>Proventi finanziari / Ricavi</t>
  </si>
  <si>
    <t>Utilizzo fondo TFR</t>
  </si>
  <si>
    <t>Utilizzo fondo rischi e oneri</t>
  </si>
  <si>
    <t>Partite straordinarie / ricavi</t>
  </si>
  <si>
    <t>Crediti vs clienti / fatturato</t>
  </si>
  <si>
    <t>Altri crediti / fatturato (inclusi crediti per iva non compensata)</t>
  </si>
  <si>
    <t>Rimanenze / Costo del venduto</t>
  </si>
  <si>
    <t>Ratei e risconti attivi/ fatturato</t>
  </si>
  <si>
    <t>Debiti vs fornitori / costo del venduto</t>
  </si>
  <si>
    <t>Ratei e risconti passivi/fatturato</t>
  </si>
  <si>
    <t>Sottoscrizione, aumenti o riscatti capitale sociale</t>
  </si>
  <si>
    <t>Utilizzo riserve</t>
  </si>
  <si>
    <t>Dividendi distribuiti / utile netto</t>
  </si>
  <si>
    <t>BOME' S.P.A.</t>
  </si>
  <si>
    <t>38085 Pieve di Bono-Prezzo</t>
  </si>
  <si>
    <t>Codice fiscale</t>
  </si>
  <si>
    <t>00369120225</t>
  </si>
  <si>
    <t>Numero CCIAA</t>
  </si>
  <si>
    <t>TN0090691</t>
  </si>
  <si>
    <t>Società privata</t>
  </si>
  <si>
    <t>This company is Independent (but not the Global Ultimate Owner of a Corporate Group)</t>
  </si>
  <si>
    <t>Anagrafica</t>
  </si>
  <si>
    <t>Indirizzo sede legale</t>
  </si>
  <si>
    <t xml:space="preserve"> BEN, 3/G</t>
  </si>
  <si>
    <t>Numero di telefono</t>
  </si>
  <si>
    <t>0465674226</t>
  </si>
  <si>
    <t>38085 Pieve Di Bono-Prezzo</t>
  </si>
  <si>
    <t>Sito web</t>
  </si>
  <si>
    <t>TRENTO(TRENTINO-ALTO ADIGE/SÜDTIROL)</t>
  </si>
  <si>
    <t>Indirizzo sede operativa</t>
  </si>
  <si>
    <t>VIALE AL BEN 3/G</t>
  </si>
  <si>
    <t>TRENTO(TRENTINO-ALTO ADIGE)</t>
  </si>
  <si>
    <t>Informazioni commerciali e legali</t>
  </si>
  <si>
    <t>Ragione sociale precedente</t>
  </si>
  <si>
    <t>05/2025</t>
  </si>
  <si>
    <t>BOME' S.R.L.</t>
  </si>
  <si>
    <t>La data di variazione del nome è la data di acquisizione dell’informazione da parte di BvD</t>
  </si>
  <si>
    <t>Stato giuridico</t>
  </si>
  <si>
    <t>Attiva</t>
  </si>
  <si>
    <t>Data di chiusura ultimo bilancio</t>
  </si>
  <si>
    <t>31/12/2024</t>
  </si>
  <si>
    <t>Forma giuridica</t>
  </si>
  <si>
    <t>S.P.A.</t>
  </si>
  <si>
    <t>Numero di anni disponibili</t>
  </si>
  <si>
    <t>Data di costituzione</t>
  </si>
  <si>
    <t>Bilanci disponibili</t>
  </si>
  <si>
    <t>Bilancio non consolidato</t>
  </si>
  <si>
    <t>Ultimo modello di contabilità - Bilancio</t>
  </si>
  <si>
    <t>Dettagliato</t>
  </si>
  <si>
    <t>Informazioni su dimensione e gruppo</t>
  </si>
  <si>
    <t>Ricavi del vendite (2024)</t>
  </si>
  <si>
    <t>21.463.379 EUR</t>
  </si>
  <si>
    <t>Indicatore d'Indipendenza BvD</t>
  </si>
  <si>
    <t>B+</t>
  </si>
  <si>
    <t>Utile netto (2024)</t>
  </si>
  <si>
    <t>899.733 EUR</t>
  </si>
  <si>
    <t>N° azionisti registrati</t>
  </si>
  <si>
    <t>Totale Attività (2024)</t>
  </si>
  <si>
    <t>18.790.859 EUR</t>
  </si>
  <si>
    <t>N° partecipate registrate</t>
  </si>
  <si>
    <t>Dipendenti (2024)</t>
  </si>
  <si>
    <t>30</t>
  </si>
  <si>
    <t>Capitale sociale (2024)</t>
  </si>
  <si>
    <t>140 migl EUR</t>
  </si>
  <si>
    <t>Principale Borsa</t>
  </si>
  <si>
    <t>Non quotata</t>
  </si>
  <si>
    <t>Classificazione mercelogica</t>
  </si>
  <si>
    <t>Descrizione attività italiano</t>
  </si>
  <si>
    <t>PRODUZIONE DI PRODOTTI A BASE DI CARNE (INCLUSA LA CARNE DI VOLATI )</t>
  </si>
  <si>
    <t>Descrizione attività inglese</t>
  </si>
  <si>
    <t>Production of meat and poultry meat products</t>
  </si>
  <si>
    <t>Ateco 2007</t>
  </si>
  <si>
    <t>101300 Produzione di prodotti a base di carne (inclusa la carne di volatili)</t>
  </si>
  <si>
    <t>SAE code</t>
  </si>
  <si>
    <t>430 Imprese produttive</t>
  </si>
  <si>
    <t>RAE code</t>
  </si>
  <si>
    <t>412 Carni fresche e conservate e altri prodotti della macellazione</t>
  </si>
  <si>
    <t>Gruppo dei pari</t>
  </si>
  <si>
    <t>Nome</t>
  </si>
  <si>
    <t>101 VL (Aziende Molto Grandi)</t>
  </si>
  <si>
    <t>Descrizione</t>
  </si>
  <si>
    <t>Lavorazione e conservazione di carne e produzione di prodotti a base di carne</t>
  </si>
  <si>
    <t>Dimensione</t>
  </si>
  <si>
    <t>388 società</t>
  </si>
  <si>
    <t>Profilo finanziario e dipendenti</t>
  </si>
  <si>
    <t>31/12/2023</t>
  </si>
  <si>
    <t>31/12/2022</t>
  </si>
  <si>
    <t>31/12/2021</t>
  </si>
  <si>
    <t>31/12/2020</t>
  </si>
  <si>
    <t>31/12/2019</t>
  </si>
  <si>
    <t>31/12/2018</t>
  </si>
  <si>
    <t>31/12/2017</t>
  </si>
  <si>
    <t>EUR</t>
  </si>
  <si>
    <t>12 mesi</t>
  </si>
  <si>
    <t>ICS</t>
  </si>
  <si>
    <t xml:space="preserve">  Ricavi delle vendite</t>
  </si>
  <si>
    <t xml:space="preserve">  EBITDA</t>
  </si>
  <si>
    <t xml:space="preserve">  Utile Netto</t>
  </si>
  <si>
    <t xml:space="preserve">  Totale Attività</t>
  </si>
  <si>
    <t xml:space="preserve">  Patrimonio Netto</t>
  </si>
  <si>
    <t xml:space="preserve">  Posizione finanziaria netta</t>
  </si>
  <si>
    <t xml:space="preserve">  EBITDA/Vendite (%)</t>
  </si>
  <si>
    <t xml:space="preserve">  Redditività delle vendite (ROS) (%)</t>
  </si>
  <si>
    <t xml:space="preserve">  Redditività del totale attivo (ROA) (%)</t>
  </si>
  <si>
    <t xml:space="preserve">  Redditività del capitale proprio (ROE) (%)</t>
  </si>
  <si>
    <t xml:space="preserve">  Debt/Equity ratio</t>
  </si>
  <si>
    <t xml:space="preserve">  Debiti v/banche su fatt. (%)</t>
  </si>
  <si>
    <t xml:space="preserve">  Debt/EBITDA ratio</t>
  </si>
  <si>
    <t xml:space="preserve">  Rotaz. cap. investito (volte)</t>
  </si>
  <si>
    <t xml:space="preserve">  Dipendenti</t>
  </si>
  <si>
    <t>Stato patrimoniale</t>
  </si>
  <si>
    <t>Attivo</t>
  </si>
  <si>
    <t xml:space="preserve"> A. CREDITI VERSO SOCI</t>
  </si>
  <si>
    <t xml:space="preserve">   Quota di capitale richiamata</t>
  </si>
  <si>
    <t xml:space="preserve"> B. TOTALE IMMOBILIZZAZIONI sep.ind. Di quelle conc. In loc. Finanz.</t>
  </si>
  <si>
    <t xml:space="preserve">  B.I. TOTALE IMMOB. IMMATERIALI</t>
  </si>
  <si>
    <t xml:space="preserve">   B.I.1. Costi impianto e ampl.</t>
  </si>
  <si>
    <t xml:space="preserve">   B.I.2. Costi ricerca e pubb.</t>
  </si>
  <si>
    <t xml:space="preserve">   B.I.3. Diritti brevetto ind.</t>
  </si>
  <si>
    <t xml:space="preserve">   B.I.4. Concessioni, licenze</t>
  </si>
  <si>
    <t xml:space="preserve">   B.I.5. Avviamento/Differenza di consolidamento</t>
  </si>
  <si>
    <t xml:space="preserve">    di cui: Avviamento</t>
  </si>
  <si>
    <t xml:space="preserve">   B.I.6. Imm. in corso</t>
  </si>
  <si>
    <t xml:space="preserve">   B.I.7. Altre immobiliz. Immateriali</t>
  </si>
  <si>
    <t xml:space="preserve">   Fondo amm.to Immob. Immateriali</t>
  </si>
  <si>
    <t>n.d.</t>
  </si>
  <si>
    <t xml:space="preserve">  B.II. TOTALE IMMOB. MATERIALI</t>
  </si>
  <si>
    <t xml:space="preserve">    di cui: Beni materiali concessi in locazione finanziaria</t>
  </si>
  <si>
    <t xml:space="preserve">   B.II.1. Terreni e fabbricati</t>
  </si>
  <si>
    <t xml:space="preserve">   B.II.2. Impianti</t>
  </si>
  <si>
    <t xml:space="preserve">   B.II.3. Attrez. industriali</t>
  </si>
  <si>
    <t xml:space="preserve">   B.II.4. Altri beni</t>
  </si>
  <si>
    <t xml:space="preserve">   B.II.5. Imm. in corso/acconti</t>
  </si>
  <si>
    <t xml:space="preserve">   Fondo amm.to Immob. Materiali</t>
  </si>
  <si>
    <t xml:space="preserve">  B.III. TOTALE IMMOB. FINANZIARIE</t>
  </si>
  <si>
    <t xml:space="preserve">    di cui: esigibili entro l'esercizio successivo</t>
  </si>
  <si>
    <t xml:space="preserve">   B.III.1. TOT Partecipazioni</t>
  </si>
  <si>
    <t xml:space="preserve">    B.III.1.a. Imprese controllate</t>
  </si>
  <si>
    <t xml:space="preserve">    B.III.1.b. Imprese collegate</t>
  </si>
  <si>
    <t xml:space="preserve">    B.III.1.c. Imprese controllanti</t>
  </si>
  <si>
    <t xml:space="preserve">    B.III.1.d. In imprese sottoposte al controllo delle controllanti</t>
  </si>
  <si>
    <t xml:space="preserve">    B.III.1.d.bis. Altre imprese</t>
  </si>
  <si>
    <t xml:space="preserve">   B.III.2. TOT CREDITI Imm. Fin.</t>
  </si>
  <si>
    <t xml:space="preserve">    B.III.2.a. Cred. vs Controllate entro</t>
  </si>
  <si>
    <t xml:space="preserve">    B.III.2.a. Cred. vs Controllate oltre</t>
  </si>
  <si>
    <t xml:space="preserve">    B.III.2.b. Cred. vs Collegate entro</t>
  </si>
  <si>
    <t xml:space="preserve">    B.III.2.b. Cred. vs Collegate oltre</t>
  </si>
  <si>
    <t xml:space="preserve">    B.III.2.c. Cred. vs Controllanti entro</t>
  </si>
  <si>
    <t xml:space="preserve">    B.III.2.c. Cred. vs Controllanti oltre</t>
  </si>
  <si>
    <t xml:space="preserve">    B.III.2.d. Cred. vs imprese sottoposte al controllo delle controllanti entro</t>
  </si>
  <si>
    <t xml:space="preserve">    B.III.2.d. Cred. vs imprese sottoposte al controllo delle controllanti oltre</t>
  </si>
  <si>
    <t xml:space="preserve">    B.III.2.d.bis. Cred. vs Altri entro</t>
  </si>
  <si>
    <t xml:space="preserve">    B.III.2.d.bis Cred. vs Altri oltre</t>
  </si>
  <si>
    <t xml:space="preserve">   B.III. CREDITI FIN. A BREVE</t>
  </si>
  <si>
    <t xml:space="preserve">   B.III. CREDITI FIN. A OLTRE</t>
  </si>
  <si>
    <t xml:space="preserve">   B.III.3. Altri titoli</t>
  </si>
  <si>
    <t xml:space="preserve">   B.III.3.bis. Azioni proprie</t>
  </si>
  <si>
    <t xml:space="preserve">   B.III.4. Strumenti finanziari derivati attivi</t>
  </si>
  <si>
    <t xml:space="preserve">   Azioni proprie DI CUI: Val nominale</t>
  </si>
  <si>
    <t xml:space="preserve"> C. ATTIVO CIRCOLANTE</t>
  </si>
  <si>
    <t xml:space="preserve">  C.I. TOTALE RIMANENZE</t>
  </si>
  <si>
    <t xml:space="preserve">   C.I.1. Materie prime</t>
  </si>
  <si>
    <t xml:space="preserve">   C.I.2. Prodotti semilav./in corso</t>
  </si>
  <si>
    <t xml:space="preserve">   C.I.3. Lavori in corso</t>
  </si>
  <si>
    <t xml:space="preserve">   C.I.4. Prodotti finiti</t>
  </si>
  <si>
    <t xml:space="preserve">   C.I.5. Acconti</t>
  </si>
  <si>
    <t xml:space="preserve">   Immobilizzazioni materiali destinate alla vendita</t>
  </si>
  <si>
    <t xml:space="preserve">  C.II. TOTALE CREDITI</t>
  </si>
  <si>
    <t xml:space="preserve">   C.II.1. Cred. vs Clienti entro</t>
  </si>
  <si>
    <t xml:space="preserve">   C.II.1. Cred. vs Clienti oltre</t>
  </si>
  <si>
    <t xml:space="preserve">   C.II.2. Cred. vs Controllate entro</t>
  </si>
  <si>
    <t xml:space="preserve">   C.II.2. Cred. vs Controllate oltre</t>
  </si>
  <si>
    <t xml:space="preserve">   C.II.3. Cred. vs Collegate entro</t>
  </si>
  <si>
    <t xml:space="preserve">   C.II.3. Cred. vs Collegate oltre</t>
  </si>
  <si>
    <t xml:space="preserve">   C.II.4. Cred. vs Controllanti entro</t>
  </si>
  <si>
    <t xml:space="preserve">   C.II.4. Cred. vs Controllanti oltre</t>
  </si>
  <si>
    <t xml:space="preserve">   C.II.5. Cred. vs imprese sottoposte al controllo delle controllanti entro</t>
  </si>
  <si>
    <t xml:space="preserve">   C.II.5. Cred. vs imprese sottoposte al controllo delle controllanti oltre</t>
  </si>
  <si>
    <t xml:space="preserve">   C.II.5.bis. Cred. tributari entro</t>
  </si>
  <si>
    <t xml:space="preserve">   C.II.5.bis. Cred. tributari oltre</t>
  </si>
  <si>
    <t xml:space="preserve">   C.II.5.ter. Cred. per imposte anticipate entro</t>
  </si>
  <si>
    <t xml:space="preserve">   C.II.5.ter. Cred. per imposte anticipate oltre</t>
  </si>
  <si>
    <t xml:space="preserve">   C.II.5.quater. Cred. verso altri entro</t>
  </si>
  <si>
    <t xml:space="preserve">   C.II.5.quater. Cred. verso altri oltre</t>
  </si>
  <si>
    <t xml:space="preserve">   C.II. Crediti a breve</t>
  </si>
  <si>
    <t xml:space="preserve">   Crediti per imposte anticipate</t>
  </si>
  <si>
    <t xml:space="preserve">   C.II. Crediti a oltre</t>
  </si>
  <si>
    <t xml:space="preserve">  C.III. TOTALE ATTIVITA' FINANZIARIE</t>
  </si>
  <si>
    <t xml:space="preserve">   C.III.1. Partec.ni in Controllate</t>
  </si>
  <si>
    <t xml:space="preserve">   C.III.2. Partec.ni in Collegate</t>
  </si>
  <si>
    <t xml:space="preserve">   C.III.3. Partec.ni in Controllanti</t>
  </si>
  <si>
    <t xml:space="preserve">   C.III.3.bis. Partec.ni in imprese sottoposte al controllo delle controllanti</t>
  </si>
  <si>
    <t xml:space="preserve">   C.III.4. Altre Partec.ni</t>
  </si>
  <si>
    <t xml:space="preserve">   C.III.4.bis. Azioni proprie</t>
  </si>
  <si>
    <t xml:space="preserve">   C.III.5. Strumenti finanziari derivati attivi</t>
  </si>
  <si>
    <t xml:space="preserve">   C.III.6. Altri titoli</t>
  </si>
  <si>
    <t xml:space="preserve">   C.III.7. Attività finanziarie per la gestione accentrata della tesoreria</t>
  </si>
  <si>
    <t xml:space="preserve">  C.IV. TOT. DISPON. LIQUIDE</t>
  </si>
  <si>
    <t xml:space="preserve">   C.IV.1. Depositi bancari</t>
  </si>
  <si>
    <t xml:space="preserve">   C.IV.2. Assegni</t>
  </si>
  <si>
    <t xml:space="preserve">   C.IV.3. Denaro in cassa</t>
  </si>
  <si>
    <t xml:space="preserve"> D. RATEI E RISCONTI</t>
  </si>
  <si>
    <t xml:space="preserve">  Disaggio su prestiti</t>
  </si>
  <si>
    <t xml:space="preserve"> TOTALE ATTIVO</t>
  </si>
  <si>
    <t xml:space="preserve"> Passivo</t>
  </si>
  <si>
    <t xml:space="preserve"> PATRIMONIO NETTO</t>
  </si>
  <si>
    <t xml:space="preserve"> A. TOTALE PATRIMONIO NETTO</t>
  </si>
  <si>
    <t xml:space="preserve">  A.I. Capitale sociale</t>
  </si>
  <si>
    <t xml:space="preserve">   di cui: Versamenti soci in c/capitale</t>
  </si>
  <si>
    <t xml:space="preserve">   di cui: Versamenti in c/futuro aumento di capitale</t>
  </si>
  <si>
    <t xml:space="preserve">   di cui: Versamenti in c/capitale</t>
  </si>
  <si>
    <t xml:space="preserve">   di cui: Versamenti a copertura perdite</t>
  </si>
  <si>
    <t xml:space="preserve">  A.II. Riserva da sovrapprezzo</t>
  </si>
  <si>
    <t xml:space="preserve">  A.III. Riserva di rivalutazione</t>
  </si>
  <si>
    <t xml:space="preserve">  A.IV. Riserva legale</t>
  </si>
  <si>
    <t xml:space="preserve">  A.V. Riserva statutaria</t>
  </si>
  <si>
    <t xml:space="preserve">  Riserva azioni proprie</t>
  </si>
  <si>
    <t xml:space="preserve">  A.VI. Altre riserve</t>
  </si>
  <si>
    <t xml:space="preserve">  Riserva da cons. del Gruppo</t>
  </si>
  <si>
    <t xml:space="preserve">  A.VII. Riserva per operazioni di copertura dei flussi finanziari attesi</t>
  </si>
  <si>
    <t xml:space="preserve">  A.VIII. Utile/perdita a nuovo</t>
  </si>
  <si>
    <t xml:space="preserve">  A.IX. Utile/perdita di esercizio</t>
  </si>
  <si>
    <t xml:space="preserve">   Acconto dividendi</t>
  </si>
  <si>
    <t xml:space="preserve">   Copertura parziale perdita di esercizio</t>
  </si>
  <si>
    <t xml:space="preserve">  A.X. Riserva negativa per azioni proprie in portafoglio (+/-)</t>
  </si>
  <si>
    <t xml:space="preserve">  TOTALE PATRIMONIO DEL GRUPPO</t>
  </si>
  <si>
    <t xml:space="preserve">  Capitale e riserve di pertinenza di TERZI</t>
  </si>
  <si>
    <t xml:space="preserve">   di cui: per imposte differite</t>
  </si>
  <si>
    <t xml:space="preserve">  Utile/perdita di es. di pertinenza di TERZI</t>
  </si>
  <si>
    <t xml:space="preserve">  TOTALE PATRIMONIO DI TERZI</t>
  </si>
  <si>
    <t xml:space="preserve"> B. TOTALE FONDI RISCHI</t>
  </si>
  <si>
    <t xml:space="preserve">  B.1. Fondo di Quiescenza</t>
  </si>
  <si>
    <t xml:space="preserve">  B.2. Fondo Imposte anche differite</t>
  </si>
  <si>
    <t xml:space="preserve">  B.3. Strumenti finanziari derivati passivi</t>
  </si>
  <si>
    <t xml:space="preserve">  B.4. Altri Fondi</t>
  </si>
  <si>
    <t xml:space="preserve">  di cui : fondo di consolidamento</t>
  </si>
  <si>
    <t xml:space="preserve"> C. TRATTAMENTO DI FINE RAPPORTO</t>
  </si>
  <si>
    <t xml:space="preserve"> Debiti</t>
  </si>
  <si>
    <t xml:space="preserve"> D. TOTALE DEBITI</t>
  </si>
  <si>
    <t xml:space="preserve">  D.1. Obblig.ni entro</t>
  </si>
  <si>
    <t xml:space="preserve">  D.1. Obblig.ni oltre</t>
  </si>
  <si>
    <t xml:space="preserve">  D.2. Obblig.ni convert. entro</t>
  </si>
  <si>
    <t xml:space="preserve">  D.2. Obblig.ni convert. oltre.</t>
  </si>
  <si>
    <t xml:space="preserve">  D.3. Soci per Finanziamenti entro</t>
  </si>
  <si>
    <t xml:space="preserve">  D.3. Soci per Finanziamenti oltre</t>
  </si>
  <si>
    <t xml:space="preserve">  D.4. Banche entro l'esercizio</t>
  </si>
  <si>
    <t xml:space="preserve">  D.4. Banche oltre l'esercizio</t>
  </si>
  <si>
    <t xml:space="preserve">  D.5. Altri finanziatori entro</t>
  </si>
  <si>
    <t xml:space="preserve">  D.5. Altri finanziatori oltre</t>
  </si>
  <si>
    <t xml:space="preserve">  D.6. Acconti entro</t>
  </si>
  <si>
    <t xml:space="preserve">  D.6. Acconti oltre</t>
  </si>
  <si>
    <t xml:space="preserve">  D.7. Fornitori entro</t>
  </si>
  <si>
    <t xml:space="preserve">  D.7. Fornitori oltre</t>
  </si>
  <si>
    <t xml:space="preserve">  D.8. Titoli di credito entro</t>
  </si>
  <si>
    <t xml:space="preserve">  D.8. Titoli di credito oltre</t>
  </si>
  <si>
    <t xml:space="preserve">  D.9. Imprese Controllate entro</t>
  </si>
  <si>
    <t xml:space="preserve">  D.9. Imprese Controllate oltre</t>
  </si>
  <si>
    <t xml:space="preserve">  D.10. Imprese Collegate entro</t>
  </si>
  <si>
    <t xml:space="preserve">  D.10. Imprese Collegate oltre</t>
  </si>
  <si>
    <t xml:space="preserve">  D.11. Controllanti entro</t>
  </si>
  <si>
    <t xml:space="preserve">  D.11. Controllanti oltre</t>
  </si>
  <si>
    <t xml:space="preserve">  D.11.bis. Debiti VS imprese sottoposte al controllo delle controllanti entro</t>
  </si>
  <si>
    <t xml:space="preserve">  D.11.bis. Debiti VS imprese sottoposte al controllo delle controllanti oltre</t>
  </si>
  <si>
    <t xml:space="preserve">  D.12. Debiti Tributari entro</t>
  </si>
  <si>
    <t xml:space="preserve">  D.12. Debiti Tributari oltre</t>
  </si>
  <si>
    <t xml:space="preserve">  D.13. Istituti previdenza entro</t>
  </si>
  <si>
    <t xml:space="preserve">  D.13. Istituti previdenza oltre</t>
  </si>
  <si>
    <t xml:space="preserve">  D.14. Altri Debiti entro</t>
  </si>
  <si>
    <t xml:space="preserve">  D.14. Altri Debiti oltre</t>
  </si>
  <si>
    <t xml:space="preserve">  D. DEBITI A BREVE</t>
  </si>
  <si>
    <t xml:space="preserve">  D. DEBITI A OLTRE</t>
  </si>
  <si>
    <t xml:space="preserve">  Total debiti entro l'esercizio</t>
  </si>
  <si>
    <t xml:space="preserve">  Total debiti oltre l'esercizio</t>
  </si>
  <si>
    <t xml:space="preserve"> E. RATEI E RISCONTI</t>
  </si>
  <si>
    <t xml:space="preserve">  Aggio sui prestiti</t>
  </si>
  <si>
    <t xml:space="preserve"> TOTALE PASSIVO</t>
  </si>
  <si>
    <t xml:space="preserve"> TOTALE CONTI D'ORDINE</t>
  </si>
  <si>
    <t xml:space="preserve">  Garanzie prestate</t>
  </si>
  <si>
    <t>Conto economico</t>
  </si>
  <si>
    <t xml:space="preserve"> A. TOT. VAL. DELLA PRODUZIONE</t>
  </si>
  <si>
    <t xml:space="preserve">  A.1. Ricavi vendite e prestazioni</t>
  </si>
  <si>
    <t xml:space="preserve">  A.2. Var. rimanenze prodotti</t>
  </si>
  <si>
    <t xml:space="preserve">  A.3. Variazione lavori</t>
  </si>
  <si>
    <t xml:space="preserve">  A.2. + A.3. Totale Variazioni</t>
  </si>
  <si>
    <t xml:space="preserve">  A.4. Incrementi di immob.</t>
  </si>
  <si>
    <t xml:space="preserve">  A.5. Altri ricavi</t>
  </si>
  <si>
    <t xml:space="preserve">  Contributi in conto esercizio</t>
  </si>
  <si>
    <t xml:space="preserve"> B. COSTI DELLA PRODUZIONE</t>
  </si>
  <si>
    <t xml:space="preserve">  B.6. Materie prime e consumo</t>
  </si>
  <si>
    <t xml:space="preserve">  B.7. Servizi</t>
  </si>
  <si>
    <t xml:space="preserve">  B.8. Godimento beni di terzi</t>
  </si>
  <si>
    <t xml:space="preserve">  B.9. Totale costi del personale</t>
  </si>
  <si>
    <t xml:space="preserve">   B.9.a. Salari e stipendi</t>
  </si>
  <si>
    <t xml:space="preserve">   B.9.b. Oneri sociali</t>
  </si>
  <si>
    <t xml:space="preserve">   B.9.c. Tratt. fine rapporto</t>
  </si>
  <si>
    <t xml:space="preserve">   B.9.d. Tratt. di quiescenza</t>
  </si>
  <si>
    <t xml:space="preserve">   B.9.e. Altri costi</t>
  </si>
  <si>
    <t xml:space="preserve">   B.9.f. TFR + quiescenza + altri costi</t>
  </si>
  <si>
    <t xml:space="preserve">  B.10. TOT Ammortamenti e svalut.</t>
  </si>
  <si>
    <t xml:space="preserve">   B.10.a. Amm. Immob. Immat.</t>
  </si>
  <si>
    <t xml:space="preserve">   B.10.b. Amm. Immob. Mat.</t>
  </si>
  <si>
    <t xml:space="preserve">   B.10.c. Altre svalut. Immob.</t>
  </si>
  <si>
    <t xml:space="preserve">   B.10.a+b+c. Amm. e svalut. delle immob.</t>
  </si>
  <si>
    <t xml:space="preserve">   B.10.d. Svalut. crediti</t>
  </si>
  <si>
    <t xml:space="preserve">  B.11. Variazione materie</t>
  </si>
  <si>
    <t xml:space="preserve">  B.12. Accantonamenti per rischi</t>
  </si>
  <si>
    <t xml:space="preserve">  B.13. Altri accantonamenti</t>
  </si>
  <si>
    <t xml:space="preserve">  B.14. Oneri diversi di gestione</t>
  </si>
  <si>
    <t xml:space="preserve"> RISULTATO OPERATIVO</t>
  </si>
  <si>
    <t xml:space="preserve"> Valore Aggiunto</t>
  </si>
  <si>
    <t xml:space="preserve"> C. TOTALE PROVENTI E ONERI FINANZIARI</t>
  </si>
  <si>
    <t xml:space="preserve">  C.15. Tot. proventi da partecip.</t>
  </si>
  <si>
    <t xml:space="preserve">  di cui: verso contr.anti, collegate, contr.te e sottoposte ctrl controllanti</t>
  </si>
  <si>
    <t xml:space="preserve">   di cui: da imprese controllanti</t>
  </si>
  <si>
    <t xml:space="preserve">   di cui: da imprese sottoposte al controllo delle controllanti</t>
  </si>
  <si>
    <t xml:space="preserve">  C.16. TOT Altri Proventi</t>
  </si>
  <si>
    <t xml:space="preserve">   C.16.a. Da Crediti</t>
  </si>
  <si>
    <t xml:space="preserve">    di cui: verso contr.anti, collegate, contr.te e sottoposte ctrl controllanti</t>
  </si>
  <si>
    <t xml:space="preserve">    di cui: da imprese sottoposte al controllo delle controllanti</t>
  </si>
  <si>
    <t xml:space="preserve">   C.16.b. Da titoli iscr. imm.</t>
  </si>
  <si>
    <t xml:space="preserve">   C.16.c. Da titoli iscr. att.circol.</t>
  </si>
  <si>
    <t xml:space="preserve">   C.16.b+c. Proventi da Titoli</t>
  </si>
  <si>
    <t xml:space="preserve">   C.16.d. Proventi fin. Diversi</t>
  </si>
  <si>
    <t xml:space="preserve">    di cui: verso contr.anti, collegate, contr.te e sottoposte ctrl controllantil</t>
  </si>
  <si>
    <t xml:space="preserve">  C.17. Totale Oneri finanziari</t>
  </si>
  <si>
    <t xml:space="preserve">   di cui: verso contr.anti, collegate, contr.te e sottoposte ctrl controllanti</t>
  </si>
  <si>
    <t xml:space="preserve">  C.17.bis Utili e perdite su cambi</t>
  </si>
  <si>
    <t xml:space="preserve"> D. TOTALE RETTIFICHE ATT. FINANZ.</t>
  </si>
  <si>
    <t xml:space="preserve">  D.18. TOT Rivalutazioni</t>
  </si>
  <si>
    <t xml:space="preserve">   D.18.a. Rivalut. di partec.</t>
  </si>
  <si>
    <t xml:space="preserve">   D.18.b. Rivalut. di altre imm. fin.</t>
  </si>
  <si>
    <t xml:space="preserve">   D.18.c. Rivalut. di titoli</t>
  </si>
  <si>
    <t xml:space="preserve">   D.18.d. Rivalut. di strumenti finanziari derivati</t>
  </si>
  <si>
    <t xml:space="preserve">   Rivalut. di attività finanziarie per la gestione accentrata della tesoreria</t>
  </si>
  <si>
    <t xml:space="preserve">  D.19. TOT Svalutazioni</t>
  </si>
  <si>
    <t xml:space="preserve">   D.19.a. Svalut. di partec.</t>
  </si>
  <si>
    <t xml:space="preserve">   D.19.b. Svalut. di altre imm. fin.</t>
  </si>
  <si>
    <t xml:space="preserve">   D.19.c. Svalut. di titoli</t>
  </si>
  <si>
    <t xml:space="preserve">   D.19.d. Svalut. di strumenti finanziari derivati</t>
  </si>
  <si>
    <t xml:space="preserve">   Svalut. di attività finanziarie per la gestione accentrata della tesoreria</t>
  </si>
  <si>
    <t xml:space="preserve"> TOTALE PROVENTI/ONERI STRAORDINARI</t>
  </si>
  <si>
    <t xml:space="preserve">  Proventi Straordinari</t>
  </si>
  <si>
    <t xml:space="preserve">   di cui plusvalenze</t>
  </si>
  <si>
    <t xml:space="preserve">  Oneri Straordinari</t>
  </si>
  <si>
    <t xml:space="preserve">   di cui minusvalenze</t>
  </si>
  <si>
    <t xml:space="preserve">   di cui imposte esercizio precedente</t>
  </si>
  <si>
    <t xml:space="preserve"> RISULTATO PRIMA DELLE IMPOSTE</t>
  </si>
  <si>
    <t xml:space="preserve">  20. Totale Imposte sul reddito correnti, differite e anticipate</t>
  </si>
  <si>
    <t xml:space="preserve">   Imposte correnti</t>
  </si>
  <si>
    <t xml:space="preserve">   Imposte relative a esercizi precedenti</t>
  </si>
  <si>
    <t xml:space="preserve">   Imposte differite e anticipate</t>
  </si>
  <si>
    <t xml:space="preserve">   Imposte differite (+/-)</t>
  </si>
  <si>
    <t xml:space="preserve">   Imposte anticipate (+/-)</t>
  </si>
  <si>
    <t xml:space="preserve">   Prov. (oneri) da adesione al regime di trasparenza fiscale</t>
  </si>
  <si>
    <t xml:space="preserve">  21. UTILE/PERDITA DI ESERCIZIO</t>
  </si>
  <si>
    <t xml:space="preserve">  UTILE/PERDITA DI ESERCIZIO di pert. di TERZI</t>
  </si>
  <si>
    <t xml:space="preserve">  UTILE/PERDITA DI ESERCIZIO di pert. del GRUPPO</t>
  </si>
  <si>
    <t xml:space="preserve">   Dipendenti</t>
  </si>
  <si>
    <t>Indici</t>
  </si>
  <si>
    <t xml:space="preserve">  1. Indicatori finanziari</t>
  </si>
  <si>
    <t xml:space="preserve">   - Indice di liquidità</t>
  </si>
  <si>
    <t xml:space="preserve">   - Indice corrente</t>
  </si>
  <si>
    <t xml:space="preserve">   - Indice di indebitam. a breve</t>
  </si>
  <si>
    <t xml:space="preserve">   - Indice di indebitam. a lungo</t>
  </si>
  <si>
    <t xml:space="preserve">   - Indice di copertura delle immob. (patrimoniale)</t>
  </si>
  <si>
    <t xml:space="preserve">   - Grado di ammortamento</t>
  </si>
  <si>
    <t xml:space="preserve">   - Rapporto di indebitamento</t>
  </si>
  <si>
    <t xml:space="preserve">   - Indice di copertura delle immob. (finanziario)</t>
  </si>
  <si>
    <t xml:space="preserve">   - Debiti v/banche su fatt.</t>
  </si>
  <si>
    <t xml:space="preserve">   - Costo denaro a prestito</t>
  </si>
  <si>
    <t xml:space="preserve">   - Grado di copertura degli interessi passivi</t>
  </si>
  <si>
    <t xml:space="preserve">   - Oneri finanz. su fatt.</t>
  </si>
  <si>
    <t xml:space="preserve">   - Indice di indip. Finanz.</t>
  </si>
  <si>
    <t xml:space="preserve">   - Grado di indip. da terzi</t>
  </si>
  <si>
    <t xml:space="preserve">   - Posizione finanziaria netta</t>
  </si>
  <si>
    <t xml:space="preserve">   - Debt/Equity ratio</t>
  </si>
  <si>
    <t xml:space="preserve">   - Debt/EBITDA ratio</t>
  </si>
  <si>
    <t xml:space="preserve">  2. Indici della gestione corrente</t>
  </si>
  <si>
    <t xml:space="preserve">   - Rotaz. cap. investito (volte)</t>
  </si>
  <si>
    <t xml:space="preserve">   - Rotaz. cap. cir. lordo (volte)</t>
  </si>
  <si>
    <t xml:space="preserve">   - Incidenza circolante operativo</t>
  </si>
  <si>
    <t xml:space="preserve">   - Giac. media delle scorte (gg)</t>
  </si>
  <si>
    <t xml:space="preserve">   - Giorni copertura scorte (gg)</t>
  </si>
  <si>
    <t xml:space="preserve">   - Durata media dei crediti al lordo IVA (gg)</t>
  </si>
  <si>
    <t xml:space="preserve">   - Durata media dei debiti al lordo IVA (gg)</t>
  </si>
  <si>
    <t xml:space="preserve">   - Durata Ciclo Commerciale (gg)</t>
  </si>
  <si>
    <t xml:space="preserve">  3. Indici di redditività</t>
  </si>
  <si>
    <t xml:space="preserve">   - EBITDA</t>
  </si>
  <si>
    <t xml:space="preserve">   - EBITDA/Vendite</t>
  </si>
  <si>
    <t xml:space="preserve">   - Redditività del totale attivo (ROA)</t>
  </si>
  <si>
    <t xml:space="preserve">   - Redditività di tutto il capitale investito (ROI)</t>
  </si>
  <si>
    <t xml:space="preserve">   - Redditività delle vendite (ROS)</t>
  </si>
  <si>
    <t xml:space="preserve">   - Redditività del capitale proprio (ROE)</t>
  </si>
  <si>
    <t xml:space="preserve">   - Incid. oneri/Proventi extrag. (%)</t>
  </si>
  <si>
    <t xml:space="preserve">  4. Indici di produttività</t>
  </si>
  <si>
    <t xml:space="preserve">   - Dipendenti</t>
  </si>
  <si>
    <t xml:space="preserve">   - Ricavi pro-capite</t>
  </si>
  <si>
    <t xml:space="preserve">   - Valore aggiunto pro-capite</t>
  </si>
  <si>
    <t xml:space="preserve">   - Costo lavoro per addetto</t>
  </si>
  <si>
    <t xml:space="preserve">   - Rendimento dipendenti</t>
  </si>
  <si>
    <t xml:space="preserve">  5. Dati significativi</t>
  </si>
  <si>
    <t xml:space="preserve">   - Capitale circolante netto</t>
  </si>
  <si>
    <t xml:space="preserve">   - Margine sui consumi</t>
  </si>
  <si>
    <t xml:space="preserve">   - Margine di tesoreria</t>
  </si>
  <si>
    <t xml:space="preserve">   - Margine di struttura</t>
  </si>
  <si>
    <t xml:space="preserve">   - Flusso di cassa di gestione</t>
  </si>
  <si>
    <t>Probabilità di Default</t>
  </si>
  <si>
    <t>You have no access to Probability of default module.</t>
  </si>
  <si>
    <t>Fondo di Garanzia (DFKA)</t>
  </si>
  <si>
    <t>You have no access to the DFKA module.</t>
  </si>
  <si>
    <t>Attuali Esponenti/ Manager/ Contatti/ Sindaci</t>
  </si>
  <si>
    <t>Consigli e altri organi societari</t>
  </si>
  <si>
    <t>= anche azionista</t>
  </si>
  <si>
    <t>Ruolo</t>
  </si>
  <si>
    <t>Organo</t>
  </si>
  <si>
    <t>Fonte</t>
  </si>
  <si>
    <t>1. </t>
  </si>
  <si>
    <t>Signora Nora Bome</t>
  </si>
  <si>
    <t>-</t>
  </si>
  <si>
    <t>CONSIGLIERE;PRESIDENTE CONSIGLIO AMMINISTRAZIONE (dal 02/02/2024 a 31/12/2026)</t>
  </si>
  <si>
    <t>BoD</t>
  </si>
  <si>
    <t>HO</t>
  </si>
  <si>
    <t>P379140068</t>
  </si>
  <si>
    <t>Cerved (received on 17/03/2026)</t>
  </si>
  <si>
    <t>2. </t>
  </si>
  <si>
    <t>Sig. Dario Bome</t>
  </si>
  <si>
    <t>CONSIGLIERE;VICE PRESIDENTE CONSIGLIO AMMINISTRAZIONE (dal 02/02/2024 a 31/12/2026)</t>
  </si>
  <si>
    <t>P371038227</t>
  </si>
  <si>
    <t>3. </t>
  </si>
  <si>
    <t>Sig. Fabio Bome</t>
  </si>
  <si>
    <t>CONSIGLIERE DELEGATO (dal 02/02/2024 a 31/12/2026)</t>
  </si>
  <si>
    <t>P204169342</t>
  </si>
  <si>
    <t>4. </t>
  </si>
  <si>
    <t>Signora Daniela Bome</t>
  </si>
  <si>
    <t>CONSIGLIERE (dal 02/02/2024 a 31/12/2026)</t>
  </si>
  <si>
    <t>P784457805</t>
  </si>
  <si>
    <t>5. </t>
  </si>
  <si>
    <t>Signora Silvia Bome</t>
  </si>
  <si>
    <t>P784478431</t>
  </si>
  <si>
    <t>6. </t>
  </si>
  <si>
    <t>Sig. Luca Tomasi</t>
  </si>
  <si>
    <t>PRESIDENTE DEL COLLEGIO SINDACALE (dal 17/04/2025 a 31/12/2027)</t>
  </si>
  <si>
    <t>AudC</t>
  </si>
  <si>
    <t>P185391184</t>
  </si>
  <si>
    <t>7. </t>
  </si>
  <si>
    <t>Sig. Luca Chini</t>
  </si>
  <si>
    <t>SINDACO SUPPLENTE (dal 17/04/2025 a 31/12/2027)</t>
  </si>
  <si>
    <t>P087275063</t>
  </si>
  <si>
    <t>8. </t>
  </si>
  <si>
    <t>Signora Silvia Santorum</t>
  </si>
  <si>
    <t>SINDACO EFFETTIVO (dal 17/04/2025 a 31/12/2027)</t>
  </si>
  <si>
    <t>P702225130</t>
  </si>
  <si>
    <t>9. </t>
  </si>
  <si>
    <t>Signora Janette Turrini</t>
  </si>
  <si>
    <t>P206441062</t>
  </si>
  <si>
    <t>10. </t>
  </si>
  <si>
    <t>Sig. Tomas Visintainer</t>
  </si>
  <si>
    <t>P159558630</t>
  </si>
  <si>
    <t>Azionisti controllanti</t>
  </si>
  <si>
    <t>Indice d'Indipendenza BvD: B+</t>
  </si>
  <si>
    <t>Definizione di Azionista di Riferimento in uso</t>
  </si>
  <si>
    <t>Percentuale minima 50,01% di controllo, Azionisti conosciuti e non conosciuti</t>
  </si>
  <si>
    <t>This entity is independent and has no controlling shareholders.</t>
  </si>
  <si>
    <t>Visualizza la sezione del report degli Azionisti attuali per vedere più azionisti.</t>
  </si>
  <si>
    <t>Partecipazioni attuali</t>
  </si>
  <si>
    <t>Azionariato e partecipazioni</t>
  </si>
  <si>
    <t>Informazioni sulla società</t>
  </si>
  <si>
    <t>Nome partecipata</t>
  </si>
  <si>
    <t>Paese</t>
  </si>
  <si>
    <t>% diretta</t>
  </si>
  <si>
    <t>% totale</t>
  </si>
  <si>
    <t>Livello</t>
  </si>
  <si>
    <t>Status</t>
  </si>
  <si>
    <t>Codice ident.</t>
  </si>
  <si>
    <t>Data info</t>
  </si>
  <si>
    <t>Varia-</t>
  </si>
  <si>
    <t>N. di</t>
  </si>
  <si>
    <t>zione</t>
  </si>
  <si>
    <t>(mil EUR)*</t>
  </si>
  <si>
    <t>dipendenti</t>
  </si>
  <si>
    <t>CONSORZIO PRODUTTORI TRENTINI DI SALUMI</t>
  </si>
  <si>
    <t>IT</t>
  </si>
  <si>
    <t>ð</t>
  </si>
  <si>
    <t>&lt;0,5</t>
  </si>
  <si>
    <t>*</t>
  </si>
  <si>
    <t>= Per una assicurazione il valore corrispondente è il Gross Premium Written, per una banca è l’Operating Income (memo)</t>
  </si>
  <si>
    <t>M&amp;A deal</t>
  </si>
  <si>
    <t>Per questa società non sono disponibili operazioni M&amp;A</t>
  </si>
  <si>
    <t>Sindaci (5)</t>
  </si>
  <si>
    <t>Amministratori (5)</t>
  </si>
  <si>
    <t>Servizi totali</t>
  </si>
  <si>
    <t>accantonamenti per rischi</t>
  </si>
  <si>
    <t>Godimento di beni terzi</t>
  </si>
  <si>
    <t>spese doganali import-export-trasporti</t>
  </si>
  <si>
    <t>per il 2026</t>
  </si>
  <si>
    <t>per il 2027</t>
  </si>
  <si>
    <t>si ipotizza rimane invariato</t>
  </si>
  <si>
    <t>qta</t>
  </si>
  <si>
    <t>Le assunzioni sul numero di dipendenti sono fatti sulla base delle foto disponibili sul sito aziendale, sulle immagini e dimensione del sito produttivo e dal numero di auto presenti e chiaramente inerenti all'impresa produttiva.</t>
  </si>
  <si>
    <t>Amministratori e Sindaci</t>
  </si>
  <si>
    <t>unità Consiglio di amministrazione</t>
  </si>
  <si>
    <t>presidente del colleggio sindacale</t>
  </si>
  <si>
    <t>unità sindaci</t>
  </si>
  <si>
    <t>https://www.conflavoro.it/ccnl/contratto-nazionale-trasporti/</t>
  </si>
  <si>
    <t>RSPP</t>
  </si>
  <si>
    <t>consulente HACCP</t>
  </si>
  <si>
    <t>https://www.adecco.com/it-it/candidati/il-lavoro-che-cambia/rspp-cosa-fa</t>
  </si>
  <si>
    <t>Tecnologo</t>
  </si>
  <si>
    <t>https://www.jobbydoo.it/stipendio/consulente-haccp#:~:text=Domande%20Frequenti%20sullo%20Stipendio%20del%20Consulente%20HACCP,%C3%A8%20di%20circa%2050.000%20%E2%82%AC%20lordi%20all'anno.</t>
  </si>
  <si>
    <t>https://www.glassdoor.it/Stipendi/consulente-tecnico-alimentare-stipendio-SRCH_KO0,29.htm</t>
  </si>
  <si>
    <t>Presidente del Cda (F. Bomè)</t>
  </si>
  <si>
    <t>Spese per collaboratori</t>
  </si>
  <si>
    <t>spese per consulenza commerciale</t>
  </si>
  <si>
    <t>spese per consulenza tributaria/legale</t>
  </si>
  <si>
    <t>spese di auditing</t>
  </si>
  <si>
    <t>diritti d'autore, R&amp;D, royalties, brevetti,costi di licenze export, certificazioni</t>
  </si>
  <si>
    <t>mostre, fiere, viaggi</t>
  </si>
  <si>
    <t>assicurazioni</t>
  </si>
  <si>
    <t>spese di pulizia</t>
  </si>
  <si>
    <t>spese gestione rifiuti</t>
  </si>
  <si>
    <t>spese gestione idrica</t>
  </si>
  <si>
    <t xml:space="preserve">spese gestione elettrica </t>
  </si>
  <si>
    <t>Margine di contribuzione</t>
  </si>
  <si>
    <t>Margine di contribuzione in %</t>
  </si>
  <si>
    <t>Costi fissi</t>
  </si>
  <si>
    <t>Costi di sviluppo</t>
  </si>
  <si>
    <t>Totale costi fissi</t>
  </si>
  <si>
    <t>BEP Fatturato (CF/MDC%)</t>
  </si>
  <si>
    <t>Indice di flessibilità (CV tot/CF tot)</t>
  </si>
  <si>
    <t>%CV su CT</t>
  </si>
  <si>
    <t>%CF su CT</t>
  </si>
  <si>
    <t>Quantità in kg</t>
  </si>
  <si>
    <t>Costo variabile unitario</t>
  </si>
  <si>
    <t>Margine di contribuzione unitario</t>
  </si>
  <si>
    <t>BEP in volume (kg) (CF/MDCu)</t>
  </si>
  <si>
    <t>Costi di manodopera (compreso TFR)</t>
  </si>
  <si>
    <t>Ricavo unitario ponderato</t>
  </si>
  <si>
    <t>Margine di sicurezza</t>
  </si>
  <si>
    <t>MDS assoluto</t>
  </si>
  <si>
    <t>+Ricavi effettivi</t>
  </si>
  <si>
    <t>-Fatturato di pareggio (EBIT)</t>
  </si>
  <si>
    <t>MDS Relativo</t>
  </si>
  <si>
    <t>MDS%</t>
  </si>
  <si>
    <t>Diritti brevetti industriali</t>
  </si>
  <si>
    <t>Concessioni, Licenze</t>
  </si>
  <si>
    <t>Altre immobilizzazioni immateriali</t>
  </si>
  <si>
    <t>Terreni e fabbricati</t>
  </si>
  <si>
    <t>Impianti</t>
  </si>
  <si>
    <t>Attrezzature industriali</t>
  </si>
  <si>
    <t>Immobilizzazioni in corso</t>
  </si>
  <si>
    <t>Partecipazioni</t>
  </si>
  <si>
    <t>Totale investimenti finanziari</t>
  </si>
  <si>
    <t>Totale investimenti materiali</t>
  </si>
  <si>
    <t>Totale investimenti immateriali</t>
  </si>
  <si>
    <t>BILANCIO CONSUNTIVO</t>
  </si>
  <si>
    <t>brevetto 1</t>
  </si>
  <si>
    <t>aliquota</t>
  </si>
  <si>
    <t>brevetto 2</t>
  </si>
  <si>
    <t>licenza 1</t>
  </si>
  <si>
    <t>altre immobilizzazioni immateriali</t>
  </si>
  <si>
    <t>check</t>
  </si>
  <si>
    <t>ammto straordinario</t>
  </si>
  <si>
    <t>n.d</t>
  </si>
  <si>
    <t>Spacchetto ammortamenti</t>
  </si>
  <si>
    <t>https://www.agenziaentrate.gov.it/portale/documents/20143/1704562/Decreto+del+31_12_1988+-+Min.+Finanze+coefficienti+di+ammortamento.pdf/f7d5c11d-cc79-ecf7-efc8-f1fc90cc00a3#page=6.00</t>
  </si>
  <si>
    <t>Disponibilità liquide</t>
  </si>
  <si>
    <t>Depositi bancari</t>
  </si>
  <si>
    <t>dipende dal tipo di gestione cassa</t>
  </si>
  <si>
    <t>CCN operativo</t>
  </si>
  <si>
    <t>Crediti verso clienti</t>
  </si>
  <si>
    <t>Attivo circolante</t>
  </si>
  <si>
    <t>var.</t>
  </si>
  <si>
    <t>Debiti verso fornitori</t>
  </si>
  <si>
    <t>Passivo circolante</t>
  </si>
  <si>
    <t>var. CCN operativo</t>
  </si>
  <si>
    <t>MO</t>
  </si>
  <si>
    <t>investimenti immateriali</t>
  </si>
  <si>
    <t>investimenti materiali</t>
  </si>
  <si>
    <t>fondo attuale - 2027</t>
  </si>
  <si>
    <t>Banche entro</t>
  </si>
  <si>
    <t>Banche oltre</t>
  </si>
  <si>
    <t>Debiti pregressi a breve</t>
  </si>
  <si>
    <t>Debiti pregressi a medio/lungo</t>
  </si>
  <si>
    <t>Analisi indebitamento</t>
  </si>
  <si>
    <t>Altri fin entro</t>
  </si>
  <si>
    <t>Debiti tributari entro</t>
  </si>
  <si>
    <t>Istituti previdenza entro</t>
  </si>
  <si>
    <t>Altri debiti entro</t>
  </si>
  <si>
    <t>&lt;- rinegoziazione debito nel 2022 riportato a 2023</t>
  </si>
  <si>
    <t>Consideriamo alcuni investimenti particolari che hanno molto probabilmento richiesto un intervento di indebitamento</t>
  </si>
  <si>
    <t>investimento</t>
  </si>
  <si>
    <t>quota liquida</t>
  </si>
  <si>
    <t>quota indebitata</t>
  </si>
  <si>
    <t>tasso di indebitamento</t>
  </si>
  <si>
    <t>durata debito</t>
  </si>
  <si>
    <t>tipo</t>
  </si>
  <si>
    <t>mutuo</t>
  </si>
  <si>
    <t>prestito</t>
  </si>
  <si>
    <t>https://bancaria.it/news/pubblicato-il-rapporto-abi-di-maggio-2020/</t>
  </si>
  <si>
    <t>https://www.asinazionale.it/notizie/la-legge-di-conversione-del-decreto-liquidita-e-le-modifiche-per-i-finanziamenti-alle-imprese/</t>
  </si>
  <si>
    <t>https://www.simplybiz.eu/abi-mutui-tassi-dicembre-2021/#:~:text=L'andamento%20del%20tasso%20Abi,1%2C42%25%20a%20giugno.</t>
  </si>
  <si>
    <t>https://www.conflavoro.it/tasso-medio-prestiti-imprese-capobianco/</t>
  </si>
  <si>
    <t>rata principal</t>
  </si>
  <si>
    <t>quota interessi</t>
  </si>
  <si>
    <t xml:space="preserve">Analisi prestito </t>
  </si>
  <si>
    <t>Anno</t>
  </si>
  <si>
    <t>Totale rata</t>
  </si>
  <si>
    <t>dettagli:</t>
  </si>
  <si>
    <t>rata annuale</t>
  </si>
  <si>
    <t>quota capitale</t>
  </si>
  <si>
    <t xml:space="preserve">capitale iniziale </t>
  </si>
  <si>
    <t>capitale da rimborsare</t>
  </si>
  <si>
    <t>rata</t>
  </si>
  <si>
    <t>capitale</t>
  </si>
  <si>
    <t>interessi</t>
  </si>
  <si>
    <t>versamenti prestiti/mutui minimi ipotizzati</t>
  </si>
  <si>
    <t>rispetto al totale di investimenti nello stesso time frame</t>
  </si>
  <si>
    <t>rapporto</t>
  </si>
  <si>
    <t>&lt;- quota di prestito, non valutata in analisi finanziamenti e tassi.</t>
  </si>
  <si>
    <t>Rispetto alla quota di investimenti di cui non si è valutata la tipologia di finanziamento:</t>
  </si>
  <si>
    <t>Tenendo considerazione dei prestiti rimanenti, di cui maggior parte a breve termine, e con un tasso molto probabilmene maggiore si ipotizza un tasso del 5% (base del fine 2023).</t>
  </si>
  <si>
    <t>Data la natura singola di ciascun componente di investimento di capitale minore, la consideriamo finanziamento BT</t>
  </si>
  <si>
    <t>E' da ripagare in aggiunta alle rateizzazioni degli altri investimenti.</t>
  </si>
  <si>
    <t>Oltre agli investimenti sembrano esserci altri vari tipi di finanziamento. Per valutarne l'intensità e dimensione si procede sottraendo a voci consultive del bilancio appartenenti a finanziamenti le quote conosciute e ipotizzate, per ottenere la quantità precedentemente rimborsata di finanziamenti.ù</t>
  </si>
  <si>
    <t>tot debiti = fin. Imm. Investimenti conosciuti + fin. Imm. Investimenti non conosciuti + altri finanziamenti</t>
  </si>
  <si>
    <t>Ottenendo la voce di altri finanziamenti e valutando se storicamente il rapporto ha una tendenza lineare o andamento costante verrà utilizzato come base futura per le previsioni nel 25-26-27</t>
  </si>
  <si>
    <t>finanziamento investimenti imm. Ipotizzati</t>
  </si>
  <si>
    <t>finanziamento investimenti imm. Ignoti</t>
  </si>
  <si>
    <t>altri finanziamenti</t>
  </si>
  <si>
    <t>debiti a m/l</t>
  </si>
  <si>
    <t>debiti a breve</t>
  </si>
  <si>
    <t>per considerare solo il debito residuo si prende investimento iniziale e si rimuovono necessarie rate fino ad arriare all'anno di interesse</t>
  </si>
  <si>
    <t>Data l'assenza di dati sufficienti si procede ad attribuire in questa analisi previsionale, come dato di debito totale la quota di debito ipoteticamente noto sommata alla quota di debito ignoto, ignorando eventuali altri finanziamenti.</t>
  </si>
  <si>
    <t>rapporto deb m.l/tot</t>
  </si>
  <si>
    <t>rapporto deb bt/tot</t>
  </si>
  <si>
    <t>analisi liquidità</t>
  </si>
  <si>
    <t>2024 quick ratio</t>
  </si>
  <si>
    <t>(disp.liq+crediti bt)/debiti imm</t>
  </si>
  <si>
    <t>-&gt; utilizziamo questo indice come obbiettivo, cerchiamo diavere una capacità sufficiente di ripagare i debiti immediati</t>
  </si>
  <si>
    <t>dipende molto dai crediti però</t>
  </si>
  <si>
    <t>2024 liq. Imm</t>
  </si>
  <si>
    <t xml:space="preserve">-&gt; nel 2024 con le sole disponibilità liquide si sarebbe potuto coprire il 7% di passività </t>
  </si>
  <si>
    <t>debiti v/banche entro</t>
  </si>
  <si>
    <t>disponibilità liq. Immediate</t>
  </si>
  <si>
    <t>indice di liquidità immediata</t>
  </si>
  <si>
    <t>interesse ipoteticamente noto</t>
  </si>
  <si>
    <t>-&gt; ogni anno una parte di debiti a m/l viene traformato in bt, la parte a scadenza. Il debito a B7t può essere rimandato o versato.</t>
  </si>
  <si>
    <t xml:space="preserve">    -&gt; valori totalmente ipotetici basati solo sulla quota di debito ignoto sul parte di debito noto</t>
  </si>
  <si>
    <t>totale rimborso</t>
  </si>
  <si>
    <t>tipo noto</t>
  </si>
  <si>
    <t>Rapporto oneri/debito breve</t>
  </si>
  <si>
    <t>Rapporto oneri/debito medio/lungo</t>
  </si>
  <si>
    <t>Aliquota media d'imposta IRES</t>
  </si>
  <si>
    <t>Aliquota media d'imposta IRAP</t>
  </si>
  <si>
    <t>Imponibile IRAP (A-B)</t>
  </si>
  <si>
    <t>IRES</t>
  </si>
  <si>
    <t>Imponibile IRES (utile+costi non deducibili-redditi non imponibili)</t>
  </si>
  <si>
    <t>utile ante-imposte</t>
  </si>
  <si>
    <t>Ricavi di vendita con IVA, giornalieri</t>
  </si>
  <si>
    <t>Tempo medio di incasso da clienti [gg]</t>
  </si>
  <si>
    <t>Crediti vs altri</t>
  </si>
  <si>
    <t>Crediti tributari</t>
  </si>
  <si>
    <t>(Godimento beni di terzi)</t>
  </si>
  <si>
    <t>EBIT</t>
  </si>
  <si>
    <t>% di crescita utile netto</t>
  </si>
  <si>
    <t xml:space="preserve">n.d. </t>
  </si>
  <si>
    <t>Altre riserve</t>
  </si>
  <si>
    <t>Riserva legale</t>
  </si>
  <si>
    <t>Residual income</t>
  </si>
  <si>
    <t>cost-opportunity investments; BTP short-term 2028</t>
  </si>
  <si>
    <t>Totale costi variabili</t>
  </si>
  <si>
    <t>budget cancelleria varia, inchiostro stampanti, fogli</t>
  </si>
  <si>
    <t>Benchmark di settore</t>
  </si>
  <si>
    <t>CALCOLO COSTI DIPENDENTI SU BASE DEL PROFILO</t>
  </si>
  <si>
    <t>Metodo di calcolo:</t>
  </si>
  <si>
    <t>RAL (12, 13 o 14)</t>
  </si>
  <si>
    <t>+oneri sociali aka contributi INPS/INAIL (35% RAL)</t>
  </si>
  <si>
    <t>+TFR (RAL/13,5)</t>
  </si>
  <si>
    <t>+costi accessori per dipendente singolo</t>
  </si>
  <si>
    <t xml:space="preserve">Totale </t>
  </si>
  <si>
    <t>oneri sociali</t>
  </si>
  <si>
    <t>costi accessori</t>
  </si>
  <si>
    <t>T.quiesenza</t>
  </si>
  <si>
    <t>+T.Q e altri Obbl. simili</t>
  </si>
  <si>
    <t>given coef cross-check</t>
  </si>
  <si>
    <t>actual coef</t>
  </si>
  <si>
    <t>+TFR</t>
  </si>
  <si>
    <t xml:space="preserve">+oneri sociali aka contributi INPS/INAIL </t>
  </si>
  <si>
    <t>Figura di riferimento:</t>
  </si>
  <si>
    <t>Responsabile del Settore Alimentare (OSA)</t>
  </si>
  <si>
    <t>Fig. neccessarie</t>
  </si>
  <si>
    <t>CCNL</t>
  </si>
  <si>
    <t>src</t>
  </si>
  <si>
    <t>Alimentari e industria</t>
  </si>
  <si>
    <t>https://www.conflavoro.it/ccnl/contratto-nazionale-alimentari-industria/#:~:text=Table_title:%20Settore%20Alimentare%20Table_content:%20header:%20%7C%20Livello,%7C%20Minimi%20al%2001.01.2026:%20%E2%82%AC%202.379%2C00%20%7C</t>
  </si>
  <si>
    <t>paga giornaliera</t>
  </si>
  <si>
    <t>26 gg</t>
  </si>
  <si>
    <t>paga oraria</t>
  </si>
  <si>
    <t>Settore Alimentare</t>
  </si>
  <si>
    <t>Minimi al</t>
  </si>
  <si>
    <t>01.07.2025</t>
  </si>
  <si>
    <t>01.01.2026</t>
  </si>
  <si>
    <t>01.01.2027</t>
  </si>
  <si>
    <t>Quadri*</t>
  </si>
  <si>
    <t>Primo livello</t>
  </si>
  <si>
    <t>Secondo livello</t>
  </si>
  <si>
    <t>Terzo livello</t>
  </si>
  <si>
    <t>Quarto livello</t>
  </si>
  <si>
    <t>Quinto livello</t>
  </si>
  <si>
    <t>Sesto livello</t>
  </si>
  <si>
    <t>Settimo livello</t>
  </si>
  <si>
    <t>Ottavo livello</t>
  </si>
  <si>
    <t>https://www.coverflex.com/it/blog/ccnl-industria-alimentare</t>
  </si>
  <si>
    <t>mensiilità</t>
  </si>
  <si>
    <t>Calcolo costi dipendenti</t>
  </si>
  <si>
    <t>Figura</t>
  </si>
  <si>
    <t>Responsabile di pianificazione</t>
  </si>
  <si>
    <t>Responsabile alimentare</t>
  </si>
  <si>
    <t>unitario</t>
  </si>
  <si>
    <t>RAL</t>
  </si>
  <si>
    <t>contributi INPS/INAIL</t>
  </si>
  <si>
    <t>Figure neccessarie:</t>
  </si>
  <si>
    <t>costo</t>
  </si>
  <si>
    <t>Operaio</t>
  </si>
  <si>
    <t>settimo</t>
  </si>
  <si>
    <t>quinto</t>
  </si>
  <si>
    <t xml:space="preserve">Operai con uso di strumenti tecnici </t>
  </si>
  <si>
    <t>Operai con spec.</t>
  </si>
  <si>
    <t>Primo</t>
  </si>
  <si>
    <t>Quarto</t>
  </si>
  <si>
    <t>Magazzinieri e operai logistici</t>
  </si>
  <si>
    <t>Addetto al magazzino</t>
  </si>
  <si>
    <t>https://www.contrattotrasporti.it/art-55-classificazione-personale/</t>
  </si>
  <si>
    <t>Trasporti</t>
  </si>
  <si>
    <t>Camionisti</t>
  </si>
  <si>
    <t>Settore Logistico</t>
  </si>
  <si>
    <t>Inquadramento</t>
  </si>
  <si>
    <t>Minimi dal</t>
  </si>
  <si>
    <t>Terzo livello Super</t>
  </si>
  <si>
    <t>–</t>
  </si>
  <si>
    <t>sesto</t>
  </si>
  <si>
    <t>terzo</t>
  </si>
  <si>
    <t>quarto</t>
  </si>
  <si>
    <t>Impiegato tecnico</t>
  </si>
  <si>
    <t>Impiegati tecnici (supervisione macchinari, manutenzione, automazione)</t>
  </si>
  <si>
    <t>Operai generici</t>
  </si>
  <si>
    <t>Impiegato tecnico-informatico</t>
  </si>
  <si>
    <t>Impiegato amministrativo-contabile</t>
  </si>
  <si>
    <t>Commerciale</t>
  </si>
  <si>
    <t>Reponsabile finanziario</t>
  </si>
  <si>
    <t>Responsabile esecutivo</t>
  </si>
  <si>
    <t>Responsabile commerciale</t>
  </si>
  <si>
    <t>Agente commerciale</t>
  </si>
  <si>
    <t>Viaggiatore e piazzista</t>
  </si>
  <si>
    <t>Prima categoria</t>
  </si>
  <si>
    <t>Seconda categoria</t>
  </si>
  <si>
    <t>Settore Viaggiatori e Piazzisti</t>
  </si>
  <si>
    <t>Terzo</t>
  </si>
  <si>
    <t>Quadro</t>
  </si>
  <si>
    <t>Responsabile finanziario</t>
  </si>
  <si>
    <t>RAL (14 mensilità)</t>
  </si>
  <si>
    <t>Nel 2025 si sostituisce un OSA, uscito nel 2024</t>
  </si>
  <si>
    <t>Maggiorazione di 40%</t>
  </si>
  <si>
    <t>coeficiente di maggiorazione e altro complessivi di premi:</t>
  </si>
  <si>
    <t>usato per avere volume salari simile a quelli in bilancio dato che i valori ccnl sono minimi indicativi senza contrattazione datore-dipendente</t>
  </si>
  <si>
    <t>Studio commerciale</t>
  </si>
  <si>
    <t>Studio legale</t>
  </si>
  <si>
    <t>spese servizi di manutenzione</t>
  </si>
  <si>
    <t>spese abbonamenti software professionali e gestionali</t>
  </si>
  <si>
    <t>spese per servizi di laboratorio avanzato</t>
  </si>
  <si>
    <t>altri costi, includendo imposte non sul reddito</t>
  </si>
  <si>
    <t>Rimanenze/Ricavi</t>
  </si>
  <si>
    <t>ANALISI FINANZIAMENTI</t>
  </si>
  <si>
    <t>Storico</t>
  </si>
  <si>
    <t>Nuovi debiti</t>
  </si>
  <si>
    <t>Debiti a BT nel</t>
  </si>
  <si>
    <t>Debiti a M/LT nel</t>
  </si>
  <si>
    <t>var risp x-1</t>
  </si>
  <si>
    <t>var tot risp x-1</t>
  </si>
  <si>
    <t>Gestione finanziaria incoerente</t>
  </si>
  <si>
    <t>Probabilmente debito non acceso? Rimandato al futuro mentre paga interessi anticipati</t>
  </si>
  <si>
    <t>delta usato</t>
  </si>
  <si>
    <t>what happened between 2022 and 2021??</t>
  </si>
  <si>
    <t>prestiti sul 0,80 degli immobili</t>
  </si>
  <si>
    <t>forecast lineare</t>
  </si>
  <si>
    <t xml:space="preserve">-&gt; siccome non sembra essere finanziato, si osserva variazione equity e riserve. Se non capitale finanziato è capitale apportato. </t>
  </si>
  <si>
    <t>!! Corretto, si osserva gonfiamento di altre riserve in PN post 2020. si passa da 1,6 mln a 4,6 mln.</t>
  </si>
  <si>
    <t>Totale oneri di competenza</t>
  </si>
  <si>
    <t>var. rimanenze</t>
  </si>
  <si>
    <t>var rim x-1</t>
  </si>
  <si>
    <t>spese per servizi: altro</t>
  </si>
  <si>
    <t>Svalutazione crediti</t>
  </si>
  <si>
    <t>Ragione sociale</t>
  </si>
  <si>
    <t>Costo del venduto/Ricavi [%]</t>
  </si>
  <si>
    <t>Costo dei servizi/Ricavi [%]</t>
  </si>
  <si>
    <t>Costo del lavoro/Ricavi [%]</t>
  </si>
  <si>
    <t>Accantonamento rischi/Ricavi [%]</t>
  </si>
  <si>
    <t>Costo medio dell'indebitamento M/L [%]</t>
  </si>
  <si>
    <t>Costo medio dell'indebitamento BT</t>
  </si>
  <si>
    <t>Proventi finanziari/Ricavi [%]</t>
  </si>
  <si>
    <t>Crediti vs clienti/Ricavi [%]</t>
  </si>
  <si>
    <t>Altri crediti/Ricavi [%]</t>
  </si>
  <si>
    <t>Debiti vs fornitori/Costo del venduto [%]</t>
  </si>
  <si>
    <t>Ratei e risconti attivi/Ricavi [%]</t>
  </si>
  <si>
    <t>Ratei e risconti passivi/Ricavi [%]</t>
  </si>
  <si>
    <t xml:space="preserve">ROS </t>
  </si>
  <si>
    <t>Segata SpA</t>
  </si>
  <si>
    <t>G. Pfitscher</t>
  </si>
  <si>
    <t>Merano Speck</t>
  </si>
  <si>
    <t>Ala carni</t>
  </si>
  <si>
    <t>Salumificio Val Rendena</t>
  </si>
  <si>
    <t>Trockner Sebastian</t>
  </si>
  <si>
    <t>Salumificio Trentino</t>
  </si>
  <si>
    <t>Salumi Simonini</t>
  </si>
  <si>
    <t>Rimanenze/Costo del venduto [%]</t>
  </si>
  <si>
    <t>Oneri finanziari</t>
  </si>
  <si>
    <t>debito a bt</t>
  </si>
  <si>
    <t>debito lt</t>
  </si>
  <si>
    <t>Rapporto Debiti a BT/Tot</t>
  </si>
  <si>
    <t>Costo dei servizi</t>
  </si>
  <si>
    <t>Costo del lavoro</t>
  </si>
  <si>
    <t>accantonamento risci</t>
  </si>
  <si>
    <t>Crediti v clienti</t>
  </si>
  <si>
    <t>rimanenze</t>
  </si>
  <si>
    <t>Ratei risconti attivi</t>
  </si>
  <si>
    <t>ratei risconti passivi</t>
  </si>
  <si>
    <t>proventi finanziari</t>
  </si>
  <si>
    <t>Benchmark settore</t>
  </si>
  <si>
    <t>Tempo medio di incasso crediti</t>
  </si>
  <si>
    <t>Proiezioni di cresita:</t>
  </si>
  <si>
    <t>https://www.mordorintelligence.it/industry-reports/global-cold-cuts-market</t>
  </si>
  <si>
    <t>linear regression</t>
  </si>
  <si>
    <t>TOTALE QUANTITA</t>
  </si>
  <si>
    <t>LABORATORIO DI PIANIFICAZIONE FINANZIARIA</t>
  </si>
  <si>
    <t>Docente:</t>
  </si>
  <si>
    <t>Laura Maran</t>
  </si>
  <si>
    <t>Studente:</t>
  </si>
  <si>
    <t>Box Alif Mahajan Fuhad</t>
  </si>
  <si>
    <t>A.A:</t>
  </si>
  <si>
    <t>2025-26</t>
  </si>
  <si>
    <t>BUSINESS MODEL</t>
  </si>
  <si>
    <t>PIANIFICAZIONE PER 2025-2026-2027</t>
  </si>
  <si>
    <t xml:space="preserve">P.IVA: </t>
  </si>
  <si>
    <t>Bomè S.P.A.</t>
  </si>
  <si>
    <t>Tasso di crescita annuale dei ricavi previsto:</t>
  </si>
  <si>
    <r>
      <rPr>
        <b/>
        <sz val="8.5"/>
        <color indexed="56"/>
        <rFont val="Calibri"/>
        <family val="2"/>
        <scheme val="minor"/>
      </rPr>
      <t>Filtro attuale:</t>
    </r>
    <r>
      <rPr>
        <sz val="8.5"/>
        <color indexed="63"/>
        <rFont val="Calibri"/>
        <family val="2"/>
        <scheme val="minor"/>
      </rPr>
      <t>Nessun filtro</t>
    </r>
  </si>
  <si>
    <r>
      <t xml:space="preserve"> Le società sottolineate e visualizzate in blu - grassetto sono disponibili su</t>
    </r>
    <r>
      <rPr>
        <b/>
        <u/>
        <sz val="8.5"/>
        <color indexed="56"/>
        <rFont val="Calibri"/>
        <family val="2"/>
        <scheme val="minor"/>
      </rPr>
      <t>AIDA</t>
    </r>
    <r>
      <rPr>
        <sz val="8.5"/>
        <color indexed="63"/>
        <rFont val="Calibri"/>
        <family val="2"/>
        <scheme val="minor"/>
      </rPr>
      <t>.</t>
    </r>
  </si>
  <si>
    <t>Spiegazione:</t>
  </si>
  <si>
    <t>input:</t>
  </si>
  <si>
    <t>output:</t>
  </si>
  <si>
    <t>tasso di crescita annuale; Fatturato 2024; Prezzi medi per categrie di prodotto; coeficienti fattoriali per categorie di prodotto;</t>
  </si>
  <si>
    <t>Fatturato 2024; coeficienti fattoriali per categorie di prodotto; Prezzi medi per categorie di prodotto 2024;</t>
  </si>
  <si>
    <t>Ricavi per linee di prodotto; Quantità di kg venduto per categorie di prodotto 2024.;</t>
  </si>
  <si>
    <t>Ricavi totali per 25-26-27; Ricavi per linee; Quantità di kg venduto per categorie di prodotto;</t>
  </si>
  <si>
    <t>expand for details ↓</t>
  </si>
  <si>
    <t>Percentuale di volume per linea rispetto al totale 25-26-27;</t>
  </si>
  <si>
    <t>Quantità di volume venduto per prodotto 25-26-27;</t>
  </si>
  <si>
    <t>Calcolato le percentuali di volume da produrre rispetto al totale per ciascuna categoria di prodotto per ciascun anno.</t>
  </si>
  <si>
    <t>Tabella 3: Costi di gestione dettagliati per 2024-25-26-27</t>
  </si>
  <si>
    <t>COSTI DI GESTIONE</t>
  </si>
  <si>
    <t>TOTALE COSTI DI GESTIONE</t>
  </si>
  <si>
    <t>fisso</t>
  </si>
  <si>
    <t>Accantonamenti per rischi e oneri</t>
  </si>
  <si>
    <t>Individuate varie voci di costi rispetto al bilancio consuntivo del 2024. 
Ciascuna voce ha avuto progressione di crescita/diminuzione o stabilità rispetto ai fattori presi in considerazione, visibile espandendo il banner laterale alla destra della tabella.</t>
  </si>
  <si>
    <t>variabili varie;</t>
  </si>
  <si>
    <t>Spese per salari visibile in modo dettagliato sullo sheet - HR; dettagliato sulla base di numeri di dipendenti, tipo di profilo lavorativo.</t>
  </si>
  <si>
    <t>visibile in modo dettagliato sullo sheet - HR;</t>
  </si>
  <si>
    <t>Totale sommando le voci inerenti precedenti.</t>
  </si>
  <si>
    <t>Provvigioni concesse ipotizzando che il 30% del sales sia di generazione da parte di salespeople, il compenso è pari al 10% del lead generato per l'intermediazione.</t>
  </si>
  <si>
    <t>Spese/budget costante per questa voce.</t>
  </si>
  <si>
    <t>Si procede con un crescente investimento nel processo di marketing del proprio marchio, questo viene effettuato intensificando la propria presenza nei expo/fiere di settore a livello nazionale e internazionale. Dettagli in fondo pagina</t>
  </si>
  <si>
    <t>Intensificazione marketing del marchio commerciale in fiere e mostre buyer internazionali e gdo</t>
  </si>
  <si>
    <t>Anno; Eventi; Costi relativi;</t>
  </si>
  <si>
    <t>Spese annuali ricorrenti per servizio di un studio legale.</t>
  </si>
  <si>
    <t>Spesa di auditing tecnico/sanitario/amministrativo.</t>
  </si>
  <si>
    <t>Spese di ricerca relative all'analisi dei prodotti alimentari, servizio outsourced a terzi.</t>
  </si>
  <si>
    <t>Spese ipotetiche di gestionale custom, SaaS.</t>
  </si>
  <si>
    <t>Spese di manutenzione ipotetiche relative a macchinari, strumenti, auto.</t>
  </si>
  <si>
    <t>Altra spesa</t>
  </si>
  <si>
    <t>Spese di imposte extra-reddito e altre spese</t>
  </si>
  <si>
    <t>Spesa di assicurazione calcolata con dettagli, crescente al 5% annuale.</t>
  </si>
  <si>
    <t>no accantonamenti</t>
  </si>
  <si>
    <t>expand for details →</t>
  </si>
  <si>
    <t>PUNTO DI PAREGGIO DEL FATTURATO</t>
  </si>
  <si>
    <t>INDICE DI FLESSIBILITA</t>
  </si>
  <si>
    <t>PUNTO DI PAREGGIO OPERATIVO IN VOLUME</t>
  </si>
  <si>
    <t>MARGINE DI SICUREZZA</t>
  </si>
  <si>
    <t>Individuazione del punto di pareggio rispetto al fatturato e rispetto al volume.
Considerate le parti di costo variabile, differenziandolo dal ricavo si ottiene il margine di contribuzione. Mc/Ricavi da margine di contribuzione unitario.
BEP è CF/MdC%.</t>
  </si>
  <si>
    <t>margine di contribuzione; costi fissi; BEP; indici di flessibilità; MdS;</t>
  </si>
  <si>
    <t>COSTI PER RISORSE UMANE</t>
  </si>
  <si>
    <t>ALTRE SPESE PER DIPENDENTI</t>
  </si>
  <si>
    <t xml:space="preserve">RENDICONTO COSTI RISORSE UMANE SULLA BASE DEL PROFILO </t>
  </si>
  <si>
    <t>SPESE PER COLLABORATORI</t>
  </si>
  <si>
    <t>al 2024 sono presenti complessivamente 30 + 2 dipendenti</t>
  </si>
  <si>
    <t>su base di bilancio AIDA</t>
  </si>
  <si>
    <t>Proiezioni spese per dipendenti BT</t>
  </si>
  <si>
    <t>projections</t>
  </si>
  <si>
    <t>ANALISI INDIVIDUALE PROFILI DI DIPENDENTI</t>
  </si>
  <si>
    <t>Tabella 4: Punto di pareggio per fatturato, volume, margine di sicurezza e indice di flessibilità</t>
  </si>
  <si>
    <t>Tabella 5: Costi per risorse umane interne ed esterne all'azienda</t>
  </si>
  <si>
    <t>Proiezione dei costi di risorse umane per il 2025, 2026 e 2027 partendo da valori del 2024</t>
  </si>
  <si>
    <t>Rendiconto delle altre spese per dipendenti</t>
  </si>
  <si>
    <t>Tabella 6: Altri costi per risorse umane</t>
  </si>
  <si>
    <t>Fonti aliquote ammortamento</t>
  </si>
  <si>
    <t>https://farenumeri.it/aliquote-coefficienti-di-ammortamento/#Gruppo_5_8211_Industrie_manifatturiere_alimentari</t>
  </si>
  <si>
    <t>SPESE DI INVESTIMENTO</t>
  </si>
  <si>
    <t>Totale ammortamenti</t>
  </si>
  <si>
    <t>Ammto immobilizzazioni immateriali</t>
  </si>
  <si>
    <t>Ammto immobilizzazioni materiali</t>
  </si>
  <si>
    <t>PROCESSO DI ANALISI INVESTIMENTI IN IMMOBILIZZAZIONI</t>
  </si>
  <si>
    <t>RENDICONTO RISPETTO ALLE ELABORAZIONI PRESENTI IN SEGUITO</t>
  </si>
  <si>
    <t>PROIEZIONE IMMOBILIZZAZIONI</t>
  </si>
  <si>
    <t>PROCESSO DI SPACCHETTO INVESTIMENTI</t>
  </si>
  <si>
    <t>spiegazione:</t>
  </si>
  <si>
    <t>TABELLA INVESTIMENTI</t>
  </si>
  <si>
    <t>Terreno o fabbricato 1</t>
  </si>
  <si>
    <t>Terreno o fabbricato 2</t>
  </si>
  <si>
    <t>Terreno o fabbricato 3</t>
  </si>
  <si>
    <t>Terreno o fabbricato 4</t>
  </si>
  <si>
    <t>Terreno o fabbricato 5</t>
  </si>
  <si>
    <t xml:space="preserve">   B.I.1. Costi Impianto e ampl.</t>
  </si>
  <si>
    <t>Impianto 1</t>
  </si>
  <si>
    <t>Impianto 2</t>
  </si>
  <si>
    <t>Impianto 3</t>
  </si>
  <si>
    <t>Impianto 4</t>
  </si>
  <si>
    <t>Impianto 5</t>
  </si>
  <si>
    <t>Attrez. industriale 1</t>
  </si>
  <si>
    <t>Attrez. industriale 2</t>
  </si>
  <si>
    <t>Attrez. industriale 3</t>
  </si>
  <si>
    <t>Attrez. industriale 4</t>
  </si>
  <si>
    <t>Attrez. industriale 5</t>
  </si>
  <si>
    <t>Attrez. industriale 6</t>
  </si>
  <si>
    <t>Attrez. industriale 7</t>
  </si>
  <si>
    <t xml:space="preserve">Altri beni immobilizzati </t>
  </si>
  <si>
    <t>AMMTO</t>
  </si>
  <si>
    <t>ALIQ</t>
  </si>
  <si>
    <t>FDO AMMORTAMENTI</t>
  </si>
  <si>
    <t>RT ammortizzate</t>
  </si>
  <si>
    <t>RT rimanenti</t>
  </si>
  <si>
    <t>TIPOLOGIA</t>
  </si>
  <si>
    <t>SCOMPOSIZIONE PRESTITI IPOTETICI</t>
  </si>
  <si>
    <t>RENDICONTO FINANZIAMENTI</t>
  </si>
  <si>
    <t>totale indebitamento a bilancio</t>
  </si>
  <si>
    <t>tipo fin ignoto</t>
  </si>
  <si>
    <t>Assegni</t>
  </si>
  <si>
    <t>Cassa</t>
  </si>
  <si>
    <t>PROIEZIONE ATT. CORRENTE</t>
  </si>
  <si>
    <t>PROIEZIONE INDEBITAMENTI</t>
  </si>
  <si>
    <t>CCN OPERATIVO</t>
  </si>
  <si>
    <t>ANALISI RESIDUAL INCOME</t>
  </si>
  <si>
    <t>RAPPORTO INDEBITAMENTO</t>
  </si>
  <si>
    <t>LIQ. RICERCATA</t>
  </si>
  <si>
    <t>Rettifiche attività finanziarie / Ricavi</t>
  </si>
  <si>
    <t>IMPOSTE</t>
  </si>
  <si>
    <t>CREDITI</t>
  </si>
  <si>
    <t>DEBITI</t>
  </si>
  <si>
    <t>PATRIMONIO NETTO</t>
  </si>
  <si>
    <t>CAPITALE SOCIALE</t>
  </si>
  <si>
    <t>→</t>
  </si>
  <si>
    <t>ATTIVO</t>
  </si>
  <si>
    <t>PASSIVITA'</t>
  </si>
  <si>
    <t>BENCHMARK DI SETTORE</t>
  </si>
  <si>
    <t>Tabella 9: Proiezione finanziamenti</t>
  </si>
  <si>
    <t>Tabella 8: Proiezione di attività correnti</t>
  </si>
  <si>
    <t>Tabella 11: Ipotesi e incidenze previsionali</t>
  </si>
  <si>
    <t>Tabella 12: BP Conto economico previsionale</t>
  </si>
  <si>
    <t>Tabella 13: BP Stato patrimoniale previsionale</t>
  </si>
  <si>
    <t>Tabella 14: BP Rendiconto finanziario previsionale</t>
  </si>
  <si>
    <t>Tabella 15: BP Analisi indici finanziari previsionali</t>
  </si>
  <si>
    <t>INDICATORI FINANZIARI</t>
  </si>
  <si>
    <t>Tabella 16: BP BENCHMARK settore indici finanziari previsionali</t>
  </si>
  <si>
    <t>Tabella 17: BP Analisi residual income</t>
  </si>
  <si>
    <t>Tabella 7: Spese di investimento e immobilizzazioni per 25-26-27</t>
  </si>
  <si>
    <t>IRAP</t>
  </si>
  <si>
    <t>Tabella 7A: PROIEZIONI VOCI DI BILANCIO RELATIVE ALLE IMMOBILIZZAZIONI PER IL 2025/26/27</t>
  </si>
  <si>
    <t>totale investimenti  soggetti a ammortizazione</t>
  </si>
  <si>
    <t>tassi storici</t>
  </si>
  <si>
    <t>durata tipica</t>
  </si>
  <si>
    <t>ciclo finanziario</t>
  </si>
  <si>
    <t>giorni medi di permanenza delle scorte in magazzino</t>
  </si>
  <si>
    <t>giorni medi di pagamento dei fornitori</t>
  </si>
  <si>
    <t>giorni medi di incasso clienti</t>
  </si>
  <si>
    <t>VOLUME OPERATIVO</t>
  </si>
  <si>
    <t>CICLO FINANZIARIO</t>
  </si>
  <si>
    <t>crediti commerciali</t>
  </si>
  <si>
    <t>debiti vs fornitori</t>
  </si>
  <si>
    <t>scorte</t>
  </si>
  <si>
    <t>A</t>
  </si>
  <si>
    <t>V</t>
  </si>
  <si>
    <t>pagamento</t>
  </si>
  <si>
    <t>fornitori</t>
  </si>
  <si>
    <t>incasso</t>
  </si>
  <si>
    <t>crediti clienti</t>
  </si>
  <si>
    <t>gg medi di incasso crediti</t>
  </si>
  <si>
    <t>gg medi permanenza in magazzino</t>
  </si>
  <si>
    <t>gg medi di pagamento dei fornitori</t>
  </si>
  <si>
    <t>Acconti IRPEF per conto dipendenti</t>
  </si>
  <si>
    <t>CALCOLO ACCONTI IRPEF PER CONTO DIPENDENTI</t>
  </si>
  <si>
    <t>figure</t>
  </si>
  <si>
    <t xml:space="preserve">Agente commerciale	</t>
  </si>
  <si>
    <t xml:space="preserve">Responsabile commerciale	</t>
  </si>
  <si>
    <t xml:space="preserve">Responsabile finanziario	</t>
  </si>
  <si>
    <t>RAL a netto di contributi previdenziali</t>
  </si>
  <si>
    <t>fino 28000</t>
  </si>
  <si>
    <t>da 28.001 a 50.000</t>
  </si>
  <si>
    <t>oltre 50.0000</t>
  </si>
  <si>
    <t>acconto individuale</t>
  </si>
  <si>
    <t>acconto totale</t>
  </si>
  <si>
    <t xml:space="preserve">TOTALE: </t>
  </si>
  <si>
    <t>Debito vs erario in bilancio</t>
  </si>
  <si>
    <t>Acquisti con IVA giornaliera</t>
  </si>
  <si>
    <t>Tempo medio di pagamento fornitori [gg]</t>
  </si>
  <si>
    <t>extra CE</t>
  </si>
  <si>
    <t>calcolo rimanenze x SP</t>
  </si>
  <si>
    <t>acq materie prime</t>
  </si>
  <si>
    <t>rapporto scorte/Mp acquisite</t>
  </si>
  <si>
    <t>var rim</t>
  </si>
  <si>
    <t>scorte magazzino</t>
  </si>
  <si>
    <t>Fondo imposte</t>
  </si>
  <si>
    <t>Erario c/IVA</t>
  </si>
  <si>
    <t>utile</t>
  </si>
  <si>
    <t>aum riserva</t>
  </si>
  <si>
    <t>dstr div</t>
  </si>
  <si>
    <t>ok</t>
  </si>
  <si>
    <t>gg rotazione mp</t>
  </si>
  <si>
    <t>ALIQUOTE IRPEF</t>
  </si>
  <si>
    <t>IMPOSTE A CHIUSURA DEL BILANCIO</t>
  </si>
  <si>
    <t>Debito: Acconto IRPEF per conto dipendenti</t>
  </si>
  <si>
    <t>Utile a nuovo</t>
  </si>
  <si>
    <t>diff</t>
  </si>
  <si>
    <t>amto tot</t>
  </si>
  <si>
    <t>imm tot</t>
  </si>
  <si>
    <t>var tot. Immobilizzazioni</t>
  </si>
  <si>
    <t>ammortamento x-1 ufficiale</t>
  </si>
  <si>
    <t>ammortamento x-1 calcolato</t>
  </si>
  <si>
    <t>imm fin - (inm iniz -amti) = investimenti</t>
  </si>
  <si>
    <t>inv calcolato</t>
  </si>
  <si>
    <t>immobilizzazioni calano meno di quanto ammortato</t>
  </si>
  <si>
    <t>nuovi investimenti</t>
  </si>
  <si>
    <t>amti imm</t>
  </si>
  <si>
    <t>amti mat</t>
  </si>
  <si>
    <t>ammortizati</t>
  </si>
  <si>
    <t>altri ammortizzati</t>
  </si>
  <si>
    <t>investimento effettivo in corso B.II.5</t>
  </si>
  <si>
    <t>individuato investimento in corso ipotizzato per 500000 euro quindi 2025</t>
  </si>
  <si>
    <t>FABBISOGNO FINANZIARIO</t>
  </si>
  <si>
    <t>Immobilizzazioni nette</t>
  </si>
  <si>
    <t>Fabbisogno fin.</t>
  </si>
  <si>
    <t>FF netto</t>
  </si>
  <si>
    <t>Debiti v/terzi BT</t>
  </si>
  <si>
    <t>Debiti v/terzi ML</t>
  </si>
  <si>
    <t>VAR tot. Att.</t>
  </si>
  <si>
    <t>VAR ATT CORR</t>
  </si>
  <si>
    <t>VAR ATT CORR NECESSARIA</t>
  </si>
  <si>
    <t>VAR PASS</t>
  </si>
  <si>
    <t>VAR DEBIT</t>
  </si>
  <si>
    <t>VAR PN</t>
  </si>
  <si>
    <t>VAR COMPENSO RISERVA</t>
  </si>
  <si>
    <t>VAR ATT.FIX IMMO</t>
  </si>
  <si>
    <t>Dato il fatturato del 2024. Si proietta la crescita negli anni 2025-26-27 utilizzando il tasso di crescita annuale dei ricavi. 
In assenza di dati previsionali tale tasso è stato individuato effettuando una regressione lineare sulla base dei precedenti 5 anni.
I Fatturati previsti annuali sono stati divisi per le rispettive categorie di prodotto usando lo stesso coeficiente individuato nel 2024, ipotizzando stablità dei coeficienti e crescita proporzionata per ciascuna linea di prodotto.
Il calcolo dei prezzi di vendita è stato più avanzato, basato su tassi inflazionistici e dati previsionali sulla crescita dei prezzi degli ingredienti, visibile con maggiore dettaglio su B. calcolo prezzi medi di vend.</t>
  </si>
  <si>
    <t>Tabella 1: Prezzi di vendita e volumi ipotetici per 2024 su base del bilancio consuntivo</t>
  </si>
  <si>
    <t>Tabella 2A: Prospettive di crescita dei ricavi e volumi per mix prodotti</t>
  </si>
  <si>
    <t>Tabella 2B: Prospettive di crescita dei volumi con valori percentuale rispetto al totale del prodotto</t>
  </si>
  <si>
    <t>ANALISI PRODOTTI DI BOME'</t>
  </si>
  <si>
    <t>La seguente tabella riporta le linee di prodotto e i rispettivi prodotti presenti sul listino di Bomè sul proprio sito.</t>
  </si>
  <si>
    <t>Doppio click sul seguente testo per visualizzare il documento di analisi del processo produttivo</t>
  </si>
  <si>
    <t>DOC.1</t>
  </si>
  <si>
    <t>TAB. Categorie di prodotto e prodotti venduti da Bomè S.p.A.</t>
  </si>
  <si>
    <t>Si elencano i prodotti presentati in precedenza, e si individuano per ciascuno la materia prima principale e gli step lavorativi principali.</t>
  </si>
  <si>
    <t>Si assegna la categoria prodotto sulla base della struttura di lavorazione principale e materia prima</t>
  </si>
  <si>
    <t>metodo:</t>
  </si>
  <si>
    <t>Fatturato naz. [mln]</t>
  </si>
  <si>
    <t>&lt;- pag 111; ASSICA: Rapporto annuale 2024</t>
  </si>
  <si>
    <t>Esportazioni [mln]</t>
  </si>
  <si>
    <t>Importazioni [mln]</t>
  </si>
  <si>
    <t>Saldo commerciale [mln]</t>
  </si>
  <si>
    <t>Prezzi del 2024 rappresentano i prezzi medi di mercato del settore, zona e prezzi di riferimento.</t>
  </si>
  <si>
    <t>chosing simple linear regression, based on Michael Boyles from hbs explaining that on short term is better than using Cagr if business growth is stable. Since CAGR is 3,62%, the linear regression is more accurate with a rate of 4,47%</t>
  </si>
  <si>
    <t>come misurare la quantità venduta?</t>
  </si>
  <si>
    <t>si considerano i ratio stabili per gli anni successivi data la completa assenza di dati relativi.</t>
  </si>
  <si>
    <t>b.Prezzi di mercato e coefficienti quantitavi</t>
  </si>
  <si>
    <t>c. Prospettive di crescita future BT</t>
  </si>
  <si>
    <t>d. Quantificazione variabilità prezzi futuri</t>
  </si>
  <si>
    <t>Prezzi di vendita previsti</t>
  </si>
  <si>
    <t>La crescita è proiettata rispetto all'inflazione e il rapporto ingrediente-totale e il peso rispetto al prezzo di vendita</t>
  </si>
  <si>
    <t>Il calcolo è effettuato per prevedere futuri prezzi di vendita basandosi sulle prospettive di crescita dei prezzi di ingredienti presentata da ASSICA e dall'andamento inflazionistico.</t>
  </si>
  <si>
    <t>inflazione ingredienti compl.</t>
  </si>
  <si>
    <t xml:space="preserve">Per ciascuna categoria di pocesso si individua il lavoro effetivamente necessario. </t>
  </si>
  <si>
    <t>Rispetto alle categorie finali di prodoto, rappresentate ciascuna da un colore diverso, esistono vari prodotti con caratteristiche particolari come lavorazioni aggiuntive. Ogni colore rappresenta la famiglia di prodotti, e lo schema costituito da frecce di colori diversi, indica quali prodotti passano per quale zona produttiva/area. 
Questo schema permette di organizzare quali zone aziendali possano essere soggetto a maggior volume di trasformazione, anche se si ratta di un dato molto dipendente dalla durata del processo produttivo individuale.
Ogni materia prima affronta il processo inbound di selezione carni, taglio/ridimensionamento o rifilatura. Mentre ogni prodotto finale attraversa la zona di Quality control &amp; packaging fino a finire in outbound per il trasporto.</t>
  </si>
  <si>
    <t>Il seguente documento rappresenta un testo estensivo che espone l'analisi del processo produttivo.</t>
  </si>
  <si>
    <t>+</t>
  </si>
  <si>
    <t>Spese di acquisto per materie prime, crescita prevista del 3,5% annuale, rispettando le proiezioni di ASSICA</t>
  </si>
  <si>
    <t>var rimanenze ignote e molto variabili, non considerate. Si valutano le rimanenze medie in CCNO</t>
  </si>
  <si>
    <t>Ipotizzate spese doganali pari al 5% del fatturato. Non include VAT. Include spese doganali, trasporti e relativa gestione. Impossibile quantificare, dipende da: prodotto x paese di export/import x spese di trasporto x assicurazioni</t>
  </si>
  <si>
    <t>Consulenza commerciale per 300 mensili IVA esclusa. Costo tipico di consulenza.</t>
  </si>
  <si>
    <t>Spese di gestione rifiuti, calcolato tramite 85 euro * tonnelata *25% di scarto rispetto a materie prime acquistate.(ossa, grassi, membrane etc.)</t>
  </si>
  <si>
    <t>Spese di gestione idrica, 0,16 euro k-litro consumo di 6 litri per chilo di prodotto in output.</t>
  </si>
  <si>
    <t>Spese di gestione elettrica, 1,6 GW/h a 0,26 kW/h euro. Sulla base di dimensione del punto produttivo e consumo medio per tipo di impresa. Prezzo medio per val di Ledro.</t>
  </si>
  <si>
    <t>Spese di pulizia annuali outsourced. Prezzo alto perché pulizia frequente, professionale e inclusa sanitarizzazione</t>
  </si>
  <si>
    <t>Budget di cancelleria annuale, 3 uffici per tot 600 euro.</t>
  </si>
  <si>
    <t>Si utilizzano le piattaforme di esposizione e fiere per promuovere il marchio; Inizialmente presentandosi in fiere nazionali ed europee famose, successivamente anche in eventi internazionali. I costi sono calcolati per stand standard e prezzi esposti.</t>
  </si>
  <si>
    <t>su base di bilancio AIDA, e pagina recruiting sul sito aziendale nel 2025</t>
  </si>
  <si>
    <t>HCCP</t>
  </si>
  <si>
    <t>Sezione di individuazione dei coefficienti da utilizzare per il calcolo degli oneri sociali, TFR e altri costi accessori.</t>
  </si>
  <si>
    <t>perché proprietario e familiare</t>
  </si>
  <si>
    <t>si usa compensazione al posto della distribuzione di utili</t>
  </si>
  <si>
    <t>Calcolo delle varie voci del CCN operativo, utilizzando il foglio incidenze.</t>
  </si>
  <si>
    <t>Tabella 10A: Proiezione CCN operativo</t>
  </si>
  <si>
    <t>Tabella 10B: Individuazione del fabbisogno finanziario a BT</t>
  </si>
  <si>
    <t>Tabella 10C: Calcolo del volume operativo a BT</t>
  </si>
  <si>
    <t>Tabella 10D: Misura della durata del ciclo finanziario</t>
  </si>
  <si>
    <t>Dati i numerosi recenti investimenti di ampliamento, riteniamo sia in corso un periodo di ottenere ROI e recupero, inoltre data la linea di prodotti ben completa e il crescente andamento dei tassi di interesse, non riteniamo necessario investire al momento in altri impianti o immobilizzazioni.</t>
  </si>
  <si>
    <t>voce contabile = investimento iniziale - fdo ammortamento; prima voce è investimento meno  ammortamento di competenza; seconda voce è netto di 2 ammortamenti. Così si individua la rata di ammortamento ipotizzando che non ci siano state variazioni di aliquote.</t>
  </si>
  <si>
    <t>Lista di tutte le immobilizzazioni</t>
  </si>
  <si>
    <t>indivudate attraverso la separazione storico-contabile</t>
  </si>
  <si>
    <t>impianto nuovo (imm.in corso 2022-2025)</t>
  </si>
  <si>
    <t>Costo storico basato su bilanci consuntivi</t>
  </si>
  <si>
    <t>Investimento iniziale</t>
  </si>
  <si>
    <t>proiezioni</t>
  </si>
  <si>
    <t>Calcolo valore attuale di ciascun anno dei relativi fondo ammortamento; calcolo basato su ammortamenti storici individuati in precedenza supportati dalle aliquote storiche individuate.</t>
  </si>
  <si>
    <t>ipotizzando down payments 20%</t>
  </si>
  <si>
    <t>Si tratta del pagamento dell'ultima mensilità</t>
  </si>
  <si>
    <t>Tabella 18A: Simulazione imposizione fiscale</t>
  </si>
  <si>
    <t>Tabella 18B: Struttura acconti Irpef per conto dipendenti</t>
  </si>
  <si>
    <t>Tabella 18C: Aliquote irpef effettive</t>
  </si>
  <si>
    <t>Tabella 18D: Debiti verso l'erario a chiusura del bilancio</t>
  </si>
  <si>
    <t>Debiti totali</t>
  </si>
  <si>
    <t>Rapporto debiti pregressi BT/TOT</t>
  </si>
  <si>
    <t>Tabella 13A: Riclassificazione SP 2025</t>
  </si>
  <si>
    <t>Impieghi</t>
  </si>
  <si>
    <t>Fonti</t>
  </si>
  <si>
    <t>Immobilizzazioni operative nette</t>
  </si>
  <si>
    <t>Debiti finanziari</t>
  </si>
  <si>
    <t>Altri finanziamenti a medio/lungo termine</t>
  </si>
  <si>
    <t>Mezzi propri</t>
  </si>
  <si>
    <t>Attivo di gestione patrimoniale</t>
  </si>
  <si>
    <t>Capitale sociale</t>
  </si>
  <si>
    <t>Riserve</t>
  </si>
  <si>
    <t>Reddito netto</t>
  </si>
  <si>
    <t>Liquidità patrimoniali</t>
  </si>
  <si>
    <t>Immobilizzazioni patrimoniali</t>
  </si>
  <si>
    <t>Tot. Impieghi</t>
  </si>
  <si>
    <t>Tot. Fonti</t>
  </si>
  <si>
    <t>Finanziamenti a breve termine</t>
  </si>
  <si>
    <t>Tabella 13A: Riclassificazione SP 2024</t>
  </si>
  <si>
    <t>Tabella 13A: Riclassificazione SP 2026</t>
  </si>
  <si>
    <t>Tabella 13A: Riclassificazione SP 2027</t>
  </si>
  <si>
    <t xml:space="preserve">Riserve patrimoniali </t>
  </si>
  <si>
    <t>Totale oneri finanziari</t>
  </si>
  <si>
    <t>Oneri finanziari BT</t>
  </si>
  <si>
    <t>Oneri finanziari M/L</t>
  </si>
  <si>
    <t>https://www.bancaria.it/news/pubblicato-il-rapporto-abi-di-settembre-2025/</t>
  </si>
  <si>
    <t>ANALISI INDEBITAMENTO</t>
  </si>
  <si>
    <t>Fatturato totale del 2024; coefficienti qta per cat. Prodotto; Prezzi medi per categorie;</t>
  </si>
  <si>
    <t>Quantità venduta per categorie di prodotto</t>
  </si>
  <si>
    <t>Partito dal fatturato per il 2024 come base dei ricavi.
Ottenuti i ricavi di linea moltiplicando il fatturato totale per il valore percentuale di categoria. Coeficiente ottenuto sulla base dei fatturati nazionali per rispettive categorie da ASSICA. Maggiori dettagli su B. linea prodotti Bomè.
Si è calcolato il prezzo medio di vendita sulla base di prodotti del simile livello, inteso come qualità , produttore e zona geografica e dati pubblicamente disponibili. Visibile su sheet - B. calcolo prezzi medi di vend</t>
  </si>
  <si>
    <t>Ottenuto tramite simple linear regression dei fatturati nazionali dal 2020-2024; Maggiori dettagli su B. linea prodotti Bomè;</t>
  </si>
  <si>
    <t>costi di gestione;</t>
  </si>
  <si>
    <t>ricavi, costi variabili, costi totali</t>
  </si>
  <si>
    <t>Tabella 3A: Pianificazione eventi e fiere per promuovere il marchio</t>
  </si>
  <si>
    <t xml:space="preserve"> New york authorization</t>
  </si>
  <si>
    <t>Cibus 24</t>
  </si>
  <si>
    <t>Festa del Pane</t>
  </si>
  <si>
    <t>2024:Marca at  BolognaFiere</t>
  </si>
  <si>
    <t>Distinti salumi</t>
  </si>
  <si>
    <t>iMeat</t>
  </si>
  <si>
    <t>Cibus25</t>
  </si>
  <si>
    <t>2025: Marca at BolognaFiere</t>
  </si>
  <si>
    <t>Pitti TASTE</t>
  </si>
  <si>
    <t>Identità milano</t>
  </si>
  <si>
    <t>Gulfood(Dubai), Anuga(DE)</t>
  </si>
  <si>
    <t>Formaticum&amp;Salumi</t>
  </si>
  <si>
    <t>Tuttofood</t>
  </si>
  <si>
    <t>Cibus TEC</t>
  </si>
  <si>
    <t>2026: Marca at BolognaFiere</t>
  </si>
  <si>
    <t>SIAL paris(FR), ANUGA(DE)</t>
  </si>
  <si>
    <t>Sigep World</t>
  </si>
  <si>
    <t>Taste</t>
  </si>
  <si>
    <t>Cibus</t>
  </si>
  <si>
    <t>2027: Marca at BolognaFiere</t>
  </si>
  <si>
    <t>Basato su: https://www.dipendentincloud.it/blog/costo-personale-dipendente/#contributi-inps-inail</t>
  </si>
  <si>
    <t>given data</t>
  </si>
  <si>
    <t>calculated data</t>
  </si>
  <si>
    <t>coefficienti da utilizzare</t>
  </si>
  <si>
    <t>PROCESSO DI REV.E.</t>
  </si>
  <si>
    <t>L'analisi è svolta partendo dal documento di analisi del processo opeativo industriale di Bomè, dove sono state individuate i profili neccessari in base alle esigenze aziendali e struttura dell'impresa.</t>
  </si>
  <si>
    <t xml:space="preserve">Si individuano i RAL per ciascuna figura, rispettivamente per gli anni di interesse e il numero di figure neccessarie, indivuando complessivamente il RAL totale. </t>
  </si>
  <si>
    <t>I RAL individuati potrebbero essere una rappresentazione minore rispetto ai valori effettivi.</t>
  </si>
  <si>
    <t>Debito vs erario in bilancio: l'ultima mensilità non viene pagata a chiusura di conti dato che viene pagata entro il 16 di gennaio</t>
  </si>
  <si>
    <t>Individuate rispettive voci di investimento rispetto al bilancio consuntivo del 2024. 
Si scompongono gli investimenti in immobilizzazioni per individuare gli ammortamenti annuali e verificare se le aliquote soiano corrette.In questo modo si calcolano gli ammortamenti futuri.
Successivamente si cerca di calcolare gli investimenti storici e in base agli ammortamenti i fondi ammortamento e i numeri di ammortamenti effettuati e rimanenti per ciascuna immobilizzazione.</t>
  </si>
  <si>
    <t>Tabella 9A: Rapporto di indebitamento</t>
  </si>
  <si>
    <t>Tabella 9B: Analisi indebitamento</t>
  </si>
  <si>
    <t>Tabella 8A: Fabbisogno finanziario</t>
  </si>
  <si>
    <t>IMMOB IMMAT / ATT FISSO</t>
  </si>
  <si>
    <t>CALCOLO PREZZI MEDI DI MERCATO</t>
  </si>
  <si>
    <t>https://www.bome.it/programma-fesr-2021-2027/</t>
  </si>
  <si>
    <t>rotazione nel 2025</t>
  </si>
  <si>
    <t>https://www.bome.it/annuncio-di-ricerca-personale/</t>
  </si>
  <si>
    <t>proventi di vendita capacità elettrica</t>
  </si>
  <si>
    <t>L'impianto fotovoltaico maturato nel 2025 produce energia elettrica. Son disponibili vari approcci ma principalmente c'è ne sono 2:
-considerare un valore, ricavo finanziario il saldo tra il consumo di energia elettrica e la produzione (produzione capacità produttiva molto superiore al consumo, anche se considerato capacità produttiva solo giornaliera e in presenza di sole)
-considerare il costo di consumo di energia seprato dal ricavo di produzione, provente di vendita extra caratteristico.
Nel nostro caso si segue il secondo approccio:
capacità produttiva: 399,5 kWP
ricavo potenziale a prezzo medio di mercato per zona: 129.438 euro a 0,27 euro kwh
rivalutato rispetto a giorni soleggiati annuali per zona e ore solari di produzione:</t>
  </si>
  <si>
    <t>Tabella 8B: Proventi</t>
  </si>
  <si>
    <t>ALTRI PROVENTI</t>
  </si>
  <si>
    <t>Proventi</t>
  </si>
  <si>
    <t>check altri debiti</t>
  </si>
  <si>
    <t>eccesso prov.</t>
  </si>
  <si>
    <t>DATI STORICI</t>
  </si>
  <si>
    <t>Ragione</t>
  </si>
  <si>
    <t>sociale</t>
  </si>
  <si>
    <t>S.p.A.</t>
  </si>
  <si>
    <t>Ala</t>
  </si>
  <si>
    <t>Carni</t>
  </si>
  <si>
    <t>G.</t>
  </si>
  <si>
    <t>Merano</t>
  </si>
  <si>
    <t>Salumi</t>
  </si>
  <si>
    <t>Simonini</t>
  </si>
  <si>
    <t>Salumificio</t>
  </si>
  <si>
    <t>Trentino</t>
  </si>
  <si>
    <t>Sebastian</t>
  </si>
  <si>
    <t>Val Rendena</t>
  </si>
  <si>
    <t>Provincia</t>
  </si>
  <si>
    <t>Trento</t>
  </si>
  <si>
    <t>Bolzano</t>
  </si>
  <si>
    <t>Bomé</t>
  </si>
  <si>
    <t>Salumifico</t>
  </si>
  <si>
    <t>trentino</t>
  </si>
  <si>
    <t>Fatturato 2024</t>
  </si>
  <si>
    <t>analisi precedenti</t>
  </si>
  <si>
    <t>Si utilizza questo valore considerandolo più conservativo rispetto al tasso di crescita previsto di +5,7%; presentato a pagina 93 del documento "Assica: Rapporto annuale 2024"</t>
  </si>
  <si>
    <t>src: pg 95 ASSica rapoporto 2024)</t>
  </si>
  <si>
    <t>Reddito operativo (EBIT)</t>
  </si>
  <si>
    <t>Imposte sull'EBIT</t>
  </si>
  <si>
    <t>EBITDA al netto di imposte</t>
  </si>
  <si>
    <t>Var Att. Circolanti</t>
  </si>
  <si>
    <t>Var Pass. Circolanti</t>
  </si>
  <si>
    <t>Flusso di cassa della gestione correte</t>
  </si>
  <si>
    <t>Investimenti in immobilizzazioni</t>
  </si>
  <si>
    <t>Disinvestimenti in immmobilizzazioni</t>
  </si>
  <si>
    <t>Flusso di cassa operativo netto</t>
  </si>
  <si>
    <t>Var. debiti finianziari m/l t</t>
  </si>
  <si>
    <t>FCFE</t>
  </si>
  <si>
    <t>aumento di capitali</t>
  </si>
  <si>
    <t>Distribuzione utili</t>
  </si>
  <si>
    <t>Variazione liquidità netta</t>
  </si>
  <si>
    <t>check var</t>
  </si>
  <si>
    <t>var liq SP</t>
  </si>
  <si>
    <t>Nel nostro caso, indica che il tempo in cui l'azienda finanzia l'attività operative con risorse proprie.</t>
  </si>
  <si>
    <t>permanenza in magazzino di 111 giorni</t>
  </si>
  <si>
    <t>pagamento dei fornitori dopo 46 giorni di acquisto, quindi paga i fornitori ancora con permanenza delle scorte in magazzino</t>
  </si>
  <si>
    <t>incassa i crediti dei clienti dopo 59 giorni dalla vendita.</t>
  </si>
  <si>
    <t>Si vende a fine permanenza media in magazzino</t>
  </si>
  <si>
    <t>Quindi l'intervallo che dura dal pagamento dei debiti vs fornitori all'incasso di crediti dei clienti dura 124 giorni</t>
  </si>
  <si>
    <t>Ci sono 65 giorni di permanenza media in magazzino dopo che i fornitori sono stati pagati e non si ha ancora venduto.</t>
  </si>
  <si>
    <t>Dettagli sulla durata del ciclo finanziario</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</si>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</sst>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0.00\ &quot;€&quot;_-;\-* #,##0.00\ &quot;€&quot;_-;_-* &quot;-&quot;??\ &quot;€&quot;_-;_-@_-"/>
    <numFmt numFmtId="164" formatCode="#,##0.00\ &quot;€&quot;"/>
    <numFmt numFmtId="165" formatCode="###,##0"/>
    <numFmt numFmtId="166" formatCode="dd/mm/yyyy"/>
    <numFmt numFmtId="167" formatCode="mm/yyyy"/>
    <numFmt numFmtId="168" formatCode="[$€-2]\ #,##0.00;[Red]\-[$€-2]\ #,##0.00"/>
    <numFmt numFmtId="169" formatCode="#,##0.00_ ;\(#,##0.00\)"/>
    <numFmt numFmtId="170" formatCode="0.0000"/>
    <numFmt numFmtId="171" formatCode="[$€-2]\ #,##0.0000;[Red]\-[$€-2]\ #,##0.0000"/>
  </numFmts>
  <fonts count="56" x14ac:knownFonts="1">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sz val="12"/>
      <color rgb="FF000000"/>
      <name val="Calibri"/>
      <family val="2"/>
      <scheme val="minor"/>
    </font>
    <font>
      <sz val="12"/>
      <color indexed="63"/>
      <name val="Calibri"/>
      <family val="2"/>
      <scheme val="minor"/>
    </font>
    <font>
      <sz val="12"/>
      <color indexed="8"/>
      <name val="Calibri"/>
      <family val="2"/>
      <scheme val="minor"/>
    </font>
    <font>
      <i/>
      <sz val="12"/>
      <color theme="1"/>
      <name val="Calibri"/>
      <family val="2"/>
      <scheme val="minor"/>
    </font>
    <font>
      <b/>
      <sz val="12"/>
      <color indexed="63"/>
      <name val="Calibri"/>
      <family val="2"/>
      <scheme val="minor"/>
    </font>
    <font>
      <sz val="12"/>
      <color theme="1"/>
      <name val="Calibri"/>
      <family val="2"/>
      <scheme val="minor"/>
    </font>
    <font>
      <b/>
      <sz val="12"/>
      <color rgb="FF000000"/>
      <name val="Calibri"/>
      <family val="2"/>
      <scheme val="minor"/>
    </font>
    <font>
      <i/>
      <sz val="12"/>
      <color theme="0" tint="-0.34998626667073579"/>
      <name val="Calibri"/>
      <family val="2"/>
      <scheme val="minor"/>
    </font>
    <font>
      <i/>
      <sz val="12"/>
      <color indexed="63"/>
      <name val="Calibri"/>
      <family val="2"/>
      <scheme val="minor"/>
    </font>
    <font>
      <b/>
      <i/>
      <sz val="12"/>
      <color theme="1"/>
      <name val="Calibri"/>
      <family val="2"/>
      <scheme val="minor"/>
    </font>
    <font>
      <sz val="12"/>
      <name val="Calibri"/>
      <family val="2"/>
      <scheme val="minor"/>
    </font>
    <font>
      <sz val="12"/>
      <color theme="4" tint="-0.249977111117893"/>
      <name val="Calibri"/>
      <family val="2"/>
      <scheme val="minor"/>
    </font>
    <font>
      <b/>
      <sz val="12"/>
      <color theme="0"/>
      <name val="Calibri"/>
      <family val="2"/>
      <scheme val="minor"/>
    </font>
    <font>
      <b/>
      <sz val="20"/>
      <color theme="1"/>
      <name val="Calibri"/>
      <family val="2"/>
      <scheme val="minor"/>
    </font>
    <font>
      <sz val="11"/>
      <color theme="1"/>
      <name val="Calibri"/>
      <family val="2"/>
      <scheme val="minor"/>
    </font>
    <font>
      <sz val="12"/>
      <color theme="2"/>
      <name val="Calibri"/>
      <family val="2"/>
      <scheme val="minor"/>
    </font>
    <font>
      <b/>
      <sz val="36"/>
      <color theme="1"/>
      <name val="Calibri"/>
      <family val="2"/>
      <scheme val="minor"/>
    </font>
    <font>
      <sz val="16"/>
      <color theme="1"/>
      <name val="Calibri"/>
      <family val="2"/>
      <scheme val="minor"/>
    </font>
    <font>
      <sz val="14"/>
      <color theme="1"/>
      <name val="Calibri"/>
      <family val="2"/>
      <scheme val="minor"/>
    </font>
    <font>
      <sz val="8.5"/>
      <color indexed="63"/>
      <name val="Calibri"/>
      <family val="2"/>
      <scheme val="minor"/>
    </font>
    <font>
      <sz val="8.5"/>
      <color rgb="FF333333"/>
      <name val="Calibri"/>
      <family val="2"/>
      <scheme val="minor"/>
    </font>
    <font>
      <sz val="10"/>
      <color rgb="FF000000"/>
      <name val="Calibri"/>
      <family val="2"/>
      <scheme val="minor"/>
    </font>
    <font>
      <b/>
      <sz val="22"/>
      <color theme="1"/>
      <name val="Calibri"/>
      <family val="2"/>
      <scheme val="minor"/>
    </font>
    <font>
      <sz val="14"/>
      <color rgb="FF000000"/>
      <name val="Calibri"/>
      <family val="2"/>
      <scheme val="minor"/>
    </font>
    <font>
      <b/>
      <sz val="14"/>
      <color rgb="FF00B0F0"/>
      <name val="Calibri"/>
      <family val="2"/>
      <scheme val="minor"/>
    </font>
    <font>
      <b/>
      <sz val="14"/>
      <color theme="5"/>
      <name val="Calibri"/>
      <family val="2"/>
      <scheme val="minor"/>
    </font>
    <font>
      <b/>
      <sz val="14"/>
      <color rgb="FF7030A0"/>
      <name val="Calibri"/>
      <family val="2"/>
      <scheme val="minor"/>
    </font>
    <font>
      <b/>
      <sz val="14"/>
      <color rgb="FF92D050"/>
      <name val="Calibri"/>
      <family val="2"/>
      <scheme val="minor"/>
    </font>
    <font>
      <b/>
      <sz val="10.5"/>
      <color indexed="56"/>
      <name val="Calibri"/>
      <family val="2"/>
      <scheme val="minor"/>
    </font>
    <font>
      <b/>
      <sz val="8.5"/>
      <color indexed="56"/>
      <name val="Calibri"/>
      <family val="2"/>
      <scheme val="minor"/>
    </font>
    <font>
      <b/>
      <sz val="8.5"/>
      <color indexed="63"/>
      <name val="Calibri"/>
      <family val="2"/>
      <scheme val="minor"/>
    </font>
    <font>
      <u/>
      <sz val="8.5"/>
      <color indexed="63"/>
      <name val="Calibri"/>
      <family val="2"/>
      <scheme val="minor"/>
    </font>
    <font>
      <i/>
      <sz val="8.5"/>
      <color indexed="63"/>
      <name val="Calibri"/>
      <family val="2"/>
      <scheme val="minor"/>
    </font>
    <font>
      <sz val="8.5"/>
      <color indexed="56"/>
      <name val="Calibri"/>
      <family val="2"/>
      <scheme val="minor"/>
    </font>
    <font>
      <sz val="8.5"/>
      <color indexed="8"/>
      <name val="Calibri"/>
      <family val="2"/>
      <scheme val="minor"/>
    </font>
    <font>
      <sz val="8.5"/>
      <color indexed="54"/>
      <name val="Calibri"/>
      <family val="2"/>
      <scheme val="minor"/>
    </font>
    <font>
      <b/>
      <u/>
      <sz val="8.5"/>
      <color indexed="56"/>
      <name val="Calibri"/>
      <family val="2"/>
      <scheme val="minor"/>
    </font>
    <font>
      <b/>
      <sz val="8.5"/>
      <color indexed="9"/>
      <name val="Calibri"/>
      <family val="2"/>
      <scheme val="minor"/>
    </font>
    <font>
      <sz val="10"/>
      <color theme="1"/>
      <name val="Calibri"/>
      <family val="2"/>
      <scheme val="minor"/>
    </font>
    <font>
      <b/>
      <sz val="11"/>
      <color theme="1"/>
      <name val="Calibri"/>
      <family val="2"/>
      <scheme val="minor"/>
    </font>
    <font>
      <b/>
      <sz val="13"/>
      <color theme="1"/>
      <name val="Calibri"/>
      <family val="2"/>
      <scheme val="minor"/>
    </font>
    <font>
      <sz val="13"/>
      <color theme="1"/>
      <name val="Calibri"/>
      <family val="2"/>
      <scheme val="minor"/>
    </font>
    <font>
      <b/>
      <sz val="20"/>
      <color rgb="FF000000"/>
      <name val="Calibri"/>
      <family val="2"/>
      <scheme val="minor"/>
    </font>
    <font>
      <b/>
      <sz val="14"/>
      <color indexed="63"/>
      <name val="Calibri"/>
      <family val="2"/>
      <scheme val="minor"/>
    </font>
    <font>
      <b/>
      <sz val="13"/>
      <color indexed="63"/>
      <name val="Calibri"/>
      <family val="2"/>
      <scheme val="minor"/>
    </font>
    <font>
      <i/>
      <sz val="12"/>
      <color theme="4" tint="-0.499984740745262"/>
      <name val="Calibri"/>
      <family val="2"/>
      <scheme val="minor"/>
    </font>
    <font>
      <b/>
      <sz val="12"/>
      <color indexed="8"/>
      <name val="Calibri"/>
      <family val="2"/>
      <scheme val="minor"/>
    </font>
    <font>
      <i/>
      <sz val="12"/>
      <color indexed="8"/>
      <name val="Calibri"/>
      <family val="2"/>
      <scheme val="minor"/>
    </font>
    <font>
      <sz val="12"/>
      <color theme="0"/>
      <name val="Calibri"/>
      <family val="2"/>
      <scheme val="minor"/>
    </font>
    <font>
      <b/>
      <sz val="14"/>
      <color theme="0"/>
      <name val="Calibri"/>
      <family val="2"/>
      <scheme val="minor"/>
    </font>
    <font>
      <u/>
      <sz val="12"/>
      <color theme="10"/>
      <name val="Calibri"/>
      <family val="2"/>
      <scheme val="minor"/>
    </font>
    <font>
      <sz val="10"/>
      <color theme="0"/>
      <name val="Calibri"/>
      <family val="2"/>
      <scheme val="minor"/>
    </font>
  </fonts>
  <fills count="33">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rgb="FFFFF2CC"/>
        <bgColor rgb="FF000000"/>
      </patternFill>
    </fill>
    <fill>
      <patternFill patternType="solid">
        <fgColor rgb="FFD9E1F2"/>
        <bgColor rgb="FFD9E1F2"/>
      </patternFill>
    </fill>
    <fill>
      <patternFill patternType="solid">
        <fgColor theme="0"/>
        <bgColor theme="4" tint="0.79998168889431442"/>
      </patternFill>
    </fill>
    <fill>
      <patternFill patternType="solid">
        <fgColor theme="6" tint="0.79998168889431442"/>
        <bgColor indexed="64"/>
      </patternFill>
    </fill>
    <fill>
      <patternFill patternType="solid">
        <fgColor theme="1"/>
        <bgColor indexed="64"/>
      </patternFill>
    </fill>
    <fill>
      <patternFill patternType="solid">
        <fgColor theme="2"/>
        <bgColor indexed="64"/>
      </patternFill>
    </fill>
    <fill>
      <patternFill patternType="solid">
        <fgColor indexed="9"/>
      </patternFill>
    </fill>
    <fill>
      <patternFill patternType="solid">
        <fgColor indexed="44"/>
      </patternFill>
    </fill>
    <fill>
      <patternFill patternType="solid">
        <fgColor indexed="22"/>
      </patternFill>
    </fill>
    <fill>
      <patternFill patternType="solid">
        <fgColor indexed="41"/>
      </patternFill>
    </fill>
    <fill>
      <patternFill patternType="solid">
        <fgColor indexed="46"/>
      </patternFill>
    </fill>
    <fill>
      <patternFill patternType="solid">
        <fgColor indexed="55"/>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F2F2F2"/>
        <bgColor rgb="FF000000"/>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E9BFE8"/>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indexed="64"/>
      </bottom>
      <diagonal/>
    </border>
    <border>
      <left/>
      <right style="thin">
        <color indexed="64"/>
      </right>
      <top style="thin">
        <color indexed="64"/>
      </top>
      <bottom style="thin">
        <color indexed="64"/>
      </bottom>
      <diagonal/>
    </border>
    <border>
      <left/>
      <right style="thin">
        <color auto="1"/>
      </right>
      <top/>
      <bottom/>
      <diagonal/>
    </border>
    <border>
      <left style="thin">
        <color indexed="64"/>
      </left>
      <right/>
      <top style="thin">
        <color indexed="64"/>
      </top>
      <bottom style="thin">
        <color indexed="64"/>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auto="1"/>
      </left>
      <right/>
      <top style="thin">
        <color indexed="64"/>
      </top>
      <bottom/>
      <diagonal/>
    </border>
    <border>
      <left style="thin">
        <color auto="1"/>
      </left>
      <right style="thin">
        <color auto="1"/>
      </right>
      <top style="thin">
        <color theme="4" tint="0.39997558519241921"/>
      </top>
      <bottom style="thin">
        <color indexed="64"/>
      </bottom>
      <diagonal/>
    </border>
    <border>
      <left style="thin">
        <color auto="1"/>
      </left>
      <right style="thin">
        <color auto="1"/>
      </right>
      <top style="thin">
        <color theme="4" tint="0.39997558519241921"/>
      </top>
      <bottom style="thin">
        <color theme="4" tint="0.39997558519241921"/>
      </bottom>
      <diagonal/>
    </border>
    <border>
      <left/>
      <right style="thin">
        <color auto="1"/>
      </right>
      <top style="thin">
        <color indexed="64"/>
      </top>
      <bottom/>
      <diagonal/>
    </border>
    <border>
      <left style="thin">
        <color indexed="64"/>
      </left>
      <right style="thin">
        <color indexed="64"/>
      </right>
      <top style="thin">
        <color rgb="FF8EA9DB"/>
      </top>
      <bottom style="thin">
        <color rgb="FF8EA9DB"/>
      </bottom>
      <diagonal/>
    </border>
    <border>
      <left style="thin">
        <color auto="1"/>
      </left>
      <right style="thin">
        <color auto="1"/>
      </right>
      <top/>
      <bottom style="thin">
        <color theme="4" tint="0.39997558519241921"/>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9"/>
      </left>
      <right/>
      <top/>
      <bottom/>
      <diagonal/>
    </border>
    <border>
      <left style="thin">
        <color indexed="23"/>
      </left>
      <right/>
      <top/>
      <bottom/>
      <diagonal/>
    </border>
    <border>
      <left/>
      <right style="thin">
        <color indexed="23"/>
      </right>
      <top/>
      <bottom/>
      <diagonal/>
    </border>
    <border>
      <left style="thin">
        <color indexed="23"/>
      </left>
      <right/>
      <top/>
      <bottom style="thin">
        <color indexed="23"/>
      </bottom>
      <diagonal/>
    </border>
    <border>
      <left/>
      <right/>
      <top/>
      <bottom style="thin">
        <color indexed="23"/>
      </bottom>
      <diagonal/>
    </border>
    <border>
      <left/>
      <right style="thin">
        <color indexed="23"/>
      </right>
      <top/>
      <bottom style="thin">
        <color indexed="23"/>
      </bottom>
      <diagonal/>
    </border>
    <border>
      <left style="thin">
        <color indexed="9"/>
      </left>
      <right/>
      <top style="thin">
        <color indexed="55"/>
      </top>
      <bottom style="thin">
        <color indexed="55"/>
      </bottom>
      <diagonal/>
    </border>
    <border>
      <left/>
      <right/>
      <top style="thin">
        <color indexed="55"/>
      </top>
      <bottom style="thin">
        <color indexed="55"/>
      </bottom>
      <diagonal/>
    </border>
    <border>
      <left/>
      <right style="thin">
        <color indexed="9"/>
      </right>
      <top/>
      <bottom/>
      <diagonal/>
    </border>
    <border>
      <left/>
      <right/>
      <top/>
      <bottom style="thin">
        <color indexed="22"/>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9"/>
      </left>
      <right/>
      <top style="thin">
        <color indexed="55"/>
      </top>
      <bottom/>
      <diagonal/>
    </border>
    <border>
      <left/>
      <right/>
      <top style="thin">
        <color indexed="55"/>
      </top>
      <bottom/>
      <diagonal/>
    </border>
    <border>
      <left style="thin">
        <color indexed="9"/>
      </left>
      <right/>
      <top style="thin">
        <color indexed="23"/>
      </top>
      <bottom style="thin">
        <color indexed="55"/>
      </bottom>
      <diagonal/>
    </border>
    <border>
      <left/>
      <right/>
      <top style="thin">
        <color indexed="23"/>
      </top>
      <bottom style="thin">
        <color indexed="55"/>
      </bottom>
      <diagonal/>
    </border>
    <border>
      <left style="thin">
        <color indexed="9"/>
      </left>
      <right/>
      <top/>
      <bottom style="thin">
        <color indexed="55"/>
      </bottom>
      <diagonal/>
    </border>
    <border>
      <left/>
      <right/>
      <top/>
      <bottom style="thin">
        <color indexed="55"/>
      </bottom>
      <diagonal/>
    </border>
    <border>
      <left/>
      <right/>
      <top style="thin">
        <color indexed="22"/>
      </top>
      <bottom/>
      <diagonal/>
    </border>
    <border>
      <left/>
      <right/>
      <top style="thin">
        <color indexed="22"/>
      </top>
      <bottom style="thin">
        <color indexed="22"/>
      </bottom>
      <diagonal/>
    </border>
    <border>
      <left style="thin">
        <color indexed="9"/>
      </left>
      <right/>
      <top style="thin">
        <color indexed="22"/>
      </top>
      <bottom style="thin">
        <color indexed="55"/>
      </bottom>
      <diagonal/>
    </border>
    <border>
      <left/>
      <right/>
      <top style="thin">
        <color indexed="22"/>
      </top>
      <bottom style="thin">
        <color indexed="55"/>
      </bottom>
      <diagonal/>
    </border>
    <border>
      <left style="thin">
        <color indexed="64"/>
      </left>
      <right/>
      <top style="thin">
        <color indexed="22"/>
      </top>
      <bottom style="thin">
        <color indexed="22"/>
      </bottom>
      <diagonal/>
    </border>
    <border>
      <left/>
      <right style="thin">
        <color indexed="64"/>
      </right>
      <top style="thin">
        <color indexed="22"/>
      </top>
      <bottom style="thin">
        <color indexed="22"/>
      </bottom>
      <diagonal/>
    </border>
    <border>
      <left style="thin">
        <color indexed="64"/>
      </left>
      <right/>
      <top style="thin">
        <color indexed="22"/>
      </top>
      <bottom style="thin">
        <color indexed="64"/>
      </bottom>
      <diagonal/>
    </border>
    <border>
      <left/>
      <right/>
      <top style="thin">
        <color indexed="22"/>
      </top>
      <bottom style="thin">
        <color indexed="64"/>
      </bottom>
      <diagonal/>
    </border>
    <border>
      <left/>
      <right style="thin">
        <color indexed="64"/>
      </right>
      <top style="thin">
        <color indexed="22"/>
      </top>
      <bottom style="thin">
        <color indexed="64"/>
      </bottom>
      <diagonal/>
    </border>
    <border>
      <left style="thin">
        <color indexed="9"/>
      </left>
      <right style="thin">
        <color indexed="9"/>
      </right>
      <top/>
      <bottom/>
      <diagonal/>
    </border>
  </borders>
  <cellStyleXfs count="3">
    <xf numFmtId="0" fontId="0" fillId="0" borderId="0"/>
    <xf numFmtId="9" fontId="9" fillId="0" borderId="0" applyFont="0" applyFill="0" applyBorder="0" applyAlignment="0" applyProtection="0"/>
    <xf numFmtId="0" fontId="54" fillId="0" borderId="0" applyNumberFormat="0" applyFill="0" applyBorder="0" applyAlignment="0" applyProtection="0"/>
  </cellStyleXfs>
  <cellXfs count="1151">
    <xf numFmtId="0" fontId="0" fillId="0" borderId="0" xfId="0"/>
    <xf numFmtId="0" fontId="2" fillId="0" borderId="11" xfId="0" applyFont="1" applyBorder="1" applyAlignment="1">
      <alignment horizontal="left" vertical="center"/>
    </xf>
    <xf numFmtId="0" fontId="2" fillId="0" borderId="6" xfId="0" applyFont="1" applyBorder="1" applyAlignment="1">
      <alignment horizontal="left" vertical="center"/>
    </xf>
    <xf numFmtId="164" fontId="2" fillId="0" borderId="12" xfId="0" applyNumberFormat="1" applyFont="1" applyBorder="1" applyAlignment="1">
      <alignment horizontal="left" vertical="center"/>
    </xf>
    <xf numFmtId="0" fontId="2" fillId="0" borderId="0" xfId="0" applyFont="1" applyAlignment="1">
      <alignment vertical="center"/>
    </xf>
    <xf numFmtId="0" fontId="0" fillId="0" borderId="0" xfId="0" applyAlignment="1">
      <alignment vertical="center"/>
    </xf>
    <xf numFmtId="0" fontId="2" fillId="0" borderId="13" xfId="0" applyFont="1" applyBorder="1" applyAlignment="1">
      <alignment horizontal="center" vertical="center"/>
    </xf>
    <xf numFmtId="0" fontId="2" fillId="0" borderId="56" xfId="0" applyFont="1" applyBorder="1" applyAlignment="1">
      <alignment vertical="center"/>
    </xf>
    <xf numFmtId="44" fontId="2" fillId="0" borderId="0" xfId="0" applyNumberFormat="1" applyFont="1" applyAlignment="1">
      <alignment vertical="center"/>
    </xf>
    <xf numFmtId="44" fontId="2" fillId="0" borderId="54" xfId="0" applyNumberFormat="1" applyFont="1" applyBorder="1" applyAlignment="1">
      <alignment vertical="center"/>
    </xf>
    <xf numFmtId="0" fontId="0" fillId="0" borderId="56" xfId="0" applyBorder="1" applyAlignment="1">
      <alignment vertical="center"/>
    </xf>
    <xf numFmtId="44" fontId="0" fillId="0" borderId="0" xfId="0" applyNumberFormat="1" applyAlignment="1">
      <alignment vertical="center"/>
    </xf>
    <xf numFmtId="44" fontId="0" fillId="0" borderId="54" xfId="0" applyNumberFormat="1" applyBorder="1" applyAlignment="1">
      <alignment vertical="center"/>
    </xf>
    <xf numFmtId="10" fontId="0" fillId="0" borderId="54" xfId="0" applyNumberFormat="1" applyBorder="1" applyAlignment="1">
      <alignment vertical="center"/>
    </xf>
    <xf numFmtId="44" fontId="5" fillId="0" borderId="13" xfId="0" applyNumberFormat="1" applyFont="1" applyBorder="1" applyAlignment="1">
      <alignment vertical="top"/>
    </xf>
    <xf numFmtId="10" fontId="5" fillId="0" borderId="16" xfId="0" applyNumberFormat="1" applyFont="1" applyBorder="1" applyAlignment="1">
      <alignment vertical="top"/>
    </xf>
    <xf numFmtId="44" fontId="5" fillId="0" borderId="55" xfId="0" applyNumberFormat="1" applyFont="1" applyBorder="1" applyAlignment="1">
      <alignment vertical="top"/>
    </xf>
    <xf numFmtId="10" fontId="5" fillId="0" borderId="54" xfId="0" applyNumberFormat="1" applyFont="1" applyBorder="1" applyAlignment="1">
      <alignment vertical="top"/>
    </xf>
    <xf numFmtId="44" fontId="6" fillId="0" borderId="55" xfId="0" applyNumberFormat="1" applyFont="1" applyBorder="1" applyAlignment="1">
      <alignment vertical="top" wrapText="1"/>
    </xf>
    <xf numFmtId="10" fontId="6" fillId="0" borderId="54" xfId="0" applyNumberFormat="1" applyFont="1" applyBorder="1" applyAlignment="1">
      <alignment vertical="top" wrapText="1"/>
    </xf>
    <xf numFmtId="165" fontId="5" fillId="0" borderId="0" xfId="0" applyNumberFormat="1" applyFont="1" applyAlignment="1">
      <alignment vertical="top"/>
    </xf>
    <xf numFmtId="44" fontId="6" fillId="0" borderId="0" xfId="0" applyNumberFormat="1" applyFont="1" applyAlignment="1">
      <alignment vertical="top" wrapText="1"/>
    </xf>
    <xf numFmtId="44" fontId="6" fillId="0" borderId="54" xfId="0" applyNumberFormat="1" applyFont="1" applyBorder="1" applyAlignment="1">
      <alignment vertical="top" wrapText="1"/>
    </xf>
    <xf numFmtId="44" fontId="7" fillId="0" borderId="55" xfId="0" applyNumberFormat="1" applyFont="1" applyBorder="1" applyAlignment="1">
      <alignment vertical="center"/>
    </xf>
    <xf numFmtId="44" fontId="7" fillId="0" borderId="0" xfId="0" applyNumberFormat="1" applyFont="1" applyAlignment="1">
      <alignment vertical="center"/>
    </xf>
    <xf numFmtId="10" fontId="0" fillId="0" borderId="0" xfId="0" applyNumberFormat="1" applyAlignment="1">
      <alignment vertical="center"/>
    </xf>
    <xf numFmtId="0" fontId="7" fillId="0" borderId="0" xfId="0" applyFont="1" applyAlignment="1">
      <alignment vertical="center"/>
    </xf>
    <xf numFmtId="10" fontId="7" fillId="0" borderId="0" xfId="0" applyNumberFormat="1" applyFont="1" applyAlignment="1">
      <alignment vertical="center"/>
    </xf>
    <xf numFmtId="0" fontId="6" fillId="0" borderId="55" xfId="0" applyFont="1" applyBorder="1" applyAlignment="1">
      <alignment vertical="top" wrapText="1"/>
    </xf>
    <xf numFmtId="0" fontId="6" fillId="0" borderId="12" xfId="0" applyFont="1" applyBorder="1" applyAlignment="1">
      <alignment vertical="top" wrapText="1"/>
    </xf>
    <xf numFmtId="0" fontId="5" fillId="0" borderId="0" xfId="0" applyFont="1" applyAlignment="1">
      <alignment vertical="top" wrapText="1"/>
    </xf>
    <xf numFmtId="44" fontId="5" fillId="0" borderId="3" xfId="0" applyNumberFormat="1" applyFont="1" applyBorder="1" applyAlignment="1">
      <alignment vertical="top"/>
    </xf>
    <xf numFmtId="44" fontId="5" fillId="0" borderId="0" xfId="0" applyNumberFormat="1" applyFont="1" applyAlignment="1">
      <alignment vertical="top"/>
    </xf>
    <xf numFmtId="44" fontId="5" fillId="0" borderId="54" xfId="0" applyNumberFormat="1" applyFont="1" applyBorder="1" applyAlignment="1">
      <alignment vertical="top"/>
    </xf>
    <xf numFmtId="44" fontId="5" fillId="0" borderId="19" xfId="0" applyNumberFormat="1" applyFont="1" applyBorder="1" applyAlignment="1">
      <alignment vertical="top" wrapText="1"/>
    </xf>
    <xf numFmtId="44" fontId="5" fillId="0" borderId="11" xfId="0" applyNumberFormat="1" applyFont="1" applyBorder="1" applyAlignment="1">
      <alignment vertical="top" wrapText="1"/>
    </xf>
    <xf numFmtId="44" fontId="5" fillId="0" borderId="0" xfId="0" applyNumberFormat="1" applyFont="1" applyAlignment="1">
      <alignment vertical="top" wrapText="1"/>
    </xf>
    <xf numFmtId="44" fontId="5" fillId="0" borderId="54" xfId="0" applyNumberFormat="1" applyFont="1" applyBorder="1" applyAlignment="1">
      <alignment vertical="top" wrapText="1"/>
    </xf>
    <xf numFmtId="44" fontId="5" fillId="0" borderId="19" xfId="0" applyNumberFormat="1" applyFont="1" applyBorder="1" applyAlignment="1">
      <alignment vertical="top"/>
    </xf>
    <xf numFmtId="44" fontId="5" fillId="0" borderId="11" xfId="0" applyNumberFormat="1" applyFont="1" applyBorder="1" applyAlignment="1">
      <alignment vertical="top"/>
    </xf>
    <xf numFmtId="44" fontId="0" fillId="0" borderId="16" xfId="0" applyNumberFormat="1" applyBorder="1" applyAlignment="1">
      <alignment vertical="center"/>
    </xf>
    <xf numFmtId="44" fontId="0" fillId="0" borderId="3" xfId="0" applyNumberFormat="1" applyBorder="1" applyAlignment="1">
      <alignment vertical="center"/>
    </xf>
    <xf numFmtId="0" fontId="0" fillId="0" borderId="5" xfId="0" applyBorder="1" applyAlignment="1">
      <alignment vertical="center"/>
    </xf>
    <xf numFmtId="0" fontId="6" fillId="0" borderId="0" xfId="0" applyFont="1" applyAlignment="1">
      <alignment vertical="top" wrapText="1"/>
    </xf>
    <xf numFmtId="44" fontId="7" fillId="0" borderId="54" xfId="0" applyNumberFormat="1" applyFont="1" applyBorder="1" applyAlignment="1">
      <alignment vertical="center"/>
    </xf>
    <xf numFmtId="44" fontId="0" fillId="0" borderId="56" xfId="0" applyNumberFormat="1" applyBorder="1" applyAlignment="1">
      <alignment vertical="center"/>
    </xf>
    <xf numFmtId="44" fontId="0" fillId="0" borderId="5" xfId="0" applyNumberFormat="1" applyBorder="1" applyAlignment="1">
      <alignment vertical="center"/>
    </xf>
    <xf numFmtId="44" fontId="5" fillId="0" borderId="56" xfId="0" applyNumberFormat="1" applyFont="1" applyBorder="1" applyAlignment="1">
      <alignment vertical="top"/>
    </xf>
    <xf numFmtId="0" fontId="2" fillId="0" borderId="9" xfId="0" applyFont="1" applyBorder="1" applyAlignment="1">
      <alignment vertical="center"/>
    </xf>
    <xf numFmtId="0" fontId="2" fillId="0" borderId="4" xfId="0" applyFont="1" applyBorder="1" applyAlignment="1">
      <alignment vertical="center"/>
    </xf>
    <xf numFmtId="0" fontId="2" fillId="0" borderId="7" xfId="0" applyFont="1" applyBorder="1" applyAlignment="1">
      <alignment vertical="center"/>
    </xf>
    <xf numFmtId="44" fontId="2" fillId="0" borderId="7" xfId="0" applyNumberFormat="1" applyFont="1" applyBorder="1" applyAlignment="1">
      <alignment vertical="center"/>
    </xf>
    <xf numFmtId="44" fontId="2" fillId="0" borderId="4" xfId="0" applyNumberFormat="1" applyFont="1" applyBorder="1" applyAlignment="1">
      <alignment vertical="center"/>
    </xf>
    <xf numFmtId="10" fontId="2" fillId="0" borderId="9" xfId="0" applyNumberFormat="1" applyFont="1" applyBorder="1" applyAlignment="1">
      <alignment vertical="center"/>
    </xf>
    <xf numFmtId="2" fontId="2" fillId="0" borderId="4" xfId="0" applyNumberFormat="1" applyFont="1" applyBorder="1" applyAlignment="1">
      <alignment vertical="center"/>
    </xf>
    <xf numFmtId="10" fontId="2" fillId="0" borderId="4" xfId="0" applyNumberFormat="1" applyFont="1" applyBorder="1" applyAlignment="1">
      <alignment vertical="center"/>
    </xf>
    <xf numFmtId="10" fontId="0" fillId="0" borderId="0" xfId="1" applyNumberFormat="1" applyFont="1" applyBorder="1" applyAlignment="1">
      <alignment vertical="center"/>
    </xf>
    <xf numFmtId="0" fontId="10" fillId="0" borderId="0" xfId="0" applyFont="1" applyAlignment="1">
      <alignment vertical="center"/>
    </xf>
    <xf numFmtId="0" fontId="2" fillId="0" borderId="5" xfId="0" applyFont="1" applyBorder="1" applyAlignment="1">
      <alignment horizontal="center" vertical="center"/>
    </xf>
    <xf numFmtId="44" fontId="5" fillId="0" borderId="6" xfId="0" applyNumberFormat="1" applyFont="1" applyBorder="1" applyAlignment="1">
      <alignment vertical="top" wrapText="1"/>
    </xf>
    <xf numFmtId="44" fontId="5" fillId="0" borderId="56" xfId="0" applyNumberFormat="1" applyFont="1" applyBorder="1" applyAlignment="1">
      <alignment vertical="top" wrapText="1"/>
    </xf>
    <xf numFmtId="44" fontId="5" fillId="0" borderId="6" xfId="0" applyNumberFormat="1" applyFont="1" applyBorder="1" applyAlignment="1">
      <alignment vertical="top"/>
    </xf>
    <xf numFmtId="44" fontId="5" fillId="0" borderId="10" xfId="0" applyNumberFormat="1" applyFont="1" applyBorder="1" applyAlignment="1">
      <alignment vertical="top"/>
    </xf>
    <xf numFmtId="44" fontId="5" fillId="0" borderId="12" xfId="0" applyNumberFormat="1" applyFont="1" applyBorder="1" applyAlignment="1">
      <alignment vertical="top" wrapText="1"/>
    </xf>
    <xf numFmtId="44" fontId="12" fillId="0" borderId="10" xfId="0" applyNumberFormat="1" applyFont="1" applyBorder="1" applyAlignment="1">
      <alignment horizontal="center" vertical="top" wrapText="1"/>
    </xf>
    <xf numFmtId="44" fontId="12" fillId="0" borderId="0" xfId="0" applyNumberFormat="1" applyFont="1" applyAlignment="1">
      <alignment horizontal="center" vertical="top" wrapText="1"/>
    </xf>
    <xf numFmtId="44" fontId="7" fillId="0" borderId="54" xfId="0" applyNumberFormat="1" applyFont="1" applyBorder="1" applyAlignment="1">
      <alignment horizontal="center" vertical="top"/>
    </xf>
    <xf numFmtId="44" fontId="12" fillId="0" borderId="12" xfId="0" applyNumberFormat="1" applyFont="1" applyBorder="1" applyAlignment="1">
      <alignment horizontal="center" vertical="top" wrapText="1"/>
    </xf>
    <xf numFmtId="44" fontId="12" fillId="0" borderId="19" xfId="0" applyNumberFormat="1" applyFont="1" applyBorder="1" applyAlignment="1">
      <alignment horizontal="center" vertical="top" wrapText="1"/>
    </xf>
    <xf numFmtId="44" fontId="7" fillId="0" borderId="11" xfId="0" applyNumberFormat="1" applyFont="1" applyBorder="1" applyAlignment="1">
      <alignment horizontal="center" vertical="center"/>
    </xf>
    <xf numFmtId="44" fontId="12" fillId="0" borderId="10" xfId="0" applyNumberFormat="1" applyFont="1" applyBorder="1" applyAlignment="1">
      <alignment horizontal="center" vertical="top"/>
    </xf>
    <xf numFmtId="44" fontId="12" fillId="0" borderId="0" xfId="0" applyNumberFormat="1" applyFont="1" applyAlignment="1">
      <alignment horizontal="center" vertical="top"/>
    </xf>
    <xf numFmtId="44" fontId="7" fillId="0" borderId="54" xfId="0" applyNumberFormat="1" applyFont="1" applyBorder="1" applyAlignment="1">
      <alignment horizontal="center" vertical="center"/>
    </xf>
    <xf numFmtId="44" fontId="4" fillId="0" borderId="54" xfId="0" applyNumberFormat="1" applyFont="1" applyBorder="1" applyAlignment="1">
      <alignment vertical="center"/>
    </xf>
    <xf numFmtId="0" fontId="2" fillId="0" borderId="13" xfId="0" applyFont="1" applyBorder="1" applyAlignment="1">
      <alignment vertical="center"/>
    </xf>
    <xf numFmtId="10" fontId="0" fillId="0" borderId="56" xfId="0" applyNumberFormat="1" applyBorder="1" applyAlignment="1">
      <alignment vertical="center"/>
    </xf>
    <xf numFmtId="0" fontId="7" fillId="17" borderId="10" xfId="0" applyFont="1" applyFill="1" applyBorder="1" applyAlignment="1">
      <alignment vertical="center"/>
    </xf>
    <xf numFmtId="0" fontId="7" fillId="0" borderId="10" xfId="0" applyFont="1" applyBorder="1" applyAlignment="1">
      <alignment vertical="center"/>
    </xf>
    <xf numFmtId="44" fontId="7" fillId="0" borderId="10" xfId="0" applyNumberFormat="1" applyFont="1" applyBorder="1" applyAlignment="1">
      <alignment vertical="center"/>
    </xf>
    <xf numFmtId="0" fontId="3" fillId="0" borderId="0" xfId="0" applyFont="1" applyAlignment="1">
      <alignment vertical="center"/>
    </xf>
    <xf numFmtId="0" fontId="1" fillId="0" borderId="0" xfId="0" applyFont="1" applyAlignment="1">
      <alignment vertical="center"/>
    </xf>
    <xf numFmtId="0" fontId="4" fillId="5" borderId="17" xfId="0" applyFont="1" applyFill="1" applyBorder="1" applyAlignment="1">
      <alignment vertical="center"/>
    </xf>
    <xf numFmtId="164" fontId="4" fillId="5" borderId="17" xfId="0" applyNumberFormat="1" applyFont="1" applyFill="1" applyBorder="1" applyAlignment="1">
      <alignment vertical="center"/>
    </xf>
    <xf numFmtId="0" fontId="4" fillId="0" borderId="17" xfId="0" applyFont="1" applyBorder="1" applyAlignment="1">
      <alignment vertical="center"/>
    </xf>
    <xf numFmtId="164" fontId="4" fillId="0" borderId="17" xfId="0" applyNumberFormat="1" applyFont="1" applyBorder="1" applyAlignment="1">
      <alignment vertical="center"/>
    </xf>
    <xf numFmtId="0" fontId="4" fillId="6" borderId="17" xfId="0" applyFont="1" applyFill="1" applyBorder="1" applyAlignment="1">
      <alignment vertical="center"/>
    </xf>
    <xf numFmtId="164" fontId="4" fillId="6" borderId="17" xfId="0" applyNumberFormat="1" applyFont="1" applyFill="1" applyBorder="1" applyAlignment="1">
      <alignment vertical="center"/>
    </xf>
    <xf numFmtId="0" fontId="2" fillId="0" borderId="0" xfId="0" applyFont="1" applyAlignment="1">
      <alignment horizontal="left" vertical="center"/>
    </xf>
    <xf numFmtId="168" fontId="2" fillId="0" borderId="6" xfId="0" applyNumberFormat="1" applyFont="1" applyBorder="1" applyAlignment="1">
      <alignment vertical="center"/>
    </xf>
    <xf numFmtId="0" fontId="2" fillId="0" borderId="10" xfId="0" applyFont="1" applyBorder="1" applyAlignment="1">
      <alignment horizontal="left" vertical="center"/>
    </xf>
    <xf numFmtId="0" fontId="2" fillId="0" borderId="12" xfId="0" applyFont="1" applyBorder="1" applyAlignment="1">
      <alignment horizontal="left" vertical="center"/>
    </xf>
    <xf numFmtId="0" fontId="2" fillId="0" borderId="3" xfId="0" applyFont="1" applyBorder="1" applyAlignment="1">
      <alignment vertical="center"/>
    </xf>
    <xf numFmtId="168" fontId="14" fillId="0" borderId="0" xfId="0" applyNumberFormat="1" applyFont="1" applyAlignment="1">
      <alignment vertical="center"/>
    </xf>
    <xf numFmtId="10" fontId="7" fillId="0" borderId="56" xfId="0" applyNumberFormat="1" applyFont="1" applyBorder="1" applyAlignment="1">
      <alignment horizontal="center" vertical="center"/>
    </xf>
    <xf numFmtId="169" fontId="7" fillId="0" borderId="56" xfId="0" applyNumberFormat="1" applyFont="1" applyBorder="1" applyAlignment="1">
      <alignment horizontal="center" vertical="center"/>
    </xf>
    <xf numFmtId="169" fontId="7" fillId="0" borderId="6" xfId="0" applyNumberFormat="1" applyFont="1" applyBorder="1" applyAlignment="1">
      <alignment horizontal="center" vertical="center"/>
    </xf>
    <xf numFmtId="44" fontId="2" fillId="0" borderId="5" xfId="0" applyNumberFormat="1" applyFont="1" applyBorder="1" applyAlignment="1">
      <alignment vertical="center"/>
    </xf>
    <xf numFmtId="0" fontId="2" fillId="0" borderId="12" xfId="0" applyFont="1" applyBorder="1" applyAlignment="1">
      <alignment vertical="center"/>
    </xf>
    <xf numFmtId="44" fontId="15" fillId="0" borderId="10" xfId="0" applyNumberFormat="1" applyFont="1" applyBorder="1" applyAlignment="1">
      <alignment vertical="center"/>
    </xf>
    <xf numFmtId="44" fontId="15" fillId="0" borderId="54" xfId="0" applyNumberFormat="1" applyFont="1" applyBorder="1" applyAlignment="1">
      <alignment vertical="center"/>
    </xf>
    <xf numFmtId="44" fontId="15" fillId="0" borderId="9" xfId="0" applyNumberFormat="1" applyFont="1" applyBorder="1" applyAlignment="1">
      <alignment vertical="center"/>
    </xf>
    <xf numFmtId="44" fontId="15" fillId="0" borderId="4" xfId="0" applyNumberFormat="1" applyFont="1" applyBorder="1" applyAlignment="1">
      <alignment vertical="center"/>
    </xf>
    <xf numFmtId="44" fontId="15" fillId="0" borderId="7" xfId="0" applyNumberFormat="1" applyFont="1" applyBorder="1" applyAlignment="1">
      <alignment vertical="center"/>
    </xf>
    <xf numFmtId="44" fontId="15" fillId="0" borderId="19" xfId="0" applyNumberFormat="1" applyFont="1" applyBorder="1" applyAlignment="1">
      <alignment vertical="center"/>
    </xf>
    <xf numFmtId="44" fontId="15" fillId="17" borderId="0" xfId="0" applyNumberFormat="1" applyFont="1" applyFill="1" applyAlignment="1">
      <alignment vertical="center"/>
    </xf>
    <xf numFmtId="44" fontId="15" fillId="17" borderId="4" xfId="0" applyNumberFormat="1" applyFont="1" applyFill="1" applyBorder="1" applyAlignment="1">
      <alignment vertical="center"/>
    </xf>
    <xf numFmtId="44" fontId="7" fillId="0" borderId="13" xfId="0" applyNumberFormat="1" applyFont="1" applyBorder="1" applyAlignment="1">
      <alignment vertical="center"/>
    </xf>
    <xf numFmtId="44" fontId="7" fillId="0" borderId="3" xfId="0" applyNumberFormat="1" applyFont="1" applyBorder="1" applyAlignment="1">
      <alignment vertical="center"/>
    </xf>
    <xf numFmtId="44" fontId="7" fillId="0" borderId="16" xfId="0" applyNumberFormat="1" applyFont="1" applyBorder="1" applyAlignment="1">
      <alignment vertical="center"/>
    </xf>
    <xf numFmtId="0" fontId="2" fillId="0" borderId="12" xfId="0" applyFont="1" applyBorder="1" applyAlignment="1">
      <alignment horizontal="center" vertical="center"/>
    </xf>
    <xf numFmtId="44" fontId="2" fillId="20" borderId="19" xfId="0" applyNumberFormat="1" applyFont="1" applyFill="1" applyBorder="1" applyAlignment="1">
      <alignment vertical="center"/>
    </xf>
    <xf numFmtId="10" fontId="2" fillId="20" borderId="19" xfId="0" applyNumberFormat="1" applyFont="1" applyFill="1" applyBorder="1" applyAlignment="1">
      <alignment horizontal="center" vertical="center"/>
    </xf>
    <xf numFmtId="0" fontId="2" fillId="23" borderId="3" xfId="0" applyFont="1" applyFill="1" applyBorder="1" applyAlignment="1">
      <alignment horizontal="center" vertical="center" wrapText="1"/>
    </xf>
    <xf numFmtId="0" fontId="2" fillId="23" borderId="16" xfId="0" applyFont="1" applyFill="1" applyBorder="1" applyAlignment="1">
      <alignment horizontal="center" vertical="center" wrapText="1"/>
    </xf>
    <xf numFmtId="0" fontId="2" fillId="20" borderId="12" xfId="0" applyFont="1" applyFill="1" applyBorder="1" applyAlignment="1">
      <alignment vertical="center"/>
    </xf>
    <xf numFmtId="10" fontId="2" fillId="20" borderId="11" xfId="0" applyNumberFormat="1" applyFont="1" applyFill="1" applyBorder="1" applyAlignment="1">
      <alignment horizontal="center" vertical="center"/>
    </xf>
    <xf numFmtId="0" fontId="2" fillId="3" borderId="9" xfId="0" applyFont="1" applyFill="1" applyBorder="1" applyAlignment="1">
      <alignment horizontal="center" vertical="center" wrapText="1"/>
    </xf>
    <xf numFmtId="44" fontId="2" fillId="3" borderId="4"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7" xfId="0" applyFont="1" applyFill="1" applyBorder="1" applyAlignment="1">
      <alignment horizontal="center" vertical="center" wrapText="1"/>
    </xf>
    <xf numFmtId="10" fontId="2" fillId="20" borderId="12" xfId="0" applyNumberFormat="1" applyFont="1" applyFill="1" applyBorder="1" applyAlignment="1">
      <alignment horizontal="center" vertical="center"/>
    </xf>
    <xf numFmtId="1" fontId="2" fillId="20" borderId="19" xfId="0" applyNumberFormat="1" applyFont="1" applyFill="1" applyBorder="1" applyAlignment="1">
      <alignment vertical="center"/>
    </xf>
    <xf numFmtId="0" fontId="2" fillId="0" borderId="10" xfId="0" applyFont="1" applyBorder="1" applyAlignment="1">
      <alignment horizontal="center" vertical="center"/>
    </xf>
    <xf numFmtId="0" fontId="2" fillId="23" borderId="13" xfId="0" applyFont="1" applyFill="1" applyBorder="1" applyAlignment="1">
      <alignment horizontal="center" vertical="center" wrapText="1"/>
    </xf>
    <xf numFmtId="0" fontId="17" fillId="0" borderId="0" xfId="0" applyFont="1" applyAlignment="1">
      <alignment vertical="center"/>
    </xf>
    <xf numFmtId="0" fontId="0" fillId="0" borderId="5" xfId="0" applyBorder="1" applyAlignment="1">
      <alignment horizontal="center" vertical="center"/>
    </xf>
    <xf numFmtId="0" fontId="0" fillId="0" borderId="13" xfId="0" applyBorder="1" applyAlignment="1">
      <alignment vertical="center"/>
    </xf>
    <xf numFmtId="0" fontId="0" fillId="0" borderId="16" xfId="0" applyBorder="1" applyAlignment="1">
      <alignment vertical="center"/>
    </xf>
    <xf numFmtId="0" fontId="0" fillId="0" borderId="10" xfId="0" applyBorder="1" applyAlignment="1">
      <alignment vertical="center"/>
    </xf>
    <xf numFmtId="0" fontId="0" fillId="0" borderId="8" xfId="0" applyBorder="1" applyAlignment="1">
      <alignment vertical="center"/>
    </xf>
    <xf numFmtId="2" fontId="0" fillId="0" borderId="10" xfId="0" applyNumberFormat="1" applyBorder="1" applyAlignment="1">
      <alignment vertical="center"/>
    </xf>
    <xf numFmtId="164" fontId="19" fillId="0" borderId="0" xfId="0" applyNumberFormat="1" applyFont="1" applyAlignment="1">
      <alignment vertical="center"/>
    </xf>
    <xf numFmtId="164" fontId="0" fillId="0" borderId="0" xfId="0" applyNumberFormat="1" applyAlignment="1">
      <alignment vertical="center"/>
    </xf>
    <xf numFmtId="0" fontId="7" fillId="0" borderId="0" xfId="0" applyFont="1" applyAlignment="1">
      <alignment vertical="center" wrapText="1"/>
    </xf>
    <xf numFmtId="3" fontId="0" fillId="0" borderId="0" xfId="0" applyNumberFormat="1" applyAlignment="1">
      <alignment vertical="center"/>
    </xf>
    <xf numFmtId="0" fontId="0" fillId="0" borderId="54" xfId="0" applyBorder="1" applyAlignment="1">
      <alignment vertical="center"/>
    </xf>
    <xf numFmtId="0" fontId="0" fillId="0" borderId="12" xfId="0" applyBorder="1" applyAlignment="1">
      <alignment vertical="center"/>
    </xf>
    <xf numFmtId="0" fontId="0" fillId="0" borderId="11" xfId="0" applyBorder="1" applyAlignment="1">
      <alignment vertical="center"/>
    </xf>
    <xf numFmtId="0" fontId="0" fillId="0" borderId="0" xfId="0" applyAlignment="1">
      <alignment horizontal="center" vertical="center"/>
    </xf>
    <xf numFmtId="0" fontId="22" fillId="0" borderId="0" xfId="0" applyFont="1" applyAlignment="1">
      <alignment horizontal="left" vertical="center"/>
    </xf>
    <xf numFmtId="0" fontId="1" fillId="0" borderId="0" xfId="0" applyFont="1" applyAlignment="1">
      <alignment horizontal="left" vertical="center"/>
    </xf>
    <xf numFmtId="0" fontId="22" fillId="0" borderId="0" xfId="0" applyFont="1" applyAlignment="1">
      <alignment vertical="center"/>
    </xf>
    <xf numFmtId="0" fontId="0" fillId="0" borderId="0" xfId="0" applyAlignment="1">
      <alignment horizontal="right" vertical="center"/>
    </xf>
    <xf numFmtId="44" fontId="0" fillId="0" borderId="13" xfId="0" applyNumberFormat="1" applyBorder="1" applyAlignment="1">
      <alignment vertical="center"/>
    </xf>
    <xf numFmtId="0" fontId="0" fillId="0" borderId="6" xfId="0" applyBorder="1" applyAlignment="1">
      <alignment horizontal="center" vertical="center"/>
    </xf>
    <xf numFmtId="44" fontId="0" fillId="0" borderId="19" xfId="0" applyNumberFormat="1" applyBorder="1" applyAlignment="1">
      <alignment vertical="center"/>
    </xf>
    <xf numFmtId="44" fontId="0" fillId="0" borderId="12" xfId="0" applyNumberFormat="1" applyBorder="1" applyAlignment="1">
      <alignment vertical="center"/>
    </xf>
    <xf numFmtId="44" fontId="0" fillId="0" borderId="11" xfId="0" applyNumberFormat="1" applyBorder="1" applyAlignment="1">
      <alignment vertical="center"/>
    </xf>
    <xf numFmtId="0" fontId="0" fillId="0" borderId="56" xfId="0" applyBorder="1" applyAlignment="1">
      <alignment horizontal="center" vertical="center"/>
    </xf>
    <xf numFmtId="44" fontId="0" fillId="0" borderId="55" xfId="0" applyNumberFormat="1" applyBorder="1" applyAlignment="1">
      <alignment vertical="center"/>
    </xf>
    <xf numFmtId="0" fontId="0" fillId="0" borderId="55" xfId="0" applyBorder="1" applyAlignment="1">
      <alignment vertical="center"/>
    </xf>
    <xf numFmtId="44" fontId="0" fillId="0" borderId="10" xfId="0" applyNumberFormat="1" applyBorder="1" applyAlignment="1">
      <alignment vertical="center"/>
    </xf>
    <xf numFmtId="10" fontId="0" fillId="0" borderId="55" xfId="0" applyNumberFormat="1" applyBorder="1" applyAlignment="1">
      <alignment vertical="center"/>
    </xf>
    <xf numFmtId="44" fontId="0" fillId="0" borderId="6" xfId="0" applyNumberFormat="1" applyBorder="1" applyAlignment="1">
      <alignment vertical="center"/>
    </xf>
    <xf numFmtId="10" fontId="0" fillId="0" borderId="10" xfId="0" applyNumberFormat="1" applyBorder="1" applyAlignment="1">
      <alignment vertical="center"/>
    </xf>
    <xf numFmtId="10" fontId="0" fillId="0" borderId="12" xfId="0" applyNumberFormat="1" applyBorder="1" applyAlignment="1">
      <alignment vertical="center"/>
    </xf>
    <xf numFmtId="10" fontId="0" fillId="0" borderId="19" xfId="0" applyNumberFormat="1" applyBorder="1" applyAlignment="1">
      <alignment vertical="center"/>
    </xf>
    <xf numFmtId="10" fontId="0" fillId="0" borderId="11" xfId="0" applyNumberFormat="1" applyBorder="1" applyAlignment="1">
      <alignment vertical="center"/>
    </xf>
    <xf numFmtId="0" fontId="0" fillId="0" borderId="6" xfId="0" applyBorder="1" applyAlignment="1">
      <alignment vertical="center"/>
    </xf>
    <xf numFmtId="0" fontId="0" fillId="0" borderId="3" xfId="0" applyBorder="1" applyAlignment="1">
      <alignment vertical="center"/>
    </xf>
    <xf numFmtId="0" fontId="0" fillId="0" borderId="56" xfId="0" quotePrefix="1" applyBorder="1" applyAlignment="1">
      <alignment vertical="center"/>
    </xf>
    <xf numFmtId="165" fontId="23" fillId="0" borderId="0" xfId="0" applyNumberFormat="1" applyFont="1" applyAlignment="1">
      <alignment vertical="center"/>
    </xf>
    <xf numFmtId="165" fontId="24" fillId="0" borderId="0" xfId="0" applyNumberFormat="1" applyFont="1" applyAlignment="1">
      <alignment vertical="center"/>
    </xf>
    <xf numFmtId="0" fontId="0" fillId="0" borderId="0" xfId="0" quotePrefix="1" applyAlignment="1">
      <alignment vertical="center"/>
    </xf>
    <xf numFmtId="168" fontId="0" fillId="0" borderId="0" xfId="0" applyNumberFormat="1" applyAlignment="1">
      <alignment vertical="center"/>
    </xf>
    <xf numFmtId="168" fontId="0" fillId="0" borderId="54" xfId="0" applyNumberFormat="1" applyBorder="1" applyAlignment="1">
      <alignment vertical="center"/>
    </xf>
    <xf numFmtId="168" fontId="0" fillId="0" borderId="19" xfId="0" applyNumberFormat="1" applyBorder="1" applyAlignment="1">
      <alignment vertical="center"/>
    </xf>
    <xf numFmtId="168" fontId="0" fillId="0" borderId="11" xfId="0" applyNumberFormat="1" applyBorder="1" applyAlignment="1">
      <alignment vertical="center"/>
    </xf>
    <xf numFmtId="168" fontId="0" fillId="0" borderId="10" xfId="0" applyNumberFormat="1" applyBorder="1" applyAlignment="1">
      <alignment vertical="center"/>
    </xf>
    <xf numFmtId="0" fontId="0" fillId="0" borderId="0" xfId="0" applyAlignment="1">
      <alignment horizontal="left" vertical="center"/>
    </xf>
    <xf numFmtId="168" fontId="0" fillId="0" borderId="13" xfId="0" applyNumberFormat="1" applyBorder="1" applyAlignment="1">
      <alignment vertical="center"/>
    </xf>
    <xf numFmtId="168" fontId="0" fillId="0" borderId="3" xfId="0" applyNumberFormat="1" applyBorder="1" applyAlignment="1">
      <alignment vertical="center"/>
    </xf>
    <xf numFmtId="168" fontId="0" fillId="0" borderId="16" xfId="0" applyNumberFormat="1" applyBorder="1" applyAlignment="1">
      <alignment vertical="center"/>
    </xf>
    <xf numFmtId="168" fontId="0" fillId="0" borderId="12" xfId="0" applyNumberFormat="1" applyBorder="1" applyAlignment="1">
      <alignment vertical="center"/>
    </xf>
    <xf numFmtId="2" fontId="0" fillId="0" borderId="0" xfId="0" applyNumberFormat="1" applyAlignment="1">
      <alignment vertical="center"/>
    </xf>
    <xf numFmtId="171" fontId="0" fillId="0" borderId="0" xfId="0" applyNumberFormat="1" applyAlignment="1">
      <alignment vertical="center"/>
    </xf>
    <xf numFmtId="44" fontId="0" fillId="0" borderId="10" xfId="0" quotePrefix="1" applyNumberFormat="1" applyBorder="1" applyAlignment="1">
      <alignment vertical="center"/>
    </xf>
    <xf numFmtId="0" fontId="0" fillId="0" borderId="1" xfId="0" applyBorder="1" applyAlignment="1">
      <alignment vertical="center"/>
    </xf>
    <xf numFmtId="168" fontId="0" fillId="20" borderId="0" xfId="0" applyNumberFormat="1" applyFill="1" applyAlignment="1">
      <alignment vertical="center"/>
    </xf>
    <xf numFmtId="0" fontId="0" fillId="0" borderId="13" xfId="0" applyBorder="1" applyAlignment="1">
      <alignment horizontal="right" vertical="center"/>
    </xf>
    <xf numFmtId="0" fontId="0" fillId="0" borderId="12" xfId="0" applyBorder="1" applyAlignment="1">
      <alignment horizontal="right" vertical="center"/>
    </xf>
    <xf numFmtId="0" fontId="0" fillId="0" borderId="19" xfId="0" applyBorder="1" applyAlignment="1">
      <alignment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168" fontId="0" fillId="0" borderId="56" xfId="0" applyNumberFormat="1" applyBorder="1" applyAlignment="1">
      <alignment vertical="center"/>
    </xf>
    <xf numFmtId="168" fontId="0" fillId="0" borderId="6" xfId="0" applyNumberFormat="1" applyBorder="1" applyAlignment="1">
      <alignment vertical="center"/>
    </xf>
    <xf numFmtId="14" fontId="0" fillId="0" borderId="0" xfId="0" applyNumberFormat="1" applyAlignment="1">
      <alignment horizontal="left" vertical="center"/>
    </xf>
    <xf numFmtId="168" fontId="0" fillId="0" borderId="0" xfId="0" applyNumberFormat="1" applyAlignment="1">
      <alignment horizontal="center" vertical="center"/>
    </xf>
    <xf numFmtId="0" fontId="0" fillId="0" borderId="12" xfId="0" applyBorder="1" applyAlignment="1">
      <alignment horizontal="center"/>
    </xf>
    <xf numFmtId="0" fontId="0" fillId="0" borderId="19" xfId="0" applyBorder="1" applyAlignment="1">
      <alignment horizontal="center"/>
    </xf>
    <xf numFmtId="168" fontId="0" fillId="0" borderId="5" xfId="0" applyNumberFormat="1" applyBorder="1"/>
    <xf numFmtId="168" fontId="0" fillId="0" borderId="56" xfId="0" applyNumberFormat="1" applyBorder="1"/>
    <xf numFmtId="168" fontId="0" fillId="0" borderId="6" xfId="0" applyNumberFormat="1" applyBorder="1"/>
    <xf numFmtId="9" fontId="0" fillId="0" borderId="0" xfId="0" applyNumberFormat="1" applyAlignment="1">
      <alignment vertical="center"/>
    </xf>
    <xf numFmtId="44" fontId="0" fillId="0" borderId="4" xfId="0" applyNumberFormat="1" applyBorder="1" applyAlignment="1">
      <alignment vertical="center"/>
    </xf>
    <xf numFmtId="44" fontId="0" fillId="0" borderId="7" xfId="0" applyNumberFormat="1" applyBorder="1" applyAlignment="1">
      <alignment vertical="center"/>
    </xf>
    <xf numFmtId="0" fontId="0" fillId="0" borderId="55" xfId="0" applyBorder="1"/>
    <xf numFmtId="44" fontId="0" fillId="0" borderId="56" xfId="0" applyNumberFormat="1" applyBorder="1"/>
    <xf numFmtId="44" fontId="0" fillId="0" borderId="0" xfId="0" applyNumberFormat="1"/>
    <xf numFmtId="44" fontId="0" fillId="0" borderId="54" xfId="0" applyNumberFormat="1" applyBorder="1"/>
    <xf numFmtId="44" fontId="0" fillId="0" borderId="9" xfId="0" applyNumberFormat="1" applyBorder="1"/>
    <xf numFmtId="44" fontId="0" fillId="0" borderId="3" xfId="0" applyNumberFormat="1" applyBorder="1"/>
    <xf numFmtId="0" fontId="0" fillId="0" borderId="0" xfId="0" applyAlignment="1">
      <alignment vertical="top"/>
    </xf>
    <xf numFmtId="44" fontId="0" fillId="0" borderId="4" xfId="0" applyNumberFormat="1" applyBorder="1"/>
    <xf numFmtId="10" fontId="0" fillId="0" borderId="16" xfId="0" applyNumberFormat="1" applyBorder="1" applyAlignment="1">
      <alignment vertical="center"/>
    </xf>
    <xf numFmtId="44" fontId="0" fillId="0" borderId="3" xfId="0" applyNumberFormat="1" applyBorder="1" applyAlignment="1">
      <alignment horizontal="center" vertical="center"/>
    </xf>
    <xf numFmtId="44" fontId="0" fillId="0" borderId="16" xfId="0" applyNumberFormat="1" applyBorder="1" applyAlignment="1">
      <alignment horizontal="center" vertical="center"/>
    </xf>
    <xf numFmtId="44" fontId="0" fillId="2" borderId="0" xfId="0" applyNumberFormat="1" applyFill="1" applyAlignment="1">
      <alignment vertical="center"/>
    </xf>
    <xf numFmtId="44" fontId="0" fillId="0" borderId="0" xfId="0" applyNumberFormat="1" applyAlignment="1">
      <alignment horizontal="center" vertical="center"/>
    </xf>
    <xf numFmtId="44" fontId="0" fillId="0" borderId="54" xfId="0" applyNumberFormat="1" applyBorder="1" applyAlignment="1">
      <alignment horizontal="center" vertical="center"/>
    </xf>
    <xf numFmtId="44" fontId="0" fillId="0" borderId="19" xfId="0" applyNumberFormat="1" applyBorder="1" applyAlignment="1">
      <alignment horizontal="center" vertical="center"/>
    </xf>
    <xf numFmtId="44" fontId="0" fillId="0" borderId="11" xfId="0" applyNumberFormat="1" applyBorder="1" applyAlignment="1">
      <alignment horizontal="center" vertical="center"/>
    </xf>
    <xf numFmtId="10" fontId="0" fillId="0" borderId="3" xfId="0" applyNumberFormat="1" applyBorder="1" applyAlignment="1">
      <alignment vertical="center"/>
    </xf>
    <xf numFmtId="44" fontId="0" fillId="0" borderId="54" xfId="0" quotePrefix="1" applyNumberFormat="1" applyBorder="1" applyAlignment="1">
      <alignment vertical="center"/>
    </xf>
    <xf numFmtId="10" fontId="0" fillId="0" borderId="16" xfId="0" applyNumberFormat="1" applyBorder="1" applyAlignment="1">
      <alignment horizontal="center" vertical="center"/>
    </xf>
    <xf numFmtId="44" fontId="0" fillId="0" borderId="9" xfId="0" applyNumberFormat="1" applyBorder="1" applyAlignment="1">
      <alignment vertical="center"/>
    </xf>
    <xf numFmtId="0" fontId="0" fillId="0" borderId="7" xfId="0" applyBorder="1" applyAlignment="1">
      <alignment vertical="center"/>
    </xf>
    <xf numFmtId="44" fontId="0" fillId="0" borderId="1" xfId="0" applyNumberFormat="1" applyBorder="1" applyAlignment="1">
      <alignment vertical="center"/>
    </xf>
    <xf numFmtId="2" fontId="0" fillId="0" borderId="19" xfId="0" applyNumberFormat="1" applyBorder="1" applyAlignment="1">
      <alignment vertical="center"/>
    </xf>
    <xf numFmtId="0" fontId="0" fillId="0" borderId="10" xfId="0" applyBorder="1" applyAlignment="1">
      <alignment horizontal="right" vertical="center"/>
    </xf>
    <xf numFmtId="0" fontId="0" fillId="0" borderId="12" xfId="0" applyBorder="1" applyAlignment="1">
      <alignment horizontal="left" vertical="center"/>
    </xf>
    <xf numFmtId="10" fontId="0" fillId="0" borderId="6" xfId="0" applyNumberFormat="1" applyBorder="1" applyAlignment="1">
      <alignment vertical="center"/>
    </xf>
    <xf numFmtId="0" fontId="0" fillId="0" borderId="4" xfId="0" applyBorder="1" applyAlignment="1">
      <alignment vertical="center"/>
    </xf>
    <xf numFmtId="10" fontId="0" fillId="0" borderId="7" xfId="0" applyNumberFormat="1" applyBorder="1" applyAlignment="1">
      <alignment vertical="center"/>
    </xf>
    <xf numFmtId="44" fontId="0" fillId="0" borderId="13" xfId="0" applyNumberFormat="1" applyBorder="1"/>
    <xf numFmtId="44" fontId="0" fillId="0" borderId="16" xfId="0" applyNumberFormat="1" applyBorder="1"/>
    <xf numFmtId="44" fontId="0" fillId="0" borderId="12" xfId="0" applyNumberFormat="1" applyBorder="1"/>
    <xf numFmtId="44" fontId="0" fillId="0" borderId="11" xfId="0" applyNumberFormat="1" applyBorder="1"/>
    <xf numFmtId="44" fontId="0" fillId="20" borderId="3" xfId="0" applyNumberFormat="1" applyFill="1" applyBorder="1" applyAlignment="1">
      <alignment vertical="center"/>
    </xf>
    <xf numFmtId="44" fontId="0" fillId="20" borderId="16" xfId="0" applyNumberFormat="1" applyFill="1" applyBorder="1" applyAlignment="1">
      <alignment vertical="center"/>
    </xf>
    <xf numFmtId="2" fontId="0" fillId="0" borderId="0" xfId="0" applyNumberFormat="1" applyAlignment="1">
      <alignment horizontal="left" vertical="center"/>
    </xf>
    <xf numFmtId="9" fontId="0" fillId="0" borderId="54" xfId="0" applyNumberFormat="1" applyBorder="1" applyAlignment="1">
      <alignment vertical="center"/>
    </xf>
    <xf numFmtId="44" fontId="0" fillId="17" borderId="56" xfId="0" applyNumberFormat="1" applyFill="1" applyBorder="1" applyAlignment="1">
      <alignment vertical="center"/>
    </xf>
    <xf numFmtId="44" fontId="0" fillId="17" borderId="54" xfId="0" applyNumberFormat="1" applyFill="1" applyBorder="1" applyAlignment="1">
      <alignment vertical="center"/>
    </xf>
    <xf numFmtId="169" fontId="0" fillId="0" borderId="56" xfId="0" applyNumberFormat="1" applyBorder="1" applyAlignment="1">
      <alignment vertical="center"/>
    </xf>
    <xf numFmtId="169" fontId="0" fillId="0" borderId="54" xfId="0" applyNumberFormat="1" applyBorder="1" applyAlignment="1">
      <alignment vertical="center"/>
    </xf>
    <xf numFmtId="4" fontId="0" fillId="0" borderId="0" xfId="0" applyNumberFormat="1"/>
    <xf numFmtId="10" fontId="0" fillId="0" borderId="10" xfId="0" applyNumberFormat="1" applyBorder="1" applyAlignment="1">
      <alignment horizontal="center" vertical="center"/>
    </xf>
    <xf numFmtId="10" fontId="0" fillId="0" borderId="0" xfId="0" applyNumberFormat="1" applyAlignment="1">
      <alignment horizontal="center" vertical="center"/>
    </xf>
    <xf numFmtId="10" fontId="0" fillId="0" borderId="54" xfId="0" applyNumberFormat="1" applyBorder="1" applyAlignment="1">
      <alignment horizontal="center" vertical="center"/>
    </xf>
    <xf numFmtId="10" fontId="0" fillId="0" borderId="12" xfId="0" applyNumberFormat="1" applyBorder="1" applyAlignment="1">
      <alignment horizontal="center" vertical="center"/>
    </xf>
    <xf numFmtId="10" fontId="0" fillId="0" borderId="19" xfId="0" applyNumberFormat="1" applyBorder="1" applyAlignment="1">
      <alignment horizontal="center" vertical="center"/>
    </xf>
    <xf numFmtId="10" fontId="0" fillId="0" borderId="11" xfId="0" applyNumberFormat="1" applyBorder="1" applyAlignment="1">
      <alignment horizontal="center" vertical="center"/>
    </xf>
    <xf numFmtId="2" fontId="0" fillId="0" borderId="54" xfId="0" applyNumberFormat="1" applyBorder="1" applyAlignment="1">
      <alignment vertical="center"/>
    </xf>
    <xf numFmtId="1" fontId="0" fillId="0" borderId="0" xfId="0" applyNumberFormat="1" applyAlignment="1">
      <alignment vertical="center"/>
    </xf>
    <xf numFmtId="1" fontId="0" fillId="0" borderId="54" xfId="0" applyNumberFormat="1" applyBorder="1" applyAlignment="1">
      <alignment vertical="center"/>
    </xf>
    <xf numFmtId="0" fontId="0" fillId="4" borderId="15" xfId="0" applyFill="1" applyBorder="1" applyAlignment="1">
      <alignment vertical="center"/>
    </xf>
    <xf numFmtId="164" fontId="0" fillId="4" borderId="15" xfId="0" applyNumberFormat="1" applyFill="1" applyBorder="1" applyAlignment="1">
      <alignment vertical="center"/>
    </xf>
    <xf numFmtId="0" fontId="0" fillId="0" borderId="15" xfId="0" applyBorder="1" applyAlignment="1">
      <alignment vertical="center"/>
    </xf>
    <xf numFmtId="164" fontId="0" fillId="0" borderId="15" xfId="0" applyNumberFormat="1" applyBorder="1" applyAlignment="1">
      <alignment vertical="center"/>
    </xf>
    <xf numFmtId="0" fontId="0" fillId="2" borderId="8" xfId="0" applyFill="1" applyBorder="1" applyAlignment="1">
      <alignment vertical="center"/>
    </xf>
    <xf numFmtId="0" fontId="0" fillId="2" borderId="2" xfId="0" applyFill="1" applyBorder="1" applyAlignment="1">
      <alignment vertical="center"/>
    </xf>
    <xf numFmtId="164" fontId="0" fillId="2" borderId="10" xfId="0" applyNumberFormat="1" applyFill="1" applyBorder="1" applyAlignment="1">
      <alignment vertical="center"/>
    </xf>
    <xf numFmtId="0" fontId="0" fillId="0" borderId="2" xfId="0" applyBorder="1" applyAlignment="1">
      <alignment vertical="center"/>
    </xf>
    <xf numFmtId="164" fontId="0" fillId="0" borderId="10" xfId="0" applyNumberFormat="1" applyBorder="1" applyAlignment="1">
      <alignment vertical="center"/>
    </xf>
    <xf numFmtId="0" fontId="0" fillId="2" borderId="15" xfId="0" applyFill="1" applyBorder="1" applyAlignment="1">
      <alignment vertical="center"/>
    </xf>
    <xf numFmtId="164" fontId="0" fillId="2" borderId="15" xfId="0" applyNumberFormat="1" applyFill="1" applyBorder="1" applyAlignment="1">
      <alignment vertical="center"/>
    </xf>
    <xf numFmtId="0" fontId="0" fillId="4" borderId="18" xfId="0" applyFill="1" applyBorder="1" applyAlignment="1">
      <alignment vertical="center"/>
    </xf>
    <xf numFmtId="0" fontId="0" fillId="7" borderId="15" xfId="0" applyFill="1" applyBorder="1" applyAlignment="1">
      <alignment vertical="center"/>
    </xf>
    <xf numFmtId="0" fontId="0" fillId="4" borderId="14" xfId="0" applyFill="1" applyBorder="1" applyAlignment="1">
      <alignment vertical="center"/>
    </xf>
    <xf numFmtId="164" fontId="0" fillId="0" borderId="19" xfId="0" applyNumberFormat="1" applyBorder="1" applyAlignment="1">
      <alignment vertical="center"/>
    </xf>
    <xf numFmtId="0" fontId="2" fillId="0" borderId="11" xfId="0" applyFont="1" applyBorder="1"/>
    <xf numFmtId="0" fontId="2" fillId="0" borderId="6" xfId="0" applyFont="1" applyBorder="1"/>
    <xf numFmtId="0" fontId="2" fillId="0" borderId="12" xfId="0" applyFont="1" applyBorder="1"/>
    <xf numFmtId="0" fontId="2" fillId="0" borderId="1" xfId="0" applyFont="1" applyBorder="1"/>
    <xf numFmtId="0" fontId="0" fillId="0" borderId="1" xfId="0" applyBorder="1"/>
    <xf numFmtId="0" fontId="0" fillId="0" borderId="5" xfId="0" applyBorder="1"/>
    <xf numFmtId="0" fontId="0" fillId="0" borderId="8" xfId="0" applyBorder="1"/>
    <xf numFmtId="0" fontId="0" fillId="0" borderId="2" xfId="0" applyBorder="1"/>
    <xf numFmtId="0" fontId="0" fillId="0" borderId="10" xfId="0" applyBorder="1"/>
    <xf numFmtId="0" fontId="0" fillId="0" borderId="12" xfId="0" applyBorder="1"/>
    <xf numFmtId="0" fontId="0" fillId="3" borderId="2" xfId="0" applyFill="1" applyBorder="1"/>
    <xf numFmtId="0" fontId="0" fillId="3" borderId="8" xfId="0" applyFill="1" applyBorder="1"/>
    <xf numFmtId="0" fontId="0" fillId="3" borderId="10" xfId="0" applyFill="1" applyBorder="1"/>
    <xf numFmtId="164" fontId="0" fillId="0" borderId="13" xfId="0" applyNumberFormat="1" applyBorder="1"/>
    <xf numFmtId="164" fontId="0" fillId="0" borderId="16" xfId="0" applyNumberFormat="1" applyBorder="1"/>
    <xf numFmtId="164" fontId="0" fillId="0" borderId="11" xfId="0" applyNumberFormat="1" applyBorder="1"/>
    <xf numFmtId="0" fontId="0" fillId="0" borderId="6" xfId="0" applyBorder="1"/>
    <xf numFmtId="0" fontId="2" fillId="0" borderId="0" xfId="0" applyFont="1"/>
    <xf numFmtId="164" fontId="0" fillId="0" borderId="0" xfId="0" applyNumberFormat="1"/>
    <xf numFmtId="164" fontId="0" fillId="0" borderId="8" xfId="0" applyNumberFormat="1" applyBorder="1"/>
    <xf numFmtId="0" fontId="0" fillId="9" borderId="0" xfId="0" applyFill="1"/>
    <xf numFmtId="0" fontId="16" fillId="0" borderId="19" xfId="0" applyFont="1" applyBorder="1" applyAlignment="1">
      <alignment vertical="top"/>
    </xf>
    <xf numFmtId="0" fontId="16" fillId="0" borderId="11" xfId="0" applyFont="1" applyBorder="1" applyAlignment="1">
      <alignment vertical="top"/>
    </xf>
    <xf numFmtId="0" fontId="2" fillId="0" borderId="12" xfId="0" applyFont="1" applyBorder="1" applyAlignment="1">
      <alignment vertical="top"/>
    </xf>
    <xf numFmtId="0" fontId="0" fillId="0" borderId="10" xfId="0" applyBorder="1" applyAlignment="1">
      <alignment vertical="top" wrapText="1"/>
    </xf>
    <xf numFmtId="10" fontId="0" fillId="0" borderId="1" xfId="0" applyNumberFormat="1" applyBorder="1"/>
    <xf numFmtId="0" fontId="4" fillId="0" borderId="0" xfId="0" applyFont="1" applyAlignment="1">
      <alignment vertical="center"/>
    </xf>
    <xf numFmtId="10" fontId="2" fillId="0" borderId="1" xfId="0" applyNumberFormat="1" applyFont="1" applyBorder="1"/>
    <xf numFmtId="9" fontId="2" fillId="0" borderId="1" xfId="0" applyNumberFormat="1" applyFont="1" applyBorder="1"/>
    <xf numFmtId="4" fontId="0" fillId="0" borderId="0" xfId="0" quotePrefix="1" applyNumberFormat="1"/>
    <xf numFmtId="0" fontId="2" fillId="0" borderId="32" xfId="0" applyFont="1" applyBorder="1" applyAlignment="1">
      <alignment vertical="center"/>
    </xf>
    <xf numFmtId="0" fontId="2" fillId="0" borderId="37" xfId="0" applyFont="1" applyBorder="1" applyAlignment="1">
      <alignment horizontal="center" vertical="center"/>
    </xf>
    <xf numFmtId="0" fontId="2" fillId="0" borderId="42" xfId="0" applyFont="1" applyBorder="1" applyAlignment="1">
      <alignment horizontal="center" vertical="center"/>
    </xf>
    <xf numFmtId="0" fontId="2" fillId="0" borderId="38" xfId="0" applyFont="1" applyBorder="1" applyAlignment="1">
      <alignment horizontal="center" vertical="center"/>
    </xf>
    <xf numFmtId="0" fontId="2" fillId="0" borderId="36"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vertical="center"/>
    </xf>
    <xf numFmtId="164" fontId="0" fillId="10" borderId="7" xfId="0" applyNumberFormat="1" applyFill="1" applyBorder="1" applyAlignment="1">
      <alignment horizontal="center" vertical="center"/>
    </xf>
    <xf numFmtId="164" fontId="0" fillId="10" borderId="1" xfId="0" applyNumberFormat="1" applyFill="1" applyBorder="1" applyAlignment="1">
      <alignment horizontal="center" vertical="center"/>
    </xf>
    <xf numFmtId="164" fontId="0" fillId="10" borderId="35" xfId="0" applyNumberFormat="1" applyFill="1" applyBorder="1" applyAlignment="1">
      <alignment horizontal="center" vertical="center"/>
    </xf>
    <xf numFmtId="164" fontId="0" fillId="0" borderId="39" xfId="0" applyNumberFormat="1" applyBorder="1" applyAlignment="1">
      <alignment horizontal="center" vertical="center"/>
    </xf>
    <xf numFmtId="164" fontId="0" fillId="0" borderId="7" xfId="0" applyNumberFormat="1" applyBorder="1" applyAlignment="1">
      <alignment horizontal="center" vertical="center"/>
    </xf>
    <xf numFmtId="164" fontId="0" fillId="0" borderId="35" xfId="0" applyNumberFormat="1" applyBorder="1" applyAlignment="1">
      <alignment horizontal="center" vertical="center"/>
    </xf>
    <xf numFmtId="10" fontId="0" fillId="0" borderId="39" xfId="0" applyNumberFormat="1" applyBorder="1" applyAlignment="1">
      <alignment horizontal="center" vertical="center"/>
    </xf>
    <xf numFmtId="10" fontId="0" fillId="0" borderId="33" xfId="0" applyNumberFormat="1" applyBorder="1" applyAlignment="1">
      <alignment horizontal="center" vertical="center"/>
    </xf>
    <xf numFmtId="0" fontId="0" fillId="0" borderId="33" xfId="0" applyBorder="1" applyAlignment="1">
      <alignment horizontal="center" vertical="center"/>
    </xf>
    <xf numFmtId="0" fontId="2" fillId="0" borderId="34" xfId="0" applyFont="1" applyBorder="1" applyAlignment="1">
      <alignment vertical="center"/>
    </xf>
    <xf numFmtId="10" fontId="0" fillId="0" borderId="24" xfId="0" applyNumberFormat="1" applyBorder="1" applyAlignment="1">
      <alignment horizontal="center" vertical="center"/>
    </xf>
    <xf numFmtId="0" fontId="0" fillId="0" borderId="34" xfId="0" applyBorder="1"/>
    <xf numFmtId="0" fontId="7" fillId="0" borderId="0" xfId="0" applyFont="1"/>
    <xf numFmtId="0" fontId="0" fillId="0" borderId="30" xfId="0" applyBorder="1"/>
    <xf numFmtId="0" fontId="10" fillId="0" borderId="5" xfId="0" applyFont="1" applyBorder="1" applyAlignment="1">
      <alignment horizontal="center" vertical="center"/>
    </xf>
    <xf numFmtId="0" fontId="2" fillId="0" borderId="13" xfId="0" applyFont="1" applyBorder="1" applyAlignment="1">
      <alignment vertical="top"/>
    </xf>
    <xf numFmtId="0" fontId="2" fillId="0" borderId="10" xfId="0" applyFont="1" applyBorder="1"/>
    <xf numFmtId="164" fontId="0" fillId="0" borderId="10" xfId="0" applyNumberFormat="1" applyBorder="1"/>
    <xf numFmtId="0" fontId="0" fillId="0" borderId="23" xfId="0" applyBorder="1"/>
    <xf numFmtId="164" fontId="0" fillId="0" borderId="12" xfId="0" applyNumberFormat="1" applyBorder="1"/>
    <xf numFmtId="0" fontId="2" fillId="0" borderId="9" xfId="0" applyFont="1" applyBorder="1" applyAlignment="1">
      <alignment vertical="top"/>
    </xf>
    <xf numFmtId="0" fontId="2" fillId="0" borderId="4" xfId="0" applyFont="1" applyBorder="1" applyAlignment="1">
      <alignment vertical="top"/>
    </xf>
    <xf numFmtId="0" fontId="2" fillId="0" borderId="1" xfId="0" applyFont="1" applyBorder="1" applyAlignment="1">
      <alignment vertical="top"/>
    </xf>
    <xf numFmtId="0" fontId="2" fillId="0" borderId="5" xfId="0" applyFont="1" applyBorder="1" applyAlignment="1">
      <alignment vertical="top"/>
    </xf>
    <xf numFmtId="0" fontId="0" fillId="0" borderId="2" xfId="0" applyBorder="1" applyAlignment="1">
      <alignment vertical="top"/>
    </xf>
    <xf numFmtId="0" fontId="2" fillId="0" borderId="2" xfId="0" applyFont="1" applyBorder="1"/>
    <xf numFmtId="2" fontId="0" fillId="0" borderId="0" xfId="0" applyNumberFormat="1"/>
    <xf numFmtId="0" fontId="0" fillId="0" borderId="19" xfId="0" applyBorder="1"/>
    <xf numFmtId="10" fontId="0" fillId="0" borderId="9" xfId="0" applyNumberFormat="1" applyBorder="1"/>
    <xf numFmtId="10" fontId="0" fillId="0" borderId="4" xfId="0" applyNumberFormat="1" applyBorder="1"/>
    <xf numFmtId="9" fontId="0" fillId="0" borderId="4" xfId="0" applyNumberFormat="1" applyBorder="1"/>
    <xf numFmtId="9" fontId="0" fillId="0" borderId="1" xfId="0" applyNumberFormat="1" applyBorder="1"/>
    <xf numFmtId="0" fontId="0" fillId="0" borderId="31" xfId="0" applyBorder="1"/>
    <xf numFmtId="0" fontId="0" fillId="0" borderId="26" xfId="0" applyBorder="1"/>
    <xf numFmtId="0" fontId="2" fillId="0" borderId="27" xfId="0" applyFont="1" applyBorder="1"/>
    <xf numFmtId="0" fontId="0" fillId="0" borderId="21" xfId="0" applyBorder="1"/>
    <xf numFmtId="0" fontId="2" fillId="0" borderId="28" xfId="0" applyFont="1" applyBorder="1"/>
    <xf numFmtId="0" fontId="2" fillId="0" borderId="29" xfId="0" applyFont="1" applyBorder="1"/>
    <xf numFmtId="0" fontId="26" fillId="0" borderId="0" xfId="0" applyFont="1"/>
    <xf numFmtId="0" fontId="22" fillId="0" borderId="0" xfId="0" applyFont="1"/>
    <xf numFmtId="0" fontId="21" fillId="0" borderId="0" xfId="0" applyFont="1"/>
    <xf numFmtId="0" fontId="22" fillId="0" borderId="0" xfId="0" applyFont="1" applyAlignment="1">
      <alignment horizontal="center" vertical="center"/>
    </xf>
    <xf numFmtId="0" fontId="1" fillId="0" borderId="1" xfId="0" applyFont="1" applyBorder="1"/>
    <xf numFmtId="0" fontId="1" fillId="0" borderId="4" xfId="0" applyFont="1" applyBorder="1"/>
    <xf numFmtId="0" fontId="22" fillId="0" borderId="4" xfId="0" applyFont="1" applyBorder="1"/>
    <xf numFmtId="0" fontId="22" fillId="0" borderId="7" xfId="0" applyFont="1" applyBorder="1"/>
    <xf numFmtId="0" fontId="1" fillId="0" borderId="5" xfId="0" applyFont="1" applyBorder="1"/>
    <xf numFmtId="0" fontId="28" fillId="0" borderId="3" xfId="0" applyFont="1" applyBorder="1"/>
    <xf numFmtId="0" fontId="22" fillId="0" borderId="3" xfId="0" applyFont="1" applyBorder="1"/>
    <xf numFmtId="0" fontId="22" fillId="0" borderId="16" xfId="0" applyFont="1" applyBorder="1"/>
    <xf numFmtId="0" fontId="1" fillId="0" borderId="2" xfId="0" applyFont="1" applyBorder="1"/>
    <xf numFmtId="0" fontId="1" fillId="0" borderId="0" xfId="0" applyFont="1"/>
    <xf numFmtId="0" fontId="22" fillId="0" borderId="8" xfId="0" applyFont="1" applyBorder="1"/>
    <xf numFmtId="0" fontId="21" fillId="0" borderId="0" xfId="0" applyFont="1" applyAlignment="1">
      <alignment horizontal="right"/>
    </xf>
    <xf numFmtId="0" fontId="29" fillId="0" borderId="0" xfId="0" applyFont="1"/>
    <xf numFmtId="0" fontId="30" fillId="0" borderId="0" xfId="0" applyFont="1"/>
    <xf numFmtId="0" fontId="30" fillId="0" borderId="8" xfId="0" applyFont="1" applyBorder="1"/>
    <xf numFmtId="0" fontId="1" fillId="0" borderId="6" xfId="0" applyFont="1" applyBorder="1"/>
    <xf numFmtId="0" fontId="31" fillId="0" borderId="19" xfId="0" applyFont="1" applyBorder="1"/>
    <xf numFmtId="0" fontId="22" fillId="0" borderId="19" xfId="0" applyFont="1" applyBorder="1"/>
    <xf numFmtId="0" fontId="22" fillId="0" borderId="11" xfId="0" applyFont="1" applyBorder="1"/>
    <xf numFmtId="0" fontId="0" fillId="11" borderId="44" xfId="0" applyFill="1" applyBorder="1" applyAlignment="1">
      <alignment vertical="center"/>
    </xf>
    <xf numFmtId="0" fontId="0" fillId="11" borderId="0" xfId="0" applyFill="1" applyAlignment="1">
      <alignment vertical="center"/>
    </xf>
    <xf numFmtId="0" fontId="0" fillId="14" borderId="0" xfId="0" applyFill="1" applyAlignment="1">
      <alignment vertical="center"/>
    </xf>
    <xf numFmtId="0" fontId="0" fillId="2" borderId="0" xfId="0" applyFill="1" applyAlignment="1">
      <alignment vertical="center"/>
    </xf>
    <xf numFmtId="165" fontId="0" fillId="0" borderId="0" xfId="0" applyNumberFormat="1" applyAlignment="1">
      <alignment vertical="center"/>
    </xf>
    <xf numFmtId="0" fontId="0" fillId="15" borderId="44" xfId="0" applyFill="1" applyBorder="1" applyAlignment="1">
      <alignment vertical="center"/>
    </xf>
    <xf numFmtId="44" fontId="0" fillId="10" borderId="3" xfId="0" applyNumberFormat="1" applyFill="1" applyBorder="1"/>
    <xf numFmtId="44" fontId="0" fillId="10" borderId="3" xfId="0" applyNumberFormat="1" applyFill="1" applyBorder="1" applyAlignment="1">
      <alignment vertical="center"/>
    </xf>
    <xf numFmtId="2" fontId="0" fillId="10" borderId="3" xfId="0" applyNumberFormat="1" applyFill="1" applyBorder="1"/>
    <xf numFmtId="10" fontId="0" fillId="0" borderId="13" xfId="0" applyNumberFormat="1" applyBorder="1" applyAlignment="1">
      <alignment horizontal="center" vertical="center"/>
    </xf>
    <xf numFmtId="10" fontId="0" fillId="0" borderId="3" xfId="0" applyNumberFormat="1" applyBorder="1" applyAlignment="1">
      <alignment horizontal="center" vertical="center"/>
    </xf>
    <xf numFmtId="44" fontId="0" fillId="10" borderId="3" xfId="0" applyNumberFormat="1" applyFill="1" applyBorder="1" applyAlignment="1">
      <alignment horizontal="center" vertical="center"/>
    </xf>
    <xf numFmtId="0" fontId="0" fillId="22" borderId="3" xfId="0" applyFill="1" applyBorder="1" applyAlignment="1">
      <alignment horizontal="center" vertical="center"/>
    </xf>
    <xf numFmtId="44" fontId="0" fillId="10" borderId="0" xfId="0" applyNumberFormat="1" applyFill="1" applyAlignment="1">
      <alignment vertical="center"/>
    </xf>
    <xf numFmtId="2" fontId="0" fillId="10" borderId="0" xfId="0" applyNumberFormat="1" applyFill="1"/>
    <xf numFmtId="44" fontId="0" fillId="10" borderId="0" xfId="0" applyNumberFormat="1" applyFill="1" applyAlignment="1">
      <alignment horizontal="center" vertical="center"/>
    </xf>
    <xf numFmtId="0" fontId="0" fillId="22" borderId="0" xfId="0" applyFill="1" applyAlignment="1">
      <alignment horizontal="center" vertical="center"/>
    </xf>
    <xf numFmtId="44" fontId="0" fillId="10" borderId="0" xfId="0" applyNumberFormat="1" applyFill="1"/>
    <xf numFmtId="44" fontId="0" fillId="10" borderId="19" xfId="0" applyNumberFormat="1" applyFill="1" applyBorder="1"/>
    <xf numFmtId="44" fontId="0" fillId="10" borderId="19" xfId="0" applyNumberFormat="1" applyFill="1" applyBorder="1" applyAlignment="1">
      <alignment vertical="center"/>
    </xf>
    <xf numFmtId="2" fontId="0" fillId="10" borderId="19" xfId="0" applyNumberFormat="1" applyFill="1" applyBorder="1"/>
    <xf numFmtId="44" fontId="0" fillId="10" borderId="19" xfId="0" applyNumberFormat="1" applyFill="1" applyBorder="1" applyAlignment="1">
      <alignment horizontal="center" vertical="center"/>
    </xf>
    <xf numFmtId="0" fontId="0" fillId="22" borderId="19" xfId="0" applyFill="1" applyBorder="1" applyAlignment="1">
      <alignment horizontal="center" vertical="center"/>
    </xf>
    <xf numFmtId="0" fontId="7" fillId="0" borderId="0" xfId="0" applyFont="1" applyAlignment="1">
      <alignment horizontal="left" vertical="center"/>
    </xf>
    <xf numFmtId="0" fontId="0" fillId="0" borderId="0" xfId="0" applyAlignment="1">
      <alignment horizontal="right" vertical="top"/>
    </xf>
    <xf numFmtId="0" fontId="0" fillId="0" borderId="0" xfId="0" applyAlignment="1">
      <alignment vertical="top" wrapText="1"/>
    </xf>
    <xf numFmtId="0" fontId="42" fillId="0" borderId="0" xfId="0" applyFont="1" applyAlignment="1">
      <alignment vertical="center"/>
    </xf>
    <xf numFmtId="164" fontId="2" fillId="20" borderId="0" xfId="0" applyNumberFormat="1" applyFont="1" applyFill="1" applyAlignment="1">
      <alignment vertical="center"/>
    </xf>
    <xf numFmtId="3" fontId="0" fillId="0" borderId="54" xfId="0" applyNumberFormat="1" applyBorder="1" applyAlignment="1">
      <alignment vertical="center"/>
    </xf>
    <xf numFmtId="164" fontId="2" fillId="20" borderId="54" xfId="0" applyNumberFormat="1" applyFont="1" applyFill="1" applyBorder="1" applyAlignment="1">
      <alignment vertical="center"/>
    </xf>
    <xf numFmtId="0" fontId="1" fillId="24" borderId="19" xfId="0" applyFont="1" applyFill="1" applyBorder="1" applyAlignment="1">
      <alignment horizontal="center" vertical="center"/>
    </xf>
    <xf numFmtId="0" fontId="1" fillId="24" borderId="11" xfId="0" applyFont="1" applyFill="1" applyBorder="1" applyAlignment="1">
      <alignment horizontal="center" vertical="center"/>
    </xf>
    <xf numFmtId="164" fontId="2" fillId="0" borderId="0" xfId="0" applyNumberFormat="1" applyFont="1" applyAlignment="1">
      <alignment vertical="center"/>
    </xf>
    <xf numFmtId="164" fontId="0" fillId="0" borderId="54" xfId="0" applyNumberFormat="1" applyBorder="1" applyAlignment="1">
      <alignment vertical="center"/>
    </xf>
    <xf numFmtId="164" fontId="2" fillId="0" borderId="54" xfId="0" applyNumberFormat="1" applyFont="1" applyBorder="1" applyAlignment="1">
      <alignment vertical="center"/>
    </xf>
    <xf numFmtId="0" fontId="0" fillId="19" borderId="16" xfId="0" applyFill="1" applyBorder="1" applyAlignment="1">
      <alignment horizontal="center" vertical="center"/>
    </xf>
    <xf numFmtId="164" fontId="2" fillId="19" borderId="7" xfId="0" applyNumberFormat="1" applyFont="1" applyFill="1" applyBorder="1" applyAlignment="1">
      <alignment vertical="center"/>
    </xf>
    <xf numFmtId="0" fontId="0" fillId="20" borderId="0" xfId="0" applyFill="1" applyAlignment="1">
      <alignment vertical="center"/>
    </xf>
    <xf numFmtId="0" fontId="0" fillId="20" borderId="0" xfId="0" applyFill="1" applyAlignment="1">
      <alignment horizontal="right" vertical="center"/>
    </xf>
    <xf numFmtId="10" fontId="2" fillId="20" borderId="0" xfId="0" applyNumberFormat="1" applyFont="1" applyFill="1" applyAlignment="1">
      <alignment horizontal="right" vertical="center"/>
    </xf>
    <xf numFmtId="0" fontId="0" fillId="20" borderId="0" xfId="0" applyFill="1" applyAlignment="1">
      <alignment horizontal="left" vertical="center"/>
    </xf>
    <xf numFmtId="10" fontId="7" fillId="0" borderId="54" xfId="0" applyNumberFormat="1" applyFont="1" applyBorder="1" applyAlignment="1">
      <alignment vertical="center"/>
    </xf>
    <xf numFmtId="0" fontId="2" fillId="0" borderId="54" xfId="0" applyFont="1" applyBorder="1" applyAlignment="1">
      <alignment horizontal="center" vertical="center"/>
    </xf>
    <xf numFmtId="0" fontId="1" fillId="20" borderId="3" xfId="0" applyFont="1" applyFill="1" applyBorder="1" applyAlignment="1">
      <alignment horizontal="center" vertical="center"/>
    </xf>
    <xf numFmtId="3" fontId="2" fillId="19" borderId="4" xfId="0" applyNumberFormat="1" applyFont="1" applyFill="1" applyBorder="1" applyAlignment="1">
      <alignment vertical="center"/>
    </xf>
    <xf numFmtId="3" fontId="2" fillId="19" borderId="7" xfId="0" applyNumberFormat="1" applyFont="1" applyFill="1" applyBorder="1" applyAlignment="1">
      <alignment vertical="center"/>
    </xf>
    <xf numFmtId="0" fontId="0" fillId="20" borderId="10" xfId="0" applyFill="1" applyBorder="1" applyAlignment="1">
      <alignment vertical="center"/>
    </xf>
    <xf numFmtId="3" fontId="0" fillId="20" borderId="0" xfId="0" applyNumberFormat="1" applyFill="1" applyAlignment="1">
      <alignment horizontal="right" vertical="center"/>
    </xf>
    <xf numFmtId="3" fontId="0" fillId="20" borderId="54" xfId="0" applyNumberFormat="1" applyFill="1" applyBorder="1" applyAlignment="1">
      <alignment horizontal="right" vertical="center"/>
    </xf>
    <xf numFmtId="164" fontId="2" fillId="19" borderId="4" xfId="0" applyNumberFormat="1" applyFont="1" applyFill="1" applyBorder="1" applyAlignment="1">
      <alignment vertical="center"/>
    </xf>
    <xf numFmtId="0" fontId="0" fillId="20" borderId="54" xfId="0" applyFill="1" applyBorder="1" applyAlignment="1">
      <alignment vertical="center"/>
    </xf>
    <xf numFmtId="0" fontId="0" fillId="20" borderId="54" xfId="0" applyFill="1" applyBorder="1" applyAlignment="1">
      <alignment horizontal="left" vertical="center"/>
    </xf>
    <xf numFmtId="0" fontId="2" fillId="20" borderId="0" xfId="0" applyFont="1" applyFill="1" applyAlignment="1">
      <alignment vertical="center"/>
    </xf>
    <xf numFmtId="0" fontId="17" fillId="20" borderId="0" xfId="0" applyFont="1" applyFill="1" applyAlignment="1">
      <alignment vertical="center"/>
    </xf>
    <xf numFmtId="0" fontId="42" fillId="20" borderId="0" xfId="0" applyFont="1" applyFill="1" applyAlignment="1">
      <alignment vertical="center"/>
    </xf>
    <xf numFmtId="44" fontId="4" fillId="0" borderId="0" xfId="0" applyNumberFormat="1" applyFont="1" applyAlignment="1">
      <alignment vertical="center"/>
    </xf>
    <xf numFmtId="44" fontId="2" fillId="19" borderId="0" xfId="0" applyNumberFormat="1" applyFont="1" applyFill="1" applyAlignment="1">
      <alignment vertical="center"/>
    </xf>
    <xf numFmtId="0" fontId="1" fillId="22" borderId="13" xfId="0" applyFont="1" applyFill="1" applyBorder="1" applyAlignment="1">
      <alignment vertical="center"/>
    </xf>
    <xf numFmtId="0" fontId="1" fillId="22" borderId="3" xfId="0" applyFont="1" applyFill="1" applyBorder="1" applyAlignment="1">
      <alignment horizontal="center" vertical="center"/>
    </xf>
    <xf numFmtId="0" fontId="1" fillId="22" borderId="16" xfId="0" applyFont="1" applyFill="1" applyBorder="1" applyAlignment="1">
      <alignment horizontal="center" vertical="center"/>
    </xf>
    <xf numFmtId="0" fontId="1" fillId="22" borderId="9" xfId="0" applyFont="1" applyFill="1" applyBorder="1" applyAlignment="1">
      <alignment vertical="center"/>
    </xf>
    <xf numFmtId="0" fontId="1" fillId="22" borderId="4" xfId="0" applyFont="1" applyFill="1" applyBorder="1" applyAlignment="1">
      <alignment horizontal="center" vertical="center"/>
    </xf>
    <xf numFmtId="0" fontId="1" fillId="22" borderId="7" xfId="0" applyFont="1" applyFill="1" applyBorder="1" applyAlignment="1">
      <alignment horizontal="center" vertical="center"/>
    </xf>
    <xf numFmtId="0" fontId="2" fillId="22" borderId="1" xfId="0" applyFont="1" applyFill="1" applyBorder="1" applyAlignment="1">
      <alignment horizontal="center" vertical="center"/>
    </xf>
    <xf numFmtId="0" fontId="18" fillId="0" borderId="5" xfId="0" applyFont="1" applyBorder="1" applyAlignment="1">
      <alignment horizontal="center" vertical="center"/>
    </xf>
    <xf numFmtId="0" fontId="18" fillId="0" borderId="56" xfId="0" applyFont="1" applyBorder="1" applyAlignment="1">
      <alignment horizontal="center" vertical="center"/>
    </xf>
    <xf numFmtId="0" fontId="43" fillId="0" borderId="56" xfId="0" applyFont="1" applyBorder="1" applyAlignment="1">
      <alignment horizontal="center" vertical="center"/>
    </xf>
    <xf numFmtId="0" fontId="18" fillId="0" borderId="6" xfId="0" applyFont="1" applyBorder="1" applyAlignment="1">
      <alignment horizontal="center" vertical="center"/>
    </xf>
    <xf numFmtId="0" fontId="2" fillId="20" borderId="10" xfId="0" applyFont="1" applyFill="1" applyBorder="1" applyAlignment="1">
      <alignment vertical="center"/>
    </xf>
    <xf numFmtId="0" fontId="18" fillId="20" borderId="56" xfId="0" applyFont="1" applyFill="1" applyBorder="1" applyAlignment="1">
      <alignment horizontal="center" vertical="center"/>
    </xf>
    <xf numFmtId="44" fontId="2" fillId="20" borderId="0" xfId="0" applyNumberFormat="1" applyFont="1" applyFill="1" applyAlignment="1">
      <alignment vertical="center"/>
    </xf>
    <xf numFmtId="44" fontId="2" fillId="20" borderId="54" xfId="0" applyNumberFormat="1" applyFont="1" applyFill="1" applyBorder="1" applyAlignment="1">
      <alignment vertical="center"/>
    </xf>
    <xf numFmtId="0" fontId="2" fillId="19" borderId="10" xfId="0" applyFont="1" applyFill="1" applyBorder="1" applyAlignment="1">
      <alignment vertical="center"/>
    </xf>
    <xf numFmtId="0" fontId="43" fillId="19" borderId="56" xfId="0" applyFont="1" applyFill="1" applyBorder="1" applyAlignment="1">
      <alignment horizontal="center" vertical="center"/>
    </xf>
    <xf numFmtId="44" fontId="2" fillId="19" borderId="54" xfId="0" applyNumberFormat="1" applyFont="1" applyFill="1" applyBorder="1" applyAlignment="1">
      <alignment vertical="center"/>
    </xf>
    <xf numFmtId="0" fontId="18" fillId="19" borderId="56" xfId="0" applyFont="1" applyFill="1" applyBorder="1" applyAlignment="1">
      <alignment horizontal="center" vertical="center"/>
    </xf>
    <xf numFmtId="0" fontId="0" fillId="0" borderId="10" xfId="0" applyBorder="1" applyAlignment="1">
      <alignment horizontal="left" vertical="center" indent="1"/>
    </xf>
    <xf numFmtId="0" fontId="2" fillId="20" borderId="10" xfId="0" applyFont="1" applyFill="1" applyBorder="1" applyAlignment="1">
      <alignment horizontal="left" vertical="center" indent="1"/>
    </xf>
    <xf numFmtId="0" fontId="0" fillId="0" borderId="10" xfId="0" applyBorder="1" applyAlignment="1">
      <alignment horizontal="left" vertical="center" indent="2"/>
    </xf>
    <xf numFmtId="0" fontId="1" fillId="22" borderId="1" xfId="0" applyFont="1" applyFill="1" applyBorder="1" applyAlignment="1">
      <alignment horizontal="center" vertical="center"/>
    </xf>
    <xf numFmtId="44" fontId="2" fillId="19" borderId="56" xfId="0" applyNumberFormat="1" applyFont="1" applyFill="1" applyBorder="1" applyAlignment="1">
      <alignment vertical="center"/>
    </xf>
    <xf numFmtId="44" fontId="2" fillId="20" borderId="56" xfId="0" applyNumberFormat="1" applyFont="1" applyFill="1" applyBorder="1" applyAlignment="1">
      <alignment vertical="center"/>
    </xf>
    <xf numFmtId="44" fontId="2" fillId="19" borderId="1" xfId="0" applyNumberFormat="1" applyFont="1" applyFill="1" applyBorder="1" applyAlignment="1">
      <alignment vertical="center"/>
    </xf>
    <xf numFmtId="44" fontId="2" fillId="24" borderId="56" xfId="0" applyNumberFormat="1" applyFont="1" applyFill="1" applyBorder="1" applyAlignment="1">
      <alignment vertical="center"/>
    </xf>
    <xf numFmtId="0" fontId="1" fillId="25" borderId="1" xfId="0" applyFont="1" applyFill="1" applyBorder="1" applyAlignment="1">
      <alignment horizontal="center" vertical="center"/>
    </xf>
    <xf numFmtId="44" fontId="0" fillId="20" borderId="56" xfId="0" applyNumberFormat="1" applyFill="1" applyBorder="1" applyAlignment="1">
      <alignment vertical="center"/>
    </xf>
    <xf numFmtId="0" fontId="44" fillId="22" borderId="9" xfId="0" applyFont="1" applyFill="1" applyBorder="1" applyAlignment="1">
      <alignment vertical="center"/>
    </xf>
    <xf numFmtId="0" fontId="45" fillId="22" borderId="7" xfId="0" applyFont="1" applyFill="1" applyBorder="1" applyAlignment="1">
      <alignment horizontal="center" vertical="center"/>
    </xf>
    <xf numFmtId="44" fontId="44" fillId="22" borderId="1" xfId="0" applyNumberFormat="1" applyFont="1" applyFill="1" applyBorder="1" applyAlignment="1">
      <alignment vertical="center"/>
    </xf>
    <xf numFmtId="44" fontId="44" fillId="22" borderId="4" xfId="0" applyNumberFormat="1" applyFont="1" applyFill="1" applyBorder="1" applyAlignment="1">
      <alignment vertical="center"/>
    </xf>
    <xf numFmtId="44" fontId="44" fillId="22" borderId="7" xfId="0" applyNumberFormat="1" applyFont="1" applyFill="1" applyBorder="1" applyAlignment="1">
      <alignment vertical="center"/>
    </xf>
    <xf numFmtId="3" fontId="0" fillId="0" borderId="56" xfId="0" applyNumberFormat="1" applyBorder="1" applyAlignment="1">
      <alignment vertical="center"/>
    </xf>
    <xf numFmtId="0" fontId="2" fillId="19" borderId="9" xfId="0" applyFont="1" applyFill="1" applyBorder="1" applyAlignment="1">
      <alignment vertical="center"/>
    </xf>
    <xf numFmtId="0" fontId="0" fillId="19" borderId="4" xfId="0" applyFill="1" applyBorder="1" applyAlignment="1">
      <alignment vertical="center"/>
    </xf>
    <xf numFmtId="0" fontId="42" fillId="19" borderId="7" xfId="0" applyFont="1" applyFill="1" applyBorder="1" applyAlignment="1">
      <alignment vertical="center"/>
    </xf>
    <xf numFmtId="0" fontId="42" fillId="0" borderId="0" xfId="0" applyFont="1" applyAlignment="1">
      <alignment horizontal="right" vertical="center"/>
    </xf>
    <xf numFmtId="44" fontId="2" fillId="20" borderId="11" xfId="0" applyNumberFormat="1" applyFont="1" applyFill="1" applyBorder="1" applyAlignment="1">
      <alignment vertical="center"/>
    </xf>
    <xf numFmtId="0" fontId="1" fillId="22" borderId="5" xfId="0" applyFont="1" applyFill="1" applyBorder="1" applyAlignment="1">
      <alignment vertical="center"/>
    </xf>
    <xf numFmtId="0" fontId="2" fillId="20" borderId="56" xfId="0" applyFont="1" applyFill="1" applyBorder="1" applyAlignment="1">
      <alignment horizontal="left" vertical="center"/>
    </xf>
    <xf numFmtId="0" fontId="2" fillId="20" borderId="56" xfId="0" applyFont="1" applyFill="1" applyBorder="1" applyAlignment="1">
      <alignment vertical="center"/>
    </xf>
    <xf numFmtId="0" fontId="2" fillId="20" borderId="6" xfId="0" applyFont="1" applyFill="1" applyBorder="1" applyAlignment="1">
      <alignment vertical="center"/>
    </xf>
    <xf numFmtId="0" fontId="1" fillId="22" borderId="1" xfId="0" applyFont="1" applyFill="1" applyBorder="1" applyAlignment="1">
      <alignment vertical="center"/>
    </xf>
    <xf numFmtId="0" fontId="2" fillId="20" borderId="1" xfId="0" applyFont="1" applyFill="1" applyBorder="1" applyAlignment="1">
      <alignment vertical="center"/>
    </xf>
    <xf numFmtId="44" fontId="2" fillId="20" borderId="4" xfId="0" applyNumberFormat="1" applyFont="1" applyFill="1" applyBorder="1" applyAlignment="1">
      <alignment vertical="center"/>
    </xf>
    <xf numFmtId="44" fontId="2" fillId="20" borderId="7" xfId="0" applyNumberFormat="1" applyFont="1" applyFill="1" applyBorder="1" applyAlignment="1">
      <alignment vertical="center"/>
    </xf>
    <xf numFmtId="10" fontId="2" fillId="20" borderId="19" xfId="0" applyNumberFormat="1" applyFont="1" applyFill="1" applyBorder="1" applyAlignment="1">
      <alignment vertical="center"/>
    </xf>
    <xf numFmtId="10" fontId="2" fillId="20" borderId="11" xfId="0" applyNumberFormat="1" applyFont="1" applyFill="1" applyBorder="1" applyAlignment="1">
      <alignment vertical="center"/>
    </xf>
    <xf numFmtId="0" fontId="0" fillId="0" borderId="56" xfId="0" quotePrefix="1" applyBorder="1" applyAlignment="1">
      <alignment horizontal="left" vertical="center" indent="1"/>
    </xf>
    <xf numFmtId="0" fontId="2" fillId="20" borderId="56" xfId="0" quotePrefix="1" applyFont="1" applyFill="1" applyBorder="1" applyAlignment="1">
      <alignment horizontal="left" vertical="center" indent="1"/>
    </xf>
    <xf numFmtId="0" fontId="0" fillId="0" borderId="56" xfId="0" applyBorder="1" applyAlignment="1">
      <alignment horizontal="left" vertical="center" indent="1"/>
    </xf>
    <xf numFmtId="0" fontId="2" fillId="20" borderId="6" xfId="0" applyFont="1" applyFill="1" applyBorder="1" applyAlignment="1">
      <alignment horizontal="left" vertical="center" indent="1"/>
    </xf>
    <xf numFmtId="44" fontId="0" fillId="20" borderId="0" xfId="0" applyNumberFormat="1" applyFill="1" applyAlignment="1">
      <alignment vertical="center"/>
    </xf>
    <xf numFmtId="44" fontId="0" fillId="20" borderId="54" xfId="0" applyNumberFormat="1" applyFill="1" applyBorder="1" applyAlignment="1">
      <alignment vertical="center"/>
    </xf>
    <xf numFmtId="4" fontId="0" fillId="20" borderId="19" xfId="0" applyNumberFormat="1" applyFill="1" applyBorder="1" applyAlignment="1">
      <alignment vertical="center"/>
    </xf>
    <xf numFmtId="4" fontId="0" fillId="20" borderId="11" xfId="0" applyNumberFormat="1" applyFill="1" applyBorder="1" applyAlignment="1">
      <alignment vertical="center"/>
    </xf>
    <xf numFmtId="168" fontId="2" fillId="20" borderId="0" xfId="0" applyNumberFormat="1" applyFont="1" applyFill="1" applyAlignment="1">
      <alignment vertical="center"/>
    </xf>
    <xf numFmtId="168" fontId="2" fillId="20" borderId="54" xfId="0" applyNumberFormat="1" applyFont="1" applyFill="1" applyBorder="1" applyAlignment="1">
      <alignment vertical="center"/>
    </xf>
    <xf numFmtId="44" fontId="2" fillId="22" borderId="19" xfId="0" applyNumberFormat="1" applyFont="1" applyFill="1" applyBorder="1" applyAlignment="1">
      <alignment vertical="center"/>
    </xf>
    <xf numFmtId="44" fontId="2" fillId="22" borderId="11" xfId="0" applyNumberFormat="1" applyFont="1" applyFill="1" applyBorder="1" applyAlignment="1">
      <alignment vertical="center"/>
    </xf>
    <xf numFmtId="0" fontId="1" fillId="22" borderId="5" xfId="0" applyFont="1" applyFill="1" applyBorder="1" applyAlignment="1">
      <alignment horizontal="center" vertical="center"/>
    </xf>
    <xf numFmtId="0" fontId="2" fillId="20" borderId="56" xfId="0" applyFont="1" applyFill="1" applyBorder="1" applyAlignment="1">
      <alignment horizontal="center" vertical="center"/>
    </xf>
    <xf numFmtId="0" fontId="1" fillId="26" borderId="1" xfId="0" applyFont="1" applyFill="1" applyBorder="1" applyAlignment="1">
      <alignment horizontal="center" vertical="center"/>
    </xf>
    <xf numFmtId="168" fontId="0" fillId="20" borderId="54" xfId="0" applyNumberFormat="1" applyFill="1" applyBorder="1" applyAlignment="1">
      <alignment vertical="center"/>
    </xf>
    <xf numFmtId="168" fontId="0" fillId="20" borderId="19" xfId="0" applyNumberFormat="1" applyFill="1" applyBorder="1" applyAlignment="1">
      <alignment vertical="center"/>
    </xf>
    <xf numFmtId="168" fontId="0" fillId="20" borderId="11" xfId="0" applyNumberFormat="1" applyFill="1" applyBorder="1" applyAlignment="1">
      <alignment vertical="center"/>
    </xf>
    <xf numFmtId="44" fontId="0" fillId="20" borderId="6" xfId="0" applyNumberFormat="1" applyFill="1" applyBorder="1" applyAlignment="1">
      <alignment vertical="center"/>
    </xf>
    <xf numFmtId="168" fontId="0" fillId="19" borderId="19" xfId="0" applyNumberFormat="1" applyFill="1" applyBorder="1" applyAlignment="1">
      <alignment vertical="center"/>
    </xf>
    <xf numFmtId="168" fontId="0" fillId="19" borderId="11" xfId="0" applyNumberFormat="1" applyFill="1" applyBorder="1" applyAlignment="1">
      <alignment vertical="center"/>
    </xf>
    <xf numFmtId="0" fontId="0" fillId="0" borderId="0" xfId="0" applyAlignment="1">
      <alignment horizontal="left" vertical="center" wrapText="1"/>
    </xf>
    <xf numFmtId="0" fontId="43" fillId="22" borderId="1" xfId="0" applyFont="1" applyFill="1" applyBorder="1" applyAlignment="1">
      <alignment horizontal="center" vertical="center"/>
    </xf>
    <xf numFmtId="0" fontId="0" fillId="27" borderId="0" xfId="0" applyFill="1" applyAlignment="1">
      <alignment vertical="center"/>
    </xf>
    <xf numFmtId="0" fontId="2" fillId="10" borderId="13"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16" xfId="0" applyFont="1" applyFill="1" applyBorder="1" applyAlignment="1">
      <alignment horizontal="center" vertical="center"/>
    </xf>
    <xf numFmtId="44" fontId="2" fillId="10" borderId="0" xfId="0" applyNumberFormat="1" applyFont="1" applyFill="1" applyAlignment="1">
      <alignment vertical="center"/>
    </xf>
    <xf numFmtId="0" fontId="2" fillId="10" borderId="5" xfId="0" applyFont="1" applyFill="1" applyBorder="1" applyAlignment="1">
      <alignment vertical="center"/>
    </xf>
    <xf numFmtId="168" fontId="2" fillId="20" borderId="12" xfId="0" applyNumberFormat="1" applyFont="1" applyFill="1" applyBorder="1" applyAlignment="1">
      <alignment vertical="center"/>
    </xf>
    <xf numFmtId="168" fontId="2" fillId="20" borderId="19" xfId="0" applyNumberFormat="1" applyFont="1" applyFill="1" applyBorder="1" applyAlignment="1">
      <alignment vertical="center"/>
    </xf>
    <xf numFmtId="168" fontId="2" fillId="20" borderId="11" xfId="0" applyNumberFormat="1" applyFont="1" applyFill="1" applyBorder="1" applyAlignment="1">
      <alignment vertical="center"/>
    </xf>
    <xf numFmtId="44" fontId="2" fillId="20" borderId="12" xfId="0" applyNumberFormat="1" applyFont="1" applyFill="1" applyBorder="1" applyAlignment="1">
      <alignment vertical="center"/>
    </xf>
    <xf numFmtId="170" fontId="0" fillId="0" borderId="10" xfId="0" applyNumberFormat="1" applyBorder="1" applyAlignment="1">
      <alignment vertical="center"/>
    </xf>
    <xf numFmtId="170" fontId="0" fillId="0" borderId="54" xfId="0" applyNumberFormat="1" applyBorder="1" applyAlignment="1">
      <alignment vertical="center"/>
    </xf>
    <xf numFmtId="3" fontId="2" fillId="0" borderId="0" xfId="0" applyNumberFormat="1" applyFont="1" applyAlignment="1">
      <alignment vertical="center"/>
    </xf>
    <xf numFmtId="0" fontId="25" fillId="0" borderId="0" xfId="0" applyFont="1" applyAlignment="1">
      <alignment horizontal="right" vertical="center"/>
    </xf>
    <xf numFmtId="0" fontId="10" fillId="28" borderId="0" xfId="0" applyFont="1" applyFill="1" applyAlignment="1">
      <alignment vertical="center"/>
    </xf>
    <xf numFmtId="0" fontId="46" fillId="28" borderId="0" xfId="0" applyFont="1" applyFill="1" applyAlignment="1">
      <alignment vertical="center"/>
    </xf>
    <xf numFmtId="0" fontId="25" fillId="28" borderId="0" xfId="0" applyFont="1" applyFill="1" applyAlignment="1">
      <alignment vertical="center"/>
    </xf>
    <xf numFmtId="0" fontId="4" fillId="28" borderId="0" xfId="0" applyFont="1" applyFill="1" applyAlignment="1">
      <alignment vertical="center"/>
    </xf>
    <xf numFmtId="0" fontId="4" fillId="0" borderId="0" xfId="0" applyFont="1" applyAlignment="1">
      <alignment horizontal="right" vertical="top"/>
    </xf>
    <xf numFmtId="0" fontId="0" fillId="20" borderId="56" xfId="0" applyFill="1" applyBorder="1" applyAlignment="1">
      <alignment vertical="center"/>
    </xf>
    <xf numFmtId="44" fontId="2" fillId="19" borderId="19" xfId="0" applyNumberFormat="1" applyFont="1" applyFill="1" applyBorder="1" applyAlignment="1">
      <alignment vertical="center"/>
    </xf>
    <xf numFmtId="44" fontId="2" fillId="19" borderId="6" xfId="0" applyNumberFormat="1" applyFont="1" applyFill="1" applyBorder="1" applyAlignment="1">
      <alignment vertical="center"/>
    </xf>
    <xf numFmtId="0" fontId="1" fillId="26" borderId="4" xfId="0" applyFont="1" applyFill="1" applyBorder="1" applyAlignment="1">
      <alignment horizontal="center" vertical="center"/>
    </xf>
    <xf numFmtId="165" fontId="47" fillId="0" borderId="10" xfId="0" applyNumberFormat="1" applyFont="1" applyBorder="1" applyAlignment="1">
      <alignment horizontal="center" vertical="center"/>
    </xf>
    <xf numFmtId="0" fontId="47" fillId="22" borderId="4" xfId="0" applyFont="1" applyFill="1" applyBorder="1" applyAlignment="1">
      <alignment horizontal="center" vertical="center"/>
    </xf>
    <xf numFmtId="44" fontId="8" fillId="20" borderId="13" xfId="0" applyNumberFormat="1" applyFont="1" applyFill="1" applyBorder="1" applyAlignment="1">
      <alignment vertical="top"/>
    </xf>
    <xf numFmtId="44" fontId="8" fillId="20" borderId="3" xfId="0" applyNumberFormat="1" applyFont="1" applyFill="1" applyBorder="1" applyAlignment="1">
      <alignment vertical="top"/>
    </xf>
    <xf numFmtId="44" fontId="2" fillId="20" borderId="16" xfId="0" applyNumberFormat="1" applyFont="1" applyFill="1" applyBorder="1" applyAlignment="1">
      <alignment vertical="center"/>
    </xf>
    <xf numFmtId="44" fontId="8" fillId="20" borderId="16" xfId="0" applyNumberFormat="1" applyFont="1" applyFill="1" applyBorder="1" applyAlignment="1">
      <alignment vertical="top"/>
    </xf>
    <xf numFmtId="44" fontId="2" fillId="19" borderId="7" xfId="0" applyNumberFormat="1" applyFont="1" applyFill="1" applyBorder="1" applyAlignment="1">
      <alignment vertical="center"/>
    </xf>
    <xf numFmtId="44" fontId="5" fillId="20" borderId="5" xfId="0" applyNumberFormat="1" applyFont="1" applyFill="1" applyBorder="1" applyAlignment="1">
      <alignment vertical="top"/>
    </xf>
    <xf numFmtId="44" fontId="5" fillId="20" borderId="3" xfId="0" applyNumberFormat="1" applyFont="1" applyFill="1" applyBorder="1" applyAlignment="1">
      <alignment vertical="top"/>
    </xf>
    <xf numFmtId="44" fontId="5" fillId="20" borderId="16" xfId="0" applyNumberFormat="1" applyFont="1" applyFill="1" applyBorder="1" applyAlignment="1">
      <alignment vertical="top"/>
    </xf>
    <xf numFmtId="44" fontId="48" fillId="19" borderId="9" xfId="0" applyNumberFormat="1" applyFont="1" applyFill="1" applyBorder="1" applyAlignment="1">
      <alignment vertical="center"/>
    </xf>
    <xf numFmtId="44" fontId="48" fillId="19" borderId="3" xfId="0" applyNumberFormat="1" applyFont="1" applyFill="1" applyBorder="1" applyAlignment="1">
      <alignment vertical="center"/>
    </xf>
    <xf numFmtId="44" fontId="44" fillId="19" borderId="7" xfId="0" applyNumberFormat="1" applyFont="1" applyFill="1" applyBorder="1" applyAlignment="1">
      <alignment vertical="center"/>
    </xf>
    <xf numFmtId="165" fontId="49" fillId="0" borderId="0" xfId="0" applyNumberFormat="1" applyFont="1" applyAlignment="1">
      <alignment vertical="top"/>
    </xf>
    <xf numFmtId="44" fontId="5" fillId="0" borderId="12" xfId="0" applyNumberFormat="1" applyFont="1" applyBorder="1" applyAlignment="1">
      <alignment vertical="top"/>
    </xf>
    <xf numFmtId="44" fontId="8" fillId="19" borderId="5" xfId="0" applyNumberFormat="1" applyFont="1" applyFill="1" applyBorder="1" applyAlignment="1">
      <alignment vertical="top"/>
    </xf>
    <xf numFmtId="44" fontId="8" fillId="19" borderId="3" xfId="0" applyNumberFormat="1" applyFont="1" applyFill="1" applyBorder="1" applyAlignment="1">
      <alignment vertical="top"/>
    </xf>
    <xf numFmtId="44" fontId="8" fillId="19" borderId="16" xfId="0" applyNumberFormat="1" applyFont="1" applyFill="1" applyBorder="1" applyAlignment="1">
      <alignment vertical="top"/>
    </xf>
    <xf numFmtId="0" fontId="50" fillId="19" borderId="13" xfId="0" applyFont="1" applyFill="1" applyBorder="1" applyAlignment="1">
      <alignment vertical="top" wrapText="1"/>
    </xf>
    <xf numFmtId="0" fontId="50" fillId="20" borderId="13" xfId="0" applyFont="1" applyFill="1" applyBorder="1" applyAlignment="1">
      <alignment vertical="top" wrapText="1"/>
    </xf>
    <xf numFmtId="44" fontId="0" fillId="0" borderId="54" xfId="0" applyNumberFormat="1" applyBorder="1" applyAlignment="1">
      <alignment vertical="top"/>
    </xf>
    <xf numFmtId="0" fontId="1" fillId="22" borderId="9" xfId="0" applyFont="1" applyFill="1" applyBorder="1" applyAlignment="1">
      <alignment horizontal="center" vertical="center"/>
    </xf>
    <xf numFmtId="165" fontId="47" fillId="10" borderId="9" xfId="0" applyNumberFormat="1" applyFont="1" applyFill="1" applyBorder="1" applyAlignment="1">
      <alignment horizontal="center" vertical="center"/>
    </xf>
    <xf numFmtId="165" fontId="47" fillId="10" borderId="7" xfId="0" applyNumberFormat="1" applyFont="1" applyFill="1" applyBorder="1" applyAlignment="1">
      <alignment horizontal="center" vertical="center"/>
    </xf>
    <xf numFmtId="0" fontId="47" fillId="22" borderId="9" xfId="0" applyFont="1" applyFill="1" applyBorder="1" applyAlignment="1">
      <alignment horizontal="center" vertical="center"/>
    </xf>
    <xf numFmtId="0" fontId="1" fillId="22" borderId="4" xfId="0" applyFont="1" applyFill="1" applyBorder="1" applyAlignment="1">
      <alignment vertical="center"/>
    </xf>
    <xf numFmtId="0" fontId="1" fillId="22" borderId="7" xfId="0" applyFont="1" applyFill="1" applyBorder="1" applyAlignment="1">
      <alignment vertical="center"/>
    </xf>
    <xf numFmtId="0" fontId="2" fillId="20" borderId="9" xfId="0" applyFont="1" applyFill="1" applyBorder="1" applyAlignment="1">
      <alignment vertical="center"/>
    </xf>
    <xf numFmtId="44" fontId="2" fillId="20" borderId="9" xfId="0" applyNumberFormat="1" applyFont="1" applyFill="1" applyBorder="1" applyAlignment="1">
      <alignment vertical="center"/>
    </xf>
    <xf numFmtId="0" fontId="1" fillId="22" borderId="13" xfId="0" applyFont="1" applyFill="1" applyBorder="1" applyAlignment="1">
      <alignment horizontal="center" vertical="center"/>
    </xf>
    <xf numFmtId="44" fontId="7" fillId="20" borderId="0" xfId="0" applyNumberFormat="1" applyFont="1" applyFill="1" applyAlignment="1">
      <alignment horizontal="right" vertical="center"/>
    </xf>
    <xf numFmtId="44" fontId="7" fillId="20" borderId="54" xfId="0" applyNumberFormat="1" applyFont="1" applyFill="1" applyBorder="1" applyAlignment="1">
      <alignment horizontal="right" vertical="center"/>
    </xf>
    <xf numFmtId="0" fontId="11" fillId="0" borderId="0" xfId="0" applyFont="1" applyAlignment="1">
      <alignment vertical="center"/>
    </xf>
    <xf numFmtId="0" fontId="0" fillId="10" borderId="1" xfId="0" applyFill="1" applyBorder="1" applyAlignment="1">
      <alignment vertical="center"/>
    </xf>
    <xf numFmtId="44" fontId="0" fillId="10" borderId="9" xfId="0" applyNumberFormat="1" applyFill="1" applyBorder="1" applyAlignment="1">
      <alignment vertical="center"/>
    </xf>
    <xf numFmtId="44" fontId="0" fillId="10" borderId="7" xfId="0" applyNumberFormat="1" applyFill="1" applyBorder="1" applyAlignment="1">
      <alignment vertical="center"/>
    </xf>
    <xf numFmtId="44" fontId="0" fillId="10" borderId="4" xfId="0" applyNumberFormat="1" applyFill="1" applyBorder="1" applyAlignment="1">
      <alignment vertical="center"/>
    </xf>
    <xf numFmtId="44" fontId="11" fillId="20" borderId="12" xfId="0" applyNumberFormat="1" applyFont="1" applyFill="1" applyBorder="1" applyAlignment="1">
      <alignment vertical="center"/>
    </xf>
    <xf numFmtId="44" fontId="11" fillId="20" borderId="11" xfId="0" applyNumberFormat="1" applyFont="1" applyFill="1" applyBorder="1" applyAlignment="1">
      <alignment vertical="center"/>
    </xf>
    <xf numFmtId="168" fontId="2" fillId="20" borderId="4" xfId="0" applyNumberFormat="1" applyFont="1" applyFill="1" applyBorder="1" applyAlignment="1">
      <alignment vertical="center"/>
    </xf>
    <xf numFmtId="168" fontId="2" fillId="20" borderId="7" xfId="0" applyNumberFormat="1" applyFont="1" applyFill="1" applyBorder="1" applyAlignment="1">
      <alignment vertical="center"/>
    </xf>
    <xf numFmtId="0" fontId="1" fillId="20" borderId="16" xfId="0" applyFont="1" applyFill="1" applyBorder="1" applyAlignment="1">
      <alignment horizontal="center" vertical="center"/>
    </xf>
    <xf numFmtId="44" fontId="7" fillId="20" borderId="0" xfId="0" applyNumberFormat="1" applyFont="1" applyFill="1" applyAlignment="1">
      <alignment vertical="center"/>
    </xf>
    <xf numFmtId="0" fontId="2" fillId="10" borderId="10" xfId="0" applyFont="1" applyFill="1" applyBorder="1" applyAlignment="1">
      <alignment vertical="center"/>
    </xf>
    <xf numFmtId="44" fontId="2" fillId="10" borderId="54" xfId="0" applyNumberFormat="1" applyFont="1" applyFill="1" applyBorder="1" applyAlignment="1">
      <alignment vertical="center"/>
    </xf>
    <xf numFmtId="0" fontId="7" fillId="20" borderId="10" xfId="0" applyFont="1" applyFill="1" applyBorder="1" applyAlignment="1">
      <alignment vertical="center"/>
    </xf>
    <xf numFmtId="44" fontId="7" fillId="20" borderId="54" xfId="0" applyNumberFormat="1" applyFont="1" applyFill="1" applyBorder="1" applyAlignment="1">
      <alignment vertical="center"/>
    </xf>
    <xf numFmtId="0" fontId="7" fillId="20" borderId="12" xfId="0" applyFont="1" applyFill="1" applyBorder="1" applyAlignment="1">
      <alignment vertical="center"/>
    </xf>
    <xf numFmtId="44" fontId="7" fillId="20" borderId="19" xfId="0" applyNumberFormat="1" applyFont="1" applyFill="1" applyBorder="1" applyAlignment="1">
      <alignment vertical="center"/>
    </xf>
    <xf numFmtId="44" fontId="7" fillId="20" borderId="11" xfId="0" applyNumberFormat="1" applyFont="1" applyFill="1" applyBorder="1" applyAlignment="1">
      <alignment vertical="center"/>
    </xf>
    <xf numFmtId="44" fontId="2" fillId="22" borderId="56" xfId="0" applyNumberFormat="1" applyFont="1" applyFill="1" applyBorder="1" applyAlignment="1">
      <alignment vertical="center"/>
    </xf>
    <xf numFmtId="44" fontId="7" fillId="19" borderId="56" xfId="0" applyNumberFormat="1" applyFont="1" applyFill="1" applyBorder="1" applyAlignment="1">
      <alignment vertical="center"/>
    </xf>
    <xf numFmtId="44" fontId="7" fillId="19" borderId="6" xfId="0" applyNumberFormat="1" applyFont="1" applyFill="1" applyBorder="1" applyAlignment="1">
      <alignment vertical="center"/>
    </xf>
    <xf numFmtId="44" fontId="0" fillId="17" borderId="0" xfId="0" applyNumberFormat="1" applyFill="1" applyAlignment="1">
      <alignment vertical="center"/>
    </xf>
    <xf numFmtId="44" fontId="0" fillId="20" borderId="19" xfId="0" applyNumberFormat="1" applyFill="1" applyBorder="1" applyAlignment="1">
      <alignment vertical="center"/>
    </xf>
    <xf numFmtId="44" fontId="0" fillId="20" borderId="11" xfId="0" applyNumberFormat="1" applyFill="1" applyBorder="1" applyAlignment="1">
      <alignment vertical="center"/>
    </xf>
    <xf numFmtId="10" fontId="0" fillId="20" borderId="0" xfId="0" applyNumberFormat="1" applyFill="1" applyAlignment="1">
      <alignment vertical="center"/>
    </xf>
    <xf numFmtId="10" fontId="0" fillId="20" borderId="54" xfId="0" applyNumberFormat="1" applyFill="1" applyBorder="1" applyAlignment="1">
      <alignment vertical="center"/>
    </xf>
    <xf numFmtId="44" fontId="2" fillId="20" borderId="10" xfId="0" applyNumberFormat="1" applyFont="1" applyFill="1" applyBorder="1" applyAlignment="1">
      <alignment vertical="center"/>
    </xf>
    <xf numFmtId="0" fontId="10" fillId="22" borderId="12" xfId="0" applyFont="1" applyFill="1" applyBorder="1" applyAlignment="1">
      <alignment vertical="center"/>
    </xf>
    <xf numFmtId="44" fontId="2" fillId="22" borderId="12" xfId="0" applyNumberFormat="1" applyFont="1" applyFill="1" applyBorder="1" applyAlignment="1">
      <alignment vertical="center"/>
    </xf>
    <xf numFmtId="10" fontId="0" fillId="20" borderId="3" xfId="0" applyNumberFormat="1" applyFill="1" applyBorder="1" applyAlignment="1">
      <alignment vertical="center"/>
    </xf>
    <xf numFmtId="10" fontId="0" fillId="20" borderId="16" xfId="0" applyNumberFormat="1" applyFill="1" applyBorder="1" applyAlignment="1">
      <alignment vertical="center"/>
    </xf>
    <xf numFmtId="0" fontId="2" fillId="20" borderId="13" xfId="0" applyFont="1" applyFill="1" applyBorder="1" applyAlignment="1">
      <alignment vertical="center"/>
    </xf>
    <xf numFmtId="10" fontId="0" fillId="20" borderId="19" xfId="0" applyNumberFormat="1" applyFill="1" applyBorder="1" applyAlignment="1">
      <alignment vertical="center"/>
    </xf>
    <xf numFmtId="10" fontId="0" fillId="20" borderId="11" xfId="0" applyNumberFormat="1" applyFill="1" applyBorder="1" applyAlignment="1">
      <alignment vertical="center"/>
    </xf>
    <xf numFmtId="10" fontId="0" fillId="20" borderId="5" xfId="0" applyNumberFormat="1" applyFill="1" applyBorder="1" applyAlignment="1">
      <alignment vertical="center"/>
    </xf>
    <xf numFmtId="44" fontId="0" fillId="0" borderId="56" xfId="0" applyNumberFormat="1" applyBorder="1" applyAlignment="1">
      <alignment horizontal="center" vertical="center"/>
    </xf>
    <xf numFmtId="0" fontId="0" fillId="20" borderId="5" xfId="0" applyFill="1" applyBorder="1" applyAlignment="1">
      <alignment vertical="center"/>
    </xf>
    <xf numFmtId="44" fontId="0" fillId="20" borderId="5" xfId="0" applyNumberFormat="1" applyFill="1" applyBorder="1" applyAlignment="1">
      <alignment vertical="center"/>
    </xf>
    <xf numFmtId="0" fontId="1" fillId="20" borderId="5" xfId="0" applyFont="1" applyFill="1" applyBorder="1" applyAlignment="1">
      <alignment horizontal="center" vertical="center"/>
    </xf>
    <xf numFmtId="0" fontId="0" fillId="0" borderId="56" xfId="0" applyBorder="1"/>
    <xf numFmtId="10" fontId="0" fillId="0" borderId="56" xfId="0" applyNumberFormat="1" applyBorder="1" applyAlignment="1">
      <alignment horizontal="center" vertical="center"/>
    </xf>
    <xf numFmtId="1" fontId="0" fillId="0" borderId="56" xfId="0" applyNumberFormat="1" applyBorder="1" applyAlignment="1">
      <alignment horizontal="center" vertical="center"/>
    </xf>
    <xf numFmtId="10" fontId="0" fillId="0" borderId="6" xfId="0" applyNumberFormat="1" applyBorder="1" applyAlignment="1">
      <alignment horizontal="center" vertical="center"/>
    </xf>
    <xf numFmtId="0" fontId="2" fillId="20" borderId="5" xfId="0" applyFont="1" applyFill="1" applyBorder="1" applyAlignment="1">
      <alignment horizontal="center" vertical="center"/>
    </xf>
    <xf numFmtId="0" fontId="0" fillId="20" borderId="5" xfId="0" applyFill="1" applyBorder="1" applyAlignment="1">
      <alignment horizontal="center" vertical="center"/>
    </xf>
    <xf numFmtId="0" fontId="0" fillId="20" borderId="56" xfId="0" applyFill="1" applyBorder="1" applyAlignment="1">
      <alignment horizontal="center" vertical="center"/>
    </xf>
    <xf numFmtId="0" fontId="4" fillId="28" borderId="0" xfId="0" applyFont="1" applyFill="1" applyAlignment="1">
      <alignment horizontal="center" vertical="center"/>
    </xf>
    <xf numFmtId="169" fontId="0" fillId="0" borderId="0" xfId="0" applyNumberFormat="1" applyAlignment="1">
      <alignment vertical="center"/>
    </xf>
    <xf numFmtId="169" fontId="2" fillId="20" borderId="0" xfId="0" applyNumberFormat="1" applyFont="1" applyFill="1" applyAlignment="1">
      <alignment vertical="center"/>
    </xf>
    <xf numFmtId="169" fontId="2" fillId="20" borderId="54" xfId="0" applyNumberFormat="1" applyFont="1" applyFill="1" applyBorder="1" applyAlignment="1">
      <alignment vertical="center"/>
    </xf>
    <xf numFmtId="169" fontId="2" fillId="20" borderId="56" xfId="0" applyNumberFormat="1" applyFont="1" applyFill="1" applyBorder="1" applyAlignment="1">
      <alignment vertical="center"/>
    </xf>
    <xf numFmtId="44" fontId="2" fillId="19" borderId="4" xfId="0" applyNumberFormat="1" applyFont="1" applyFill="1" applyBorder="1" applyAlignment="1">
      <alignment vertical="center"/>
    </xf>
    <xf numFmtId="0" fontId="0" fillId="0" borderId="13" xfId="0" applyBorder="1" applyAlignment="1">
      <alignment horizontal="left" vertical="center" indent="1"/>
    </xf>
    <xf numFmtId="0" fontId="2" fillId="10" borderId="13" xfId="0" applyFont="1" applyFill="1" applyBorder="1" applyAlignment="1">
      <alignment vertical="center"/>
    </xf>
    <xf numFmtId="0" fontId="2" fillId="10" borderId="5" xfId="0" applyFont="1" applyFill="1" applyBorder="1" applyAlignment="1">
      <alignment horizontal="center" vertical="center"/>
    </xf>
    <xf numFmtId="0" fontId="2" fillId="10" borderId="12" xfId="0" applyFont="1" applyFill="1" applyBorder="1" applyAlignment="1">
      <alignment vertical="center"/>
    </xf>
    <xf numFmtId="10" fontId="0" fillId="0" borderId="0" xfId="0" applyNumberFormat="1"/>
    <xf numFmtId="0" fontId="0" fillId="0" borderId="54" xfId="0" applyBorder="1"/>
    <xf numFmtId="0" fontId="0" fillId="20" borderId="55" xfId="0" applyFill="1" applyBorder="1"/>
    <xf numFmtId="44" fontId="0" fillId="20" borderId="0" xfId="0" applyNumberFormat="1" applyFill="1"/>
    <xf numFmtId="0" fontId="0" fillId="20" borderId="12" xfId="0" applyFill="1" applyBorder="1"/>
    <xf numFmtId="44" fontId="0" fillId="20" borderId="19" xfId="0" applyNumberFormat="1" applyFill="1" applyBorder="1"/>
    <xf numFmtId="0" fontId="1" fillId="22" borderId="9" xfId="0" applyFont="1" applyFill="1" applyBorder="1"/>
    <xf numFmtId="0" fontId="1" fillId="22" borderId="4" xfId="0" applyFont="1" applyFill="1" applyBorder="1" applyAlignment="1">
      <alignment horizontal="center"/>
    </xf>
    <xf numFmtId="0" fontId="1" fillId="22" borderId="7" xfId="0" applyFont="1" applyFill="1" applyBorder="1" applyAlignment="1">
      <alignment horizontal="center"/>
    </xf>
    <xf numFmtId="0" fontId="1" fillId="22" borderId="1" xfId="0" applyFont="1" applyFill="1" applyBorder="1" applyAlignment="1">
      <alignment horizontal="center"/>
    </xf>
    <xf numFmtId="10" fontId="0" fillId="0" borderId="56" xfId="0" applyNumberFormat="1" applyBorder="1"/>
    <xf numFmtId="44" fontId="0" fillId="20" borderId="56" xfId="0" applyNumberFormat="1" applyFill="1" applyBorder="1"/>
    <xf numFmtId="44" fontId="0" fillId="20" borderId="6" xfId="0" applyNumberFormat="1" applyFill="1" applyBorder="1"/>
    <xf numFmtId="10" fontId="0" fillId="0" borderId="55" xfId="0" applyNumberFormat="1" applyBorder="1"/>
    <xf numFmtId="10" fontId="0" fillId="0" borderId="54" xfId="0" applyNumberFormat="1" applyBorder="1"/>
    <xf numFmtId="44" fontId="0" fillId="0" borderId="55" xfId="0" applyNumberFormat="1" applyBorder="1"/>
    <xf numFmtId="44" fontId="0" fillId="20" borderId="55" xfId="0" applyNumberFormat="1" applyFill="1" applyBorder="1"/>
    <xf numFmtId="44" fontId="0" fillId="20" borderId="54" xfId="0" applyNumberFormat="1" applyFill="1" applyBorder="1"/>
    <xf numFmtId="44" fontId="0" fillId="20" borderId="12" xfId="0" applyNumberFormat="1" applyFill="1" applyBorder="1"/>
    <xf numFmtId="44" fontId="0" fillId="20" borderId="11" xfId="0" applyNumberFormat="1" applyFill="1" applyBorder="1"/>
    <xf numFmtId="0" fontId="1" fillId="22" borderId="9" xfId="0" applyFont="1" applyFill="1" applyBorder="1" applyAlignment="1">
      <alignment horizontal="center"/>
    </xf>
    <xf numFmtId="0" fontId="0" fillId="29" borderId="55" xfId="0" applyFill="1" applyBorder="1" applyAlignment="1">
      <alignment vertical="center"/>
    </xf>
    <xf numFmtId="0" fontId="0" fillId="31" borderId="55" xfId="0" applyFill="1" applyBorder="1" applyAlignment="1">
      <alignment vertical="center"/>
    </xf>
    <xf numFmtId="0" fontId="0" fillId="30" borderId="55" xfId="0" applyFill="1" applyBorder="1" applyAlignment="1">
      <alignment vertical="center"/>
    </xf>
    <xf numFmtId="0" fontId="0" fillId="0" borderId="55" xfId="0" applyBorder="1" applyAlignment="1">
      <alignment vertical="center" wrapText="1"/>
    </xf>
    <xf numFmtId="0" fontId="2" fillId="22" borderId="4" xfId="0" applyFont="1" applyFill="1" applyBorder="1" applyAlignment="1">
      <alignment vertical="center"/>
    </xf>
    <xf numFmtId="0" fontId="2" fillId="22" borderId="7" xfId="0" applyFont="1" applyFill="1" applyBorder="1" applyAlignment="1">
      <alignment vertical="center"/>
    </xf>
    <xf numFmtId="1" fontId="0" fillId="0" borderId="19" xfId="0" applyNumberFormat="1" applyBorder="1" applyAlignment="1">
      <alignment vertical="center"/>
    </xf>
    <xf numFmtId="1" fontId="0" fillId="0" borderId="11" xfId="0" applyNumberFormat="1" applyBorder="1" applyAlignment="1">
      <alignment vertical="center"/>
    </xf>
    <xf numFmtId="1" fontId="0" fillId="20" borderId="19" xfId="0" applyNumberFormat="1" applyFill="1" applyBorder="1" applyAlignment="1">
      <alignment vertical="center"/>
    </xf>
    <xf numFmtId="1" fontId="0" fillId="20" borderId="11" xfId="0" applyNumberFormat="1" applyFill="1" applyBorder="1" applyAlignment="1">
      <alignment vertical="center"/>
    </xf>
    <xf numFmtId="0" fontId="2" fillId="22" borderId="1" xfId="0" applyFont="1" applyFill="1" applyBorder="1" applyAlignment="1">
      <alignment vertical="center"/>
    </xf>
    <xf numFmtId="0" fontId="0" fillId="20" borderId="6" xfId="0" applyFill="1" applyBorder="1" applyAlignment="1">
      <alignment vertical="center"/>
    </xf>
    <xf numFmtId="44" fontId="0" fillId="0" borderId="19" xfId="0" applyNumberFormat="1" applyBorder="1"/>
    <xf numFmtId="9" fontId="0" fillId="0" borderId="0" xfId="0" applyNumberFormat="1"/>
    <xf numFmtId="9" fontId="0" fillId="0" borderId="54" xfId="0" applyNumberFormat="1" applyBorder="1"/>
    <xf numFmtId="9" fontId="0" fillId="0" borderId="19" xfId="0" applyNumberFormat="1" applyBorder="1"/>
    <xf numFmtId="9" fontId="0" fillId="0" borderId="11" xfId="0" applyNumberFormat="1" applyBorder="1"/>
    <xf numFmtId="0" fontId="1" fillId="22" borderId="13" xfId="0" applyFont="1" applyFill="1" applyBorder="1" applyAlignment="1">
      <alignment horizontal="center"/>
    </xf>
    <xf numFmtId="0" fontId="1" fillId="22" borderId="3" xfId="0" applyFont="1" applyFill="1" applyBorder="1" applyAlignment="1">
      <alignment horizontal="center"/>
    </xf>
    <xf numFmtId="0" fontId="1" fillId="22" borderId="16" xfId="0" applyFont="1" applyFill="1" applyBorder="1" applyAlignment="1">
      <alignment horizontal="center"/>
    </xf>
    <xf numFmtId="44" fontId="0" fillId="0" borderId="7" xfId="0" applyNumberFormat="1" applyBorder="1"/>
    <xf numFmtId="0" fontId="2" fillId="0" borderId="16" xfId="0" applyFont="1" applyBorder="1" applyAlignment="1">
      <alignment horizontal="right"/>
    </xf>
    <xf numFmtId="0" fontId="2" fillId="22" borderId="9" xfId="0" applyFont="1" applyFill="1" applyBorder="1" applyAlignment="1">
      <alignment vertical="center"/>
    </xf>
    <xf numFmtId="0" fontId="0" fillId="22" borderId="4" xfId="0" applyFill="1" applyBorder="1" applyAlignment="1">
      <alignment vertical="center"/>
    </xf>
    <xf numFmtId="0" fontId="0" fillId="22" borderId="7" xfId="0" applyFill="1" applyBorder="1" applyAlignment="1">
      <alignment vertical="center"/>
    </xf>
    <xf numFmtId="44" fontId="0" fillId="22" borderId="4" xfId="0" applyNumberFormat="1" applyFill="1" applyBorder="1" applyAlignment="1">
      <alignment vertical="center"/>
    </xf>
    <xf numFmtId="44" fontId="0" fillId="22" borderId="7" xfId="0" applyNumberFormat="1" applyFill="1" applyBorder="1" applyAlignment="1">
      <alignment vertical="center"/>
    </xf>
    <xf numFmtId="169" fontId="7" fillId="0" borderId="0" xfId="0" applyNumberFormat="1" applyFont="1" applyAlignment="1">
      <alignment vertical="center"/>
    </xf>
    <xf numFmtId="0" fontId="1" fillId="22" borderId="4" xfId="0" applyFont="1" applyFill="1" applyBorder="1"/>
    <xf numFmtId="0" fontId="1" fillId="22" borderId="7" xfId="0" applyFont="1" applyFill="1" applyBorder="1"/>
    <xf numFmtId="0" fontId="1" fillId="22" borderId="1" xfId="0" applyFont="1" applyFill="1" applyBorder="1"/>
    <xf numFmtId="165" fontId="0" fillId="2" borderId="0" xfId="0" applyNumberFormat="1" applyFill="1" applyAlignment="1">
      <alignment vertical="center"/>
    </xf>
    <xf numFmtId="0" fontId="1" fillId="22" borderId="13" xfId="0" applyFont="1" applyFill="1" applyBorder="1"/>
    <xf numFmtId="0" fontId="0" fillId="0" borderId="12" xfId="0" applyBorder="1" applyAlignment="1">
      <alignment horizontal="left"/>
    </xf>
    <xf numFmtId="1" fontId="0" fillId="0" borderId="13" xfId="0" applyNumberFormat="1" applyBorder="1" applyAlignment="1">
      <alignment vertical="center"/>
    </xf>
    <xf numFmtId="1" fontId="0" fillId="0" borderId="3" xfId="0" applyNumberFormat="1" applyBorder="1" applyAlignment="1">
      <alignment vertical="center"/>
    </xf>
    <xf numFmtId="1" fontId="0" fillId="0" borderId="16" xfId="0" applyNumberFormat="1" applyBorder="1" applyAlignment="1">
      <alignment vertical="center"/>
    </xf>
    <xf numFmtId="1" fontId="0" fillId="0" borderId="10" xfId="0" applyNumberFormat="1" applyBorder="1" applyAlignment="1">
      <alignment vertical="center"/>
    </xf>
    <xf numFmtId="1" fontId="0" fillId="0" borderId="12" xfId="0" applyNumberFormat="1" applyBorder="1" applyAlignment="1">
      <alignment vertical="center"/>
    </xf>
    <xf numFmtId="0" fontId="0" fillId="8" borderId="13" xfId="0" applyFill="1" applyBorder="1" applyAlignment="1">
      <alignment vertical="center"/>
    </xf>
    <xf numFmtId="44" fontId="0" fillId="8" borderId="13" xfId="0" applyNumberFormat="1" applyFill="1" applyBorder="1" applyAlignment="1">
      <alignment vertical="center"/>
    </xf>
    <xf numFmtId="44" fontId="0" fillId="8" borderId="16" xfId="0" applyNumberFormat="1" applyFill="1" applyBorder="1" applyAlignment="1">
      <alignment vertical="center"/>
    </xf>
    <xf numFmtId="44" fontId="0" fillId="8" borderId="3" xfId="0" applyNumberFormat="1" applyFill="1" applyBorder="1" applyAlignment="1">
      <alignment vertical="center"/>
    </xf>
    <xf numFmtId="0" fontId="0" fillId="0" borderId="12" xfId="0" applyBorder="1" applyAlignment="1">
      <alignment horizontal="left" vertical="center" indent="1"/>
    </xf>
    <xf numFmtId="165" fontId="5" fillId="0" borderId="0" xfId="0" applyNumberFormat="1" applyFont="1" applyAlignment="1">
      <alignment horizontal="left" vertical="top" wrapText="1"/>
    </xf>
    <xf numFmtId="0" fontId="51" fillId="0" borderId="0" xfId="0" applyFont="1" applyAlignment="1">
      <alignment vertical="top" wrapText="1"/>
    </xf>
    <xf numFmtId="169" fontId="12" fillId="0" borderId="0" xfId="0" applyNumberFormat="1" applyFont="1" applyAlignment="1">
      <alignment vertical="top"/>
    </xf>
    <xf numFmtId="44" fontId="12" fillId="0" borderId="0" xfId="0" applyNumberFormat="1" applyFont="1" applyAlignment="1">
      <alignment vertical="top"/>
    </xf>
    <xf numFmtId="44" fontId="5" fillId="10" borderId="56" xfId="0" applyNumberFormat="1" applyFont="1" applyFill="1" applyBorder="1" applyAlignment="1">
      <alignment vertical="top"/>
    </xf>
    <xf numFmtId="44" fontId="5" fillId="10" borderId="0" xfId="0" applyNumberFormat="1" applyFont="1" applyFill="1" applyAlignment="1">
      <alignment vertical="top"/>
    </xf>
    <xf numFmtId="0" fontId="7" fillId="0" borderId="9" xfId="0" applyFont="1" applyBorder="1" applyAlignment="1">
      <alignment vertical="center"/>
    </xf>
    <xf numFmtId="44" fontId="7" fillId="0" borderId="4" xfId="0" applyNumberFormat="1" applyFont="1" applyBorder="1" applyAlignment="1">
      <alignment vertical="center"/>
    </xf>
    <xf numFmtId="44" fontId="7" fillId="0" borderId="7" xfId="0" applyNumberFormat="1" applyFont="1" applyBorder="1" applyAlignment="1">
      <alignment vertical="center"/>
    </xf>
    <xf numFmtId="44" fontId="7" fillId="0" borderId="9" xfId="0" applyNumberFormat="1" applyFont="1" applyBorder="1" applyAlignment="1">
      <alignment vertical="center"/>
    </xf>
    <xf numFmtId="0" fontId="2" fillId="0" borderId="10" xfId="0" applyFont="1" applyBorder="1" applyAlignment="1">
      <alignment vertical="center"/>
    </xf>
    <xf numFmtId="44" fontId="2" fillId="0" borderId="10" xfId="0" applyNumberFormat="1" applyFont="1" applyBorder="1" applyAlignment="1">
      <alignment vertical="center"/>
    </xf>
    <xf numFmtId="10" fontId="2" fillId="0" borderId="54" xfId="0" applyNumberFormat="1" applyFont="1" applyBorder="1" applyAlignment="1">
      <alignment vertical="center"/>
    </xf>
    <xf numFmtId="44" fontId="2" fillId="0" borderId="56" xfId="0" applyNumberFormat="1" applyFont="1" applyBorder="1" applyAlignment="1">
      <alignment vertical="center"/>
    </xf>
    <xf numFmtId="0" fontId="2" fillId="0" borderId="55" xfId="0" applyFont="1" applyBorder="1" applyAlignment="1">
      <alignment vertical="center"/>
    </xf>
    <xf numFmtId="10" fontId="2" fillId="0" borderId="55" xfId="0" applyNumberFormat="1" applyFont="1" applyBorder="1" applyAlignment="1">
      <alignment vertical="center"/>
    </xf>
    <xf numFmtId="2" fontId="2" fillId="0" borderId="0" xfId="0" applyNumberFormat="1" applyFont="1" applyAlignment="1">
      <alignment vertical="center"/>
    </xf>
    <xf numFmtId="44" fontId="4" fillId="20" borderId="3" xfId="0" applyNumberFormat="1" applyFont="1" applyFill="1" applyBorder="1" applyAlignment="1">
      <alignment vertical="center"/>
    </xf>
    <xf numFmtId="44" fontId="4" fillId="20" borderId="5" xfId="0" applyNumberFormat="1" applyFont="1" applyFill="1" applyBorder="1" applyAlignment="1">
      <alignment vertical="center"/>
    </xf>
    <xf numFmtId="0" fontId="0" fillId="0" borderId="0" xfId="0" applyAlignment="1">
      <alignment horizontal="left" vertical="center" indent="1"/>
    </xf>
    <xf numFmtId="44" fontId="2" fillId="0" borderId="16" xfId="0" applyNumberFormat="1" applyFont="1" applyBorder="1" applyAlignment="1">
      <alignment vertical="center"/>
    </xf>
    <xf numFmtId="0" fontId="0" fillId="20" borderId="13" xfId="0" applyFill="1" applyBorder="1" applyAlignment="1">
      <alignment vertical="center"/>
    </xf>
    <xf numFmtId="169" fontId="0" fillId="0" borderId="0" xfId="0" applyNumberFormat="1"/>
    <xf numFmtId="4" fontId="0" fillId="0" borderId="0" xfId="0" applyNumberFormat="1" applyAlignment="1">
      <alignment vertical="center"/>
    </xf>
    <xf numFmtId="44" fontId="7" fillId="0" borderId="56" xfId="0" applyNumberFormat="1" applyFont="1" applyBorder="1" applyAlignment="1">
      <alignment vertical="center"/>
    </xf>
    <xf numFmtId="169" fontId="2" fillId="0" borderId="0" xfId="0" applyNumberFormat="1" applyFont="1" applyAlignment="1">
      <alignment vertical="center"/>
    </xf>
    <xf numFmtId="1" fontId="7" fillId="0" borderId="56" xfId="0" applyNumberFormat="1" applyFont="1" applyBorder="1" applyAlignment="1">
      <alignment vertical="center"/>
    </xf>
    <xf numFmtId="1" fontId="7" fillId="0" borderId="54" xfId="0" applyNumberFormat="1" applyFont="1" applyBorder="1" applyAlignment="1">
      <alignment vertical="center"/>
    </xf>
    <xf numFmtId="1" fontId="0" fillId="0" borderId="56" xfId="0" applyNumberFormat="1" applyBorder="1" applyAlignment="1">
      <alignment vertical="center"/>
    </xf>
    <xf numFmtId="10" fontId="0" fillId="20" borderId="13" xfId="0" applyNumberFormat="1" applyFill="1" applyBorder="1" applyAlignment="1">
      <alignment vertical="center"/>
    </xf>
    <xf numFmtId="1" fontId="7" fillId="0" borderId="10" xfId="0" applyNumberFormat="1" applyFont="1" applyBorder="1" applyAlignment="1">
      <alignment vertical="center"/>
    </xf>
    <xf numFmtId="1" fontId="7" fillId="0" borderId="0" xfId="0" applyNumberFormat="1" applyFont="1" applyAlignment="1">
      <alignment vertical="center"/>
    </xf>
    <xf numFmtId="44" fontId="0" fillId="20" borderId="13" xfId="0" applyNumberFormat="1" applyFill="1" applyBorder="1" applyAlignment="1">
      <alignment vertical="center"/>
    </xf>
    <xf numFmtId="0" fontId="7" fillId="0" borderId="1" xfId="0" applyFont="1" applyBorder="1" applyAlignment="1">
      <alignment vertical="center"/>
    </xf>
    <xf numFmtId="0" fontId="0" fillId="0" borderId="0" xfId="0" applyAlignment="1">
      <alignment horizontal="left" vertical="top"/>
    </xf>
    <xf numFmtId="0" fontId="2" fillId="0" borderId="0" xfId="0" applyFont="1" applyAlignment="1">
      <alignment horizontal="right"/>
    </xf>
    <xf numFmtId="164" fontId="0" fillId="0" borderId="5" xfId="0" applyNumberFormat="1" applyBorder="1"/>
    <xf numFmtId="164" fontId="0" fillId="0" borderId="56" xfId="0" applyNumberFormat="1" applyBorder="1"/>
    <xf numFmtId="164" fontId="0" fillId="0" borderId="6" xfId="0" applyNumberFormat="1" applyBorder="1"/>
    <xf numFmtId="164" fontId="0" fillId="0" borderId="54" xfId="0" applyNumberFormat="1" applyBorder="1"/>
    <xf numFmtId="0" fontId="2" fillId="0" borderId="9" xfId="0" applyFont="1" applyBorder="1"/>
    <xf numFmtId="0" fontId="2" fillId="0" borderId="7" xfId="0" applyFont="1" applyBorder="1"/>
    <xf numFmtId="164" fontId="0" fillId="10" borderId="40" xfId="0" applyNumberFormat="1" applyFill="1" applyBorder="1" applyAlignment="1">
      <alignment horizontal="center" vertical="center"/>
    </xf>
    <xf numFmtId="164" fontId="0" fillId="10" borderId="43" xfId="0" applyNumberFormat="1" applyFill="1" applyBorder="1" applyAlignment="1">
      <alignment horizontal="center" vertical="center"/>
    </xf>
    <xf numFmtId="164" fontId="0" fillId="10" borderId="41" xfId="0" applyNumberFormat="1" applyFill="1" applyBorder="1" applyAlignment="1">
      <alignment horizontal="center" vertical="center"/>
    </xf>
    <xf numFmtId="164" fontId="0" fillId="0" borderId="24" xfId="0" applyNumberFormat="1" applyBorder="1" applyAlignment="1">
      <alignment horizontal="center" vertical="center"/>
    </xf>
    <xf numFmtId="164" fontId="0" fillId="0" borderId="40" xfId="0" applyNumberFormat="1" applyBorder="1" applyAlignment="1">
      <alignment horizontal="center" vertical="center"/>
    </xf>
    <xf numFmtId="164" fontId="0" fillId="0" borderId="41" xfId="0" applyNumberFormat="1" applyBorder="1" applyAlignment="1">
      <alignment horizontal="center" vertical="center"/>
    </xf>
    <xf numFmtId="0" fontId="7" fillId="0" borderId="0" xfId="0" applyFont="1" applyAlignment="1">
      <alignment horizontal="right"/>
    </xf>
    <xf numFmtId="0" fontId="3" fillId="0" borderId="0" xfId="0" applyFont="1" applyAlignment="1">
      <alignment vertical="top" wrapText="1"/>
    </xf>
    <xf numFmtId="0" fontId="7" fillId="0" borderId="0" xfId="0" applyFont="1" applyAlignment="1">
      <alignment vertical="top"/>
    </xf>
    <xf numFmtId="0" fontId="1" fillId="0" borderId="0" xfId="0" applyFont="1" applyAlignment="1">
      <alignment horizontal="center"/>
    </xf>
    <xf numFmtId="0" fontId="1" fillId="0" borderId="0" xfId="0" applyFont="1" applyAlignment="1">
      <alignment vertical="top"/>
    </xf>
    <xf numFmtId="0" fontId="17" fillId="0" borderId="0" xfId="0" applyFont="1" applyAlignment="1">
      <alignment horizontal="center" vertical="center"/>
    </xf>
    <xf numFmtId="0" fontId="42" fillId="20" borderId="0" xfId="0" applyFont="1" applyFill="1" applyAlignment="1">
      <alignment horizontal="right" vertical="center"/>
    </xf>
    <xf numFmtId="44" fontId="0" fillId="0" borderId="5" xfId="0" applyNumberFormat="1" applyBorder="1" applyAlignment="1">
      <alignment horizontal="center" vertical="center"/>
    </xf>
    <xf numFmtId="0" fontId="7" fillId="0" borderId="19" xfId="0" applyFont="1" applyBorder="1" applyAlignment="1">
      <alignment vertical="center"/>
    </xf>
    <xf numFmtId="10" fontId="2" fillId="0" borderId="0" xfId="0" applyNumberFormat="1" applyFont="1" applyAlignment="1">
      <alignment vertical="center"/>
    </xf>
    <xf numFmtId="0" fontId="0" fillId="29" borderId="0" xfId="0" applyFill="1" applyAlignment="1">
      <alignment vertical="center"/>
    </xf>
    <xf numFmtId="0" fontId="1" fillId="0" borderId="0" xfId="0" applyFont="1" applyAlignment="1">
      <alignment horizontal="center" vertical="center"/>
    </xf>
    <xf numFmtId="0" fontId="7" fillId="0" borderId="55" xfId="0" applyFont="1" applyBorder="1" applyAlignment="1">
      <alignment horizontal="right" vertical="center"/>
    </xf>
    <xf numFmtId="0" fontId="7" fillId="0" borderId="6" xfId="0" applyFont="1" applyBorder="1" applyAlignment="1">
      <alignment horizontal="right" vertical="center"/>
    </xf>
    <xf numFmtId="0" fontId="7" fillId="0" borderId="12" xfId="0" applyFont="1" applyBorder="1" applyAlignment="1">
      <alignment vertical="center"/>
    </xf>
    <xf numFmtId="44" fontId="7" fillId="0" borderId="19" xfId="0" applyNumberFormat="1" applyFont="1" applyBorder="1" applyAlignment="1">
      <alignment vertical="center"/>
    </xf>
    <xf numFmtId="44" fontId="7" fillId="0" borderId="12" xfId="0" applyNumberFormat="1" applyFont="1" applyBorder="1" applyAlignment="1">
      <alignment vertical="center"/>
    </xf>
    <xf numFmtId="10" fontId="7" fillId="0" borderId="11" xfId="0" applyNumberFormat="1" applyFont="1" applyBorder="1" applyAlignment="1">
      <alignment vertical="center"/>
    </xf>
    <xf numFmtId="0" fontId="7" fillId="0" borderId="11" xfId="0" applyFont="1" applyBorder="1" applyAlignment="1">
      <alignment vertical="center"/>
    </xf>
    <xf numFmtId="44" fontId="5" fillId="23" borderId="56" xfId="0" applyNumberFormat="1" applyFont="1" applyFill="1" applyBorder="1" applyAlignment="1">
      <alignment vertical="top"/>
    </xf>
    <xf numFmtId="44" fontId="5" fillId="23" borderId="0" xfId="0" applyNumberFormat="1" applyFont="1" applyFill="1" applyAlignment="1">
      <alignment vertical="top"/>
    </xf>
    <xf numFmtId="44" fontId="2" fillId="23" borderId="0" xfId="0" applyNumberFormat="1" applyFont="1" applyFill="1" applyAlignment="1">
      <alignment vertical="center"/>
    </xf>
    <xf numFmtId="44" fontId="2" fillId="23" borderId="56" xfId="0" applyNumberFormat="1" applyFont="1" applyFill="1" applyBorder="1" applyAlignment="1">
      <alignment vertical="center"/>
    </xf>
    <xf numFmtId="44" fontId="2" fillId="23" borderId="54" xfId="0" applyNumberFormat="1" applyFont="1" applyFill="1" applyBorder="1" applyAlignment="1">
      <alignment vertical="center"/>
    </xf>
    <xf numFmtId="44" fontId="2" fillId="0" borderId="1" xfId="0" applyNumberFormat="1" applyFont="1" applyBorder="1" applyAlignment="1">
      <alignment vertical="center"/>
    </xf>
    <xf numFmtId="10" fontId="7" fillId="20" borderId="13" xfId="0" applyNumberFormat="1" applyFont="1" applyFill="1" applyBorder="1" applyAlignment="1">
      <alignment horizontal="right" vertical="center"/>
    </xf>
    <xf numFmtId="10" fontId="7" fillId="20" borderId="12" xfId="0" applyNumberFormat="1" applyFont="1" applyFill="1" applyBorder="1" applyAlignment="1">
      <alignment horizontal="right" vertical="center"/>
    </xf>
    <xf numFmtId="0" fontId="7" fillId="0" borderId="0" xfId="0" applyFont="1" applyAlignment="1">
      <alignment horizontal="right" vertical="center"/>
    </xf>
    <xf numFmtId="0" fontId="10" fillId="0" borderId="55" xfId="0" applyFont="1" applyBorder="1" applyAlignment="1">
      <alignment vertical="center"/>
    </xf>
    <xf numFmtId="44" fontId="0" fillId="20" borderId="55" xfId="0" applyNumberFormat="1" applyFill="1" applyBorder="1" applyAlignment="1">
      <alignment vertical="center"/>
    </xf>
    <xf numFmtId="10" fontId="0" fillId="20" borderId="12" xfId="0" applyNumberFormat="1" applyFill="1" applyBorder="1" applyAlignment="1">
      <alignment vertical="center"/>
    </xf>
    <xf numFmtId="10" fontId="0" fillId="20" borderId="55" xfId="0" applyNumberFormat="1" applyFill="1" applyBorder="1" applyAlignment="1">
      <alignment vertical="center"/>
    </xf>
    <xf numFmtId="44" fontId="2" fillId="0" borderId="55" xfId="0" applyNumberFormat="1" applyFont="1" applyBorder="1" applyAlignment="1">
      <alignment vertical="center"/>
    </xf>
    <xf numFmtId="44" fontId="2" fillId="0" borderId="9" xfId="0" applyNumberFormat="1" applyFont="1" applyBorder="1" applyAlignment="1">
      <alignment vertical="center"/>
    </xf>
    <xf numFmtId="0" fontId="0" fillId="0" borderId="55" xfId="0" applyBorder="1" applyAlignment="1">
      <alignment horizontal="left" vertical="center" indent="1"/>
    </xf>
    <xf numFmtId="0" fontId="0" fillId="0" borderId="55" xfId="0" quotePrefix="1" applyBorder="1" applyAlignment="1">
      <alignment horizontal="left" vertical="center" indent="1"/>
    </xf>
    <xf numFmtId="44" fontId="0" fillId="0" borderId="55" xfId="0" applyNumberFormat="1" applyBorder="1" applyAlignment="1">
      <alignment horizontal="left" vertical="center" indent="1"/>
    </xf>
    <xf numFmtId="0" fontId="7" fillId="0" borderId="10" xfId="0" applyFont="1" applyBorder="1" applyAlignment="1">
      <alignment horizontal="left" vertical="center" indent="2"/>
    </xf>
    <xf numFmtId="44" fontId="0" fillId="20" borderId="10" xfId="0" applyNumberFormat="1" applyFill="1" applyBorder="1" applyAlignment="1">
      <alignment vertical="center"/>
    </xf>
    <xf numFmtId="0" fontId="4" fillId="0" borderId="10" xfId="0" applyFont="1" applyBorder="1" applyAlignment="1">
      <alignment vertical="center"/>
    </xf>
    <xf numFmtId="10" fontId="7" fillId="0" borderId="0" xfId="0" applyNumberFormat="1" applyFont="1" applyAlignment="1">
      <alignment horizontal="right" vertical="center"/>
    </xf>
    <xf numFmtId="0" fontId="4" fillId="0" borderId="55" xfId="0" applyFont="1" applyBorder="1" applyAlignment="1">
      <alignment vertical="center"/>
    </xf>
    <xf numFmtId="0" fontId="0" fillId="20" borderId="12" xfId="0" applyFill="1" applyBorder="1" applyAlignment="1">
      <alignment vertical="center"/>
    </xf>
    <xf numFmtId="44" fontId="2" fillId="0" borderId="19" xfId="0" applyNumberFormat="1" applyFont="1" applyBorder="1" applyAlignment="1">
      <alignment vertical="center"/>
    </xf>
    <xf numFmtId="0" fontId="2" fillId="0" borderId="1" xfId="0" applyFont="1" applyBorder="1" applyAlignment="1">
      <alignment vertical="center"/>
    </xf>
    <xf numFmtId="44" fontId="0" fillId="3" borderId="0" xfId="0" applyNumberFormat="1" applyFill="1" applyAlignment="1">
      <alignment vertical="center"/>
    </xf>
    <xf numFmtId="0" fontId="0" fillId="0" borderId="9" xfId="0" applyBorder="1" applyAlignment="1">
      <alignment vertical="center"/>
    </xf>
    <xf numFmtId="168" fontId="0" fillId="21" borderId="4" xfId="0" applyNumberFormat="1" applyFill="1" applyBorder="1" applyAlignment="1">
      <alignment vertical="center"/>
    </xf>
    <xf numFmtId="168" fontId="0" fillId="20" borderId="4" xfId="0" applyNumberFormat="1" applyFill="1" applyBorder="1" applyAlignment="1">
      <alignment vertical="center"/>
    </xf>
    <xf numFmtId="168" fontId="0" fillId="20" borderId="7" xfId="0" applyNumberFormat="1" applyFill="1" applyBorder="1" applyAlignment="1">
      <alignment vertical="center"/>
    </xf>
    <xf numFmtId="168" fontId="0" fillId="22" borderId="4" xfId="0" applyNumberFormat="1" applyFill="1" applyBorder="1" applyAlignment="1">
      <alignment vertical="center"/>
    </xf>
    <xf numFmtId="0" fontId="0" fillId="10" borderId="3" xfId="0" applyFill="1" applyBorder="1" applyAlignment="1">
      <alignment vertical="center"/>
    </xf>
    <xf numFmtId="44" fontId="0" fillId="10" borderId="16" xfId="0" applyNumberFormat="1" applyFill="1" applyBorder="1" applyAlignment="1">
      <alignment vertical="center"/>
    </xf>
    <xf numFmtId="0" fontId="0" fillId="22" borderId="1" xfId="0" applyFill="1" applyBorder="1" applyAlignment="1">
      <alignment horizontal="center" vertical="center"/>
    </xf>
    <xf numFmtId="44" fontId="2" fillId="26" borderId="1" xfId="0" applyNumberFormat="1" applyFont="1" applyFill="1" applyBorder="1" applyAlignment="1">
      <alignment vertical="center"/>
    </xf>
    <xf numFmtId="44" fontId="2" fillId="22" borderId="4" xfId="0" applyNumberFormat="1" applyFont="1" applyFill="1" applyBorder="1" applyAlignment="1">
      <alignment vertical="center"/>
    </xf>
    <xf numFmtId="44" fontId="2" fillId="22" borderId="7" xfId="0" applyNumberFormat="1" applyFont="1" applyFill="1" applyBorder="1" applyAlignment="1">
      <alignment vertical="center"/>
    </xf>
    <xf numFmtId="44" fontId="7" fillId="3" borderId="4" xfId="0" applyNumberFormat="1" applyFont="1" applyFill="1" applyBorder="1" applyAlignment="1">
      <alignment vertical="center"/>
    </xf>
    <xf numFmtId="44" fontId="7" fillId="32" borderId="4" xfId="0" applyNumberFormat="1" applyFont="1" applyFill="1" applyBorder="1" applyAlignment="1">
      <alignment vertical="center"/>
    </xf>
    <xf numFmtId="44" fontId="0" fillId="32" borderId="0" xfId="0" applyNumberFormat="1" applyFill="1" applyAlignment="1">
      <alignment vertical="center"/>
    </xf>
    <xf numFmtId="44" fontId="7" fillId="23" borderId="4" xfId="0" applyNumberFormat="1" applyFont="1" applyFill="1" applyBorder="1" applyAlignment="1">
      <alignment vertical="center"/>
    </xf>
    <xf numFmtId="44" fontId="7" fillId="23" borderId="7" xfId="0" applyNumberFormat="1" applyFont="1" applyFill="1" applyBorder="1" applyAlignment="1">
      <alignment vertical="center"/>
    </xf>
    <xf numFmtId="10" fontId="0" fillId="20" borderId="56" xfId="0" applyNumberFormat="1" applyFill="1" applyBorder="1" applyAlignment="1">
      <alignment vertical="center"/>
    </xf>
    <xf numFmtId="2" fontId="0" fillId="0" borderId="56" xfId="0" applyNumberFormat="1" applyBorder="1" applyAlignment="1">
      <alignment vertical="center"/>
    </xf>
    <xf numFmtId="0" fontId="2" fillId="0" borderId="0" xfId="0" applyFont="1" applyAlignment="1">
      <alignment horizontal="right" vertical="center"/>
    </xf>
    <xf numFmtId="0" fontId="2" fillId="0" borderId="0" xfId="0" quotePrefix="1" applyFont="1" applyAlignment="1">
      <alignment horizontal="right" vertical="center"/>
    </xf>
    <xf numFmtId="0" fontId="0" fillId="0" borderId="0" xfId="0" quotePrefix="1" applyAlignment="1">
      <alignment horizontal="right" vertical="center"/>
    </xf>
    <xf numFmtId="169" fontId="0" fillId="0" borderId="5" xfId="0" applyNumberFormat="1" applyBorder="1" applyAlignment="1">
      <alignment vertical="center"/>
    </xf>
    <xf numFmtId="169" fontId="2" fillId="10" borderId="56" xfId="0" applyNumberFormat="1" applyFont="1" applyFill="1" applyBorder="1" applyAlignment="1">
      <alignment vertical="center"/>
    </xf>
    <xf numFmtId="169" fontId="2" fillId="10" borderId="6" xfId="0" applyNumberFormat="1" applyFont="1" applyFill="1" applyBorder="1" applyAlignment="1">
      <alignment vertical="center"/>
    </xf>
    <xf numFmtId="44" fontId="2" fillId="10" borderId="11" xfId="0" applyNumberFormat="1" applyFont="1" applyFill="1" applyBorder="1" applyAlignment="1">
      <alignment vertical="center"/>
    </xf>
    <xf numFmtId="0" fontId="2" fillId="10" borderId="55" xfId="0" applyFont="1" applyFill="1" applyBorder="1" applyAlignment="1">
      <alignment vertical="center"/>
    </xf>
    <xf numFmtId="0" fontId="0" fillId="0" borderId="55" xfId="0" quotePrefix="1" applyBorder="1" applyAlignment="1">
      <alignment vertical="center"/>
    </xf>
    <xf numFmtId="0" fontId="2" fillId="3" borderId="0" xfId="0" applyFont="1" applyFill="1" applyAlignment="1">
      <alignment vertical="center"/>
    </xf>
    <xf numFmtId="0" fontId="0" fillId="3" borderId="0" xfId="0" applyFill="1" applyAlignment="1">
      <alignment vertical="center"/>
    </xf>
    <xf numFmtId="0" fontId="17" fillId="3" borderId="0" xfId="0" applyFont="1" applyFill="1" applyAlignment="1">
      <alignment vertical="center"/>
    </xf>
    <xf numFmtId="0" fontId="42" fillId="3" borderId="0" xfId="0" applyFont="1" applyFill="1" applyAlignment="1">
      <alignment horizontal="right" vertical="center"/>
    </xf>
    <xf numFmtId="0" fontId="42" fillId="3" borderId="0" xfId="0" applyFont="1" applyFill="1" applyAlignment="1">
      <alignment vertical="center"/>
    </xf>
    <xf numFmtId="0" fontId="10" fillId="3" borderId="0" xfId="0" applyFont="1" applyFill="1" applyAlignment="1">
      <alignment vertical="center"/>
    </xf>
    <xf numFmtId="0" fontId="46" fillId="3" borderId="0" xfId="0" applyFont="1" applyFill="1" applyAlignment="1">
      <alignment vertical="center"/>
    </xf>
    <xf numFmtId="0" fontId="25" fillId="3" borderId="0" xfId="0" applyFont="1" applyFill="1" applyAlignment="1">
      <alignment vertical="center"/>
    </xf>
    <xf numFmtId="0" fontId="4" fillId="3" borderId="0" xfId="0" applyFont="1" applyFill="1" applyAlignment="1">
      <alignment vertical="center"/>
    </xf>
    <xf numFmtId="0" fontId="25" fillId="3" borderId="0" xfId="0" applyFont="1" applyFill="1" applyAlignment="1">
      <alignment horizontal="right" vertical="center"/>
    </xf>
    <xf numFmtId="0" fontId="0" fillId="3" borderId="0" xfId="0" applyFill="1"/>
    <xf numFmtId="0" fontId="4" fillId="3" borderId="0" xfId="0" applyFont="1" applyFill="1" applyAlignment="1">
      <alignment horizontal="center" vertical="center"/>
    </xf>
    <xf numFmtId="0" fontId="0" fillId="20" borderId="9" xfId="0" applyFill="1" applyBorder="1" applyAlignment="1">
      <alignment vertical="center"/>
    </xf>
    <xf numFmtId="44" fontId="0" fillId="20" borderId="9" xfId="0" applyNumberFormat="1" applyFill="1" applyBorder="1" applyAlignment="1">
      <alignment vertical="center"/>
    </xf>
    <xf numFmtId="44" fontId="0" fillId="20" borderId="4" xfId="0" applyNumberFormat="1" applyFill="1" applyBorder="1" applyAlignment="1">
      <alignment vertical="center"/>
    </xf>
    <xf numFmtId="44" fontId="0" fillId="20" borderId="7" xfId="0" applyNumberFormat="1" applyFill="1" applyBorder="1" applyAlignment="1">
      <alignment vertical="center"/>
    </xf>
    <xf numFmtId="0" fontId="53" fillId="0" borderId="0" xfId="0" applyFont="1" applyAlignment="1">
      <alignment horizontal="center" vertical="center"/>
    </xf>
    <xf numFmtId="169" fontId="52" fillId="0" borderId="0" xfId="0" applyNumberFormat="1" applyFont="1" applyAlignment="1">
      <alignment vertical="center"/>
    </xf>
    <xf numFmtId="169" fontId="16" fillId="0" borderId="0" xfId="0" applyNumberFormat="1" applyFont="1" applyAlignment="1">
      <alignment vertical="center"/>
    </xf>
    <xf numFmtId="44" fontId="52" fillId="0" borderId="0" xfId="0" applyNumberFormat="1" applyFont="1" applyAlignment="1">
      <alignment vertical="center"/>
    </xf>
    <xf numFmtId="0" fontId="0" fillId="0" borderId="0" xfId="0" applyAlignment="1">
      <alignment horizontal="right"/>
    </xf>
    <xf numFmtId="0" fontId="0" fillId="0" borderId="11" xfId="0" applyBorder="1"/>
    <xf numFmtId="49" fontId="0" fillId="0" borderId="55" xfId="0" applyNumberFormat="1" applyBorder="1"/>
    <xf numFmtId="49" fontId="0" fillId="0" borderId="12" xfId="0" applyNumberFormat="1" applyBorder="1"/>
    <xf numFmtId="10" fontId="0" fillId="0" borderId="19" xfId="0" applyNumberFormat="1" applyBorder="1"/>
    <xf numFmtId="10" fontId="0" fillId="0" borderId="11" xfId="0" applyNumberFormat="1" applyBorder="1"/>
    <xf numFmtId="49" fontId="0" fillId="0" borderId="13" xfId="0" applyNumberFormat="1" applyBorder="1"/>
    <xf numFmtId="0" fontId="0" fillId="0" borderId="16" xfId="0" applyBorder="1"/>
    <xf numFmtId="10" fontId="0" fillId="0" borderId="13" xfId="0" applyNumberFormat="1" applyBorder="1"/>
    <xf numFmtId="10" fontId="0" fillId="0" borderId="3" xfId="0" applyNumberFormat="1" applyBorder="1"/>
    <xf numFmtId="10" fontId="0" fillId="0" borderId="16" xfId="0" applyNumberFormat="1" applyBorder="1"/>
    <xf numFmtId="0" fontId="0" fillId="0" borderId="55" xfId="0" applyBorder="1" applyAlignment="1">
      <alignment horizontal="right"/>
    </xf>
    <xf numFmtId="10" fontId="0" fillId="0" borderId="12" xfId="0" applyNumberFormat="1" applyBorder="1"/>
    <xf numFmtId="0" fontId="3" fillId="3" borderId="0" xfId="0" applyFont="1" applyFill="1"/>
    <xf numFmtId="49" fontId="1" fillId="19" borderId="9" xfId="0" applyNumberFormat="1" applyFont="1" applyFill="1" applyBorder="1"/>
    <xf numFmtId="0" fontId="1" fillId="19" borderId="7" xfId="0" applyFont="1" applyFill="1" applyBorder="1"/>
    <xf numFmtId="0" fontId="1" fillId="19" borderId="4" xfId="0" applyFont="1" applyFill="1" applyBorder="1" applyAlignment="1">
      <alignment horizontal="center"/>
    </xf>
    <xf numFmtId="0" fontId="1" fillId="19" borderId="7" xfId="0" applyFont="1" applyFill="1" applyBorder="1" applyAlignment="1">
      <alignment horizontal="center"/>
    </xf>
    <xf numFmtId="0" fontId="1" fillId="19" borderId="1" xfId="0" applyFont="1" applyFill="1" applyBorder="1"/>
    <xf numFmtId="0" fontId="54" fillId="0" borderId="0" xfId="2"/>
    <xf numFmtId="0" fontId="0" fillId="0" borderId="13" xfId="0" applyBorder="1"/>
    <xf numFmtId="0" fontId="0" fillId="0" borderId="3" xfId="0" applyBorder="1"/>
    <xf numFmtId="0" fontId="2" fillId="19" borderId="55" xfId="0" applyFont="1" applyFill="1" applyBorder="1"/>
    <xf numFmtId="0" fontId="0" fillId="19" borderId="0" xfId="0" applyFill="1"/>
    <xf numFmtId="0" fontId="2" fillId="19" borderId="12" xfId="0" applyFont="1" applyFill="1" applyBorder="1"/>
    <xf numFmtId="0" fontId="0" fillId="19" borderId="19" xfId="0" applyFill="1" applyBorder="1"/>
    <xf numFmtId="44" fontId="0" fillId="0" borderId="5" xfId="0" applyNumberFormat="1" applyBorder="1"/>
    <xf numFmtId="10" fontId="52" fillId="0" borderId="0" xfId="0" applyNumberFormat="1" applyFont="1" applyAlignment="1">
      <alignment vertical="center"/>
    </xf>
    <xf numFmtId="0" fontId="52" fillId="0" borderId="0" xfId="0" applyFont="1" applyAlignment="1">
      <alignment vertical="center"/>
    </xf>
    <xf numFmtId="44" fontId="2" fillId="19" borderId="56" xfId="0" applyNumberFormat="1" applyFont="1" applyFill="1" applyBorder="1"/>
    <xf numFmtId="44" fontId="2" fillId="19" borderId="6" xfId="0" applyNumberFormat="1" applyFont="1" applyFill="1" applyBorder="1"/>
    <xf numFmtId="0" fontId="0" fillId="0" borderId="0" xfId="0" applyAlignment="1">
      <alignment horizontal="center"/>
    </xf>
    <xf numFmtId="44" fontId="0" fillId="0" borderId="0" xfId="0" applyNumberFormat="1" applyAlignment="1">
      <alignment horizontal="right"/>
    </xf>
    <xf numFmtId="0" fontId="4" fillId="28" borderId="0" xfId="0" applyFont="1" applyFill="1" applyAlignment="1">
      <alignment horizontal="right" vertical="center"/>
    </xf>
    <xf numFmtId="0" fontId="55" fillId="3" borderId="0" xfId="0" applyFont="1" applyFill="1" applyAlignment="1">
      <alignment vertical="center"/>
    </xf>
    <xf numFmtId="0" fontId="55" fillId="3" borderId="0" xfId="0" applyFont="1" applyFill="1" applyAlignment="1">
      <alignment horizontal="right" vertical="center"/>
    </xf>
    <xf numFmtId="0" fontId="10" fillId="10" borderId="0" xfId="0" applyFont="1" applyFill="1" applyAlignment="1">
      <alignment vertical="center"/>
    </xf>
    <xf numFmtId="0" fontId="0" fillId="10" borderId="0" xfId="0" applyFill="1" applyAlignment="1">
      <alignment vertical="center"/>
    </xf>
    <xf numFmtId="0" fontId="42" fillId="10" borderId="0" xfId="0" applyFont="1" applyFill="1" applyAlignment="1">
      <alignment vertical="center"/>
    </xf>
    <xf numFmtId="0" fontId="0" fillId="10" borderId="0" xfId="0" applyFill="1" applyAlignment="1">
      <alignment horizontal="right" vertical="center"/>
    </xf>
    <xf numFmtId="0" fontId="0" fillId="0" borderId="56" xfId="0" applyBorder="1" applyAlignment="1">
      <alignment horizontal="center"/>
    </xf>
    <xf numFmtId="0" fontId="0" fillId="0" borderId="0" xfId="0" applyAlignment="1">
      <alignment horizontal="left"/>
    </xf>
    <xf numFmtId="10" fontId="0" fillId="0" borderId="5" xfId="0" applyNumberFormat="1" applyBorder="1" applyAlignment="1">
      <alignment vertical="center"/>
    </xf>
    <xf numFmtId="0" fontId="3" fillId="0" borderId="0" xfId="0"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vertical="center"/>
    </xf>
    <xf numFmtId="0" fontId="0" fillId="0" borderId="0" xfId="0" quotePrefix="1" applyAlignment="1">
      <alignment horizontal="left" vertical="center"/>
    </xf>
    <xf numFmtId="0" fontId="0" fillId="0" borderId="0" xfId="0" applyAlignment="1">
      <alignment horizontal="left" vertical="center"/>
    </xf>
    <xf numFmtId="0" fontId="2" fillId="20" borderId="10" xfId="0" applyFont="1" applyFill="1" applyBorder="1" applyAlignment="1">
      <alignment horizontal="center" vertical="center"/>
    </xf>
    <xf numFmtId="0" fontId="2" fillId="20" borderId="54" xfId="0" applyFont="1" applyFill="1" applyBorder="1" applyAlignment="1">
      <alignment horizontal="center" vertical="center"/>
    </xf>
    <xf numFmtId="0" fontId="2" fillId="19" borderId="9" xfId="0" applyFont="1" applyFill="1" applyBorder="1" applyAlignment="1">
      <alignment horizontal="center" vertical="center"/>
    </xf>
    <xf numFmtId="0" fontId="2" fillId="19" borderId="7" xfId="0" applyFont="1" applyFill="1" applyBorder="1" applyAlignment="1">
      <alignment horizontal="center" vertical="center"/>
    </xf>
    <xf numFmtId="0" fontId="0" fillId="0" borderId="0" xfId="0" applyAlignment="1">
      <alignment horizontal="left" vertical="top" wrapText="1"/>
    </xf>
    <xf numFmtId="0" fontId="2" fillId="0" borderId="10" xfId="0" applyFont="1" applyBorder="1" applyAlignment="1">
      <alignment horizontal="left" vertical="center"/>
    </xf>
    <xf numFmtId="0" fontId="2" fillId="0" borderId="54" xfId="0" applyFont="1" applyBorder="1" applyAlignment="1">
      <alignment horizontal="left" vertical="center"/>
    </xf>
    <xf numFmtId="0" fontId="1" fillId="19" borderId="13" xfId="0" applyFont="1" applyFill="1" applyBorder="1" applyAlignment="1">
      <alignment horizontal="center" vertical="center"/>
    </xf>
    <xf numFmtId="0" fontId="1" fillId="19" borderId="16" xfId="0" applyFont="1" applyFill="1" applyBorder="1" applyAlignment="1">
      <alignment horizontal="center" vertical="center"/>
    </xf>
    <xf numFmtId="0" fontId="1" fillId="19" borderId="12" xfId="0" applyFont="1" applyFill="1" applyBorder="1" applyAlignment="1">
      <alignment horizontal="center" vertical="center"/>
    </xf>
    <xf numFmtId="0" fontId="1" fillId="19" borderId="11" xfId="0" applyFont="1" applyFill="1" applyBorder="1" applyAlignment="1">
      <alignment horizontal="center" vertical="center"/>
    </xf>
    <xf numFmtId="0" fontId="0" fillId="19" borderId="3" xfId="0" applyFill="1" applyBorder="1" applyAlignment="1">
      <alignment horizontal="center" vertical="center"/>
    </xf>
    <xf numFmtId="0" fontId="0" fillId="19" borderId="16" xfId="0" applyFill="1" applyBorder="1" applyAlignment="1">
      <alignment horizontal="center" vertical="center"/>
    </xf>
    <xf numFmtId="0" fontId="2" fillId="0" borderId="13" xfId="0" applyFont="1" applyBorder="1" applyAlignment="1">
      <alignment horizontal="left" vertical="center"/>
    </xf>
    <xf numFmtId="0" fontId="2" fillId="0" borderId="16" xfId="0" applyFont="1" applyBorder="1" applyAlignment="1">
      <alignment horizontal="left" vertical="center"/>
    </xf>
    <xf numFmtId="0" fontId="7" fillId="0" borderId="0" xfId="0" applyFont="1" applyAlignment="1">
      <alignment horizontal="left" vertical="top" wrapText="1"/>
    </xf>
    <xf numFmtId="0" fontId="2" fillId="0" borderId="3" xfId="0" applyFont="1" applyBorder="1" applyAlignment="1">
      <alignment horizontal="center" vertical="center"/>
    </xf>
    <xf numFmtId="0" fontId="2" fillId="0" borderId="16" xfId="0" applyFon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2" fillId="0" borderId="13" xfId="0" applyFont="1" applyBorder="1" applyAlignment="1">
      <alignment horizontal="center" vertical="center"/>
    </xf>
    <xf numFmtId="0" fontId="0" fillId="0" borderId="56" xfId="0" applyBorder="1" applyAlignment="1">
      <alignment horizontal="center" vertical="center"/>
    </xf>
    <xf numFmtId="0" fontId="0" fillId="0" borderId="13" xfId="0" applyBorder="1" applyAlignment="1">
      <alignment horizontal="center"/>
    </xf>
    <xf numFmtId="0" fontId="0" fillId="0" borderId="3" xfId="0"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2" fillId="0" borderId="7" xfId="0" applyFont="1" applyBorder="1" applyAlignment="1">
      <alignment horizontal="center"/>
    </xf>
    <xf numFmtId="0" fontId="1" fillId="22" borderId="9" xfId="0" applyFont="1" applyFill="1" applyBorder="1" applyAlignment="1">
      <alignment horizontal="left" vertical="center"/>
    </xf>
    <xf numFmtId="0" fontId="1" fillId="22" borderId="4" xfId="0" applyFont="1" applyFill="1" applyBorder="1" applyAlignment="1">
      <alignment horizontal="left" vertical="center"/>
    </xf>
    <xf numFmtId="0" fontId="0" fillId="20" borderId="10" xfId="0" applyFill="1" applyBorder="1" applyAlignment="1">
      <alignment horizontal="left" vertical="center"/>
    </xf>
    <xf numFmtId="0" fontId="0" fillId="20" borderId="0" xfId="0" applyFill="1" applyAlignment="1">
      <alignment horizontal="left" vertical="center"/>
    </xf>
    <xf numFmtId="0" fontId="0" fillId="20" borderId="12" xfId="0" applyFill="1" applyBorder="1" applyAlignment="1">
      <alignment horizontal="left" vertical="center"/>
    </xf>
    <xf numFmtId="0" fontId="0" fillId="20" borderId="19" xfId="0" applyFill="1" applyBorder="1" applyAlignment="1">
      <alignment horizontal="left" vertical="center"/>
    </xf>
    <xf numFmtId="0" fontId="2" fillId="10" borderId="13"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16"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19" xfId="0" applyFont="1" applyFill="1" applyBorder="1" applyAlignment="1">
      <alignment horizontal="center" vertical="center"/>
    </xf>
    <xf numFmtId="0" fontId="2" fillId="10" borderId="11" xfId="0" applyFont="1" applyFill="1" applyBorder="1" applyAlignment="1">
      <alignment horizontal="center" vertical="center"/>
    </xf>
    <xf numFmtId="0" fontId="13" fillId="10" borderId="13" xfId="0" applyFont="1" applyFill="1" applyBorder="1" applyAlignment="1">
      <alignment horizontal="center" vertical="center"/>
    </xf>
    <xf numFmtId="0" fontId="13" fillId="10" borderId="16" xfId="0" applyFont="1" applyFill="1" applyBorder="1" applyAlignment="1">
      <alignment horizontal="center" vertical="center"/>
    </xf>
    <xf numFmtId="0" fontId="0" fillId="0" borderId="10" xfId="0" applyBorder="1" applyAlignment="1">
      <alignment horizontal="left" vertical="center"/>
    </xf>
    <xf numFmtId="0" fontId="0" fillId="0" borderId="54" xfId="0" applyBorder="1" applyAlignment="1">
      <alignment horizontal="left" vertical="center"/>
    </xf>
    <xf numFmtId="0" fontId="0" fillId="0" borderId="10" xfId="0" quotePrefix="1" applyBorder="1" applyAlignment="1">
      <alignment horizontal="left" vertical="center"/>
    </xf>
    <xf numFmtId="0" fontId="0" fillId="0" borderId="54" xfId="0" quotePrefix="1" applyBorder="1" applyAlignment="1">
      <alignment horizontal="left" vertical="center"/>
    </xf>
    <xf numFmtId="0" fontId="2" fillId="19" borderId="12" xfId="0" applyFont="1" applyFill="1" applyBorder="1" applyAlignment="1">
      <alignment horizontal="left" vertical="center"/>
    </xf>
    <xf numFmtId="0" fontId="2" fillId="19" borderId="19" xfId="0" applyFont="1" applyFill="1" applyBorder="1" applyAlignment="1">
      <alignment horizontal="left" vertical="center"/>
    </xf>
    <xf numFmtId="0" fontId="2" fillId="19" borderId="11" xfId="0" applyFont="1" applyFill="1" applyBorder="1" applyAlignment="1">
      <alignment horizontal="left" vertical="center"/>
    </xf>
    <xf numFmtId="44" fontId="1" fillId="22" borderId="13" xfId="0" applyNumberFormat="1" applyFont="1" applyFill="1" applyBorder="1" applyAlignment="1">
      <alignment horizontal="left" vertical="center"/>
    </xf>
    <xf numFmtId="44" fontId="1" fillId="22" borderId="3" xfId="0" applyNumberFormat="1" applyFont="1" applyFill="1" applyBorder="1" applyAlignment="1">
      <alignment horizontal="left" vertical="center"/>
    </xf>
    <xf numFmtId="44" fontId="1" fillId="22" borderId="16" xfId="0" applyNumberFormat="1" applyFont="1" applyFill="1" applyBorder="1" applyAlignment="1">
      <alignment horizontal="left" vertical="center"/>
    </xf>
    <xf numFmtId="0" fontId="1" fillId="10" borderId="13" xfId="0" applyFont="1" applyFill="1" applyBorder="1" applyAlignment="1">
      <alignment horizontal="center" vertical="center"/>
    </xf>
    <xf numFmtId="0" fontId="1" fillId="10" borderId="3" xfId="0" applyFont="1" applyFill="1" applyBorder="1" applyAlignment="1">
      <alignment horizontal="center" vertical="center"/>
    </xf>
    <xf numFmtId="0" fontId="1" fillId="10" borderId="16" xfId="0" applyFont="1" applyFill="1" applyBorder="1" applyAlignment="1">
      <alignment horizontal="center" vertical="center"/>
    </xf>
    <xf numFmtId="0" fontId="1" fillId="10" borderId="10" xfId="0" applyFont="1" applyFill="1" applyBorder="1" applyAlignment="1">
      <alignment horizontal="center" vertical="center"/>
    </xf>
    <xf numFmtId="0" fontId="1" fillId="10" borderId="0" xfId="0" applyFont="1" applyFill="1" applyAlignment="1">
      <alignment horizontal="center" vertical="center"/>
    </xf>
    <xf numFmtId="0" fontId="1" fillId="10" borderId="54" xfId="0" applyFont="1" applyFill="1" applyBorder="1" applyAlignment="1">
      <alignment horizontal="center" vertical="center"/>
    </xf>
    <xf numFmtId="0" fontId="7" fillId="20" borderId="9" xfId="0" applyFont="1" applyFill="1" applyBorder="1" applyAlignment="1">
      <alignment horizontal="center" vertical="center"/>
    </xf>
    <xf numFmtId="0" fontId="7" fillId="20" borderId="4" xfId="0" applyFont="1" applyFill="1" applyBorder="1" applyAlignment="1">
      <alignment horizontal="center" vertical="center"/>
    </xf>
    <xf numFmtId="0" fontId="7" fillId="20" borderId="7" xfId="0" applyFont="1" applyFill="1" applyBorder="1" applyAlignment="1">
      <alignment horizontal="center" vertical="center"/>
    </xf>
    <xf numFmtId="0" fontId="3" fillId="20" borderId="20" xfId="0" applyFont="1" applyFill="1" applyBorder="1" applyAlignment="1">
      <alignment horizontal="center" vertical="center"/>
    </xf>
    <xf numFmtId="0" fontId="3" fillId="20" borderId="30" xfId="0" applyFont="1" applyFill="1" applyBorder="1" applyAlignment="1">
      <alignment horizontal="center" vertical="center"/>
    </xf>
    <xf numFmtId="0" fontId="3" fillId="20" borderId="21" xfId="0" applyFont="1" applyFill="1" applyBorder="1" applyAlignment="1">
      <alignment horizontal="center" vertical="center"/>
    </xf>
    <xf numFmtId="0" fontId="3" fillId="20" borderId="25" xfId="0" applyFont="1" applyFill="1" applyBorder="1" applyAlignment="1">
      <alignment horizontal="center" vertical="center"/>
    </xf>
    <xf numFmtId="0" fontId="3" fillId="20" borderId="31" xfId="0" applyFont="1" applyFill="1" applyBorder="1" applyAlignment="1">
      <alignment horizontal="center" vertical="center"/>
    </xf>
    <xf numFmtId="0" fontId="3" fillId="20" borderId="26" xfId="0" applyFont="1" applyFill="1" applyBorder="1" applyAlignment="1">
      <alignment horizontal="center" vertical="center"/>
    </xf>
    <xf numFmtId="165" fontId="8" fillId="20" borderId="10" xfId="0" applyNumberFormat="1" applyFont="1" applyFill="1" applyBorder="1" applyAlignment="1">
      <alignment horizontal="left" vertical="top" wrapText="1"/>
    </xf>
    <xf numFmtId="165" fontId="8" fillId="20" borderId="54" xfId="0" applyNumberFormat="1" applyFont="1" applyFill="1" applyBorder="1" applyAlignment="1">
      <alignment horizontal="left" vertical="top" wrapText="1"/>
    </xf>
    <xf numFmtId="165" fontId="5" fillId="0" borderId="10" xfId="0" applyNumberFormat="1" applyFont="1" applyBorder="1" applyAlignment="1">
      <alignment horizontal="left" vertical="top" wrapText="1"/>
    </xf>
    <xf numFmtId="165" fontId="5" fillId="0" borderId="54" xfId="0" applyNumberFormat="1" applyFont="1" applyBorder="1" applyAlignment="1">
      <alignment horizontal="left" vertical="top" wrapText="1"/>
    </xf>
    <xf numFmtId="165" fontId="5" fillId="0" borderId="12" xfId="0" applyNumberFormat="1" applyFont="1" applyBorder="1" applyAlignment="1">
      <alignment horizontal="left" vertical="top" wrapText="1"/>
    </xf>
    <xf numFmtId="165" fontId="5" fillId="0" borderId="11" xfId="0" applyNumberFormat="1" applyFont="1" applyBorder="1" applyAlignment="1">
      <alignment horizontal="left" vertical="top" wrapText="1"/>
    </xf>
    <xf numFmtId="0" fontId="1" fillId="20" borderId="13" xfId="0" applyFont="1" applyFill="1" applyBorder="1" applyAlignment="1">
      <alignment horizontal="center" vertical="center"/>
    </xf>
    <xf numFmtId="0" fontId="1" fillId="20" borderId="3" xfId="0" applyFont="1" applyFill="1" applyBorder="1" applyAlignment="1">
      <alignment horizontal="center" vertical="center"/>
    </xf>
    <xf numFmtId="0" fontId="1" fillId="20" borderId="16" xfId="0" applyFont="1" applyFill="1" applyBorder="1" applyAlignment="1">
      <alignment horizontal="center" vertical="center"/>
    </xf>
    <xf numFmtId="0" fontId="1" fillId="20" borderId="12" xfId="0" applyFont="1" applyFill="1" applyBorder="1" applyAlignment="1">
      <alignment horizontal="center" vertical="center"/>
    </xf>
    <xf numFmtId="0" fontId="1" fillId="20" borderId="19" xfId="0" applyFont="1" applyFill="1" applyBorder="1" applyAlignment="1">
      <alignment horizontal="center" vertical="center"/>
    </xf>
    <xf numFmtId="0" fontId="1" fillId="20" borderId="11" xfId="0" applyFont="1" applyFill="1" applyBorder="1" applyAlignment="1">
      <alignment horizontal="center" vertical="center"/>
    </xf>
    <xf numFmtId="0" fontId="3" fillId="0" borderId="20" xfId="0" applyFont="1" applyBorder="1" applyAlignment="1">
      <alignment horizontal="center" vertical="center"/>
    </xf>
    <xf numFmtId="0" fontId="3" fillId="0" borderId="30" xfId="0" applyFont="1" applyBorder="1" applyAlignment="1">
      <alignment horizontal="center" vertical="center"/>
    </xf>
    <xf numFmtId="0" fontId="3" fillId="0" borderId="21" xfId="0" applyFont="1" applyBorder="1" applyAlignment="1">
      <alignment horizontal="center" vertical="center"/>
    </xf>
    <xf numFmtId="0" fontId="3" fillId="0" borderId="25" xfId="0" applyFont="1" applyBorder="1" applyAlignment="1">
      <alignment horizontal="center" vertical="center"/>
    </xf>
    <xf numFmtId="0" fontId="3" fillId="0" borderId="31" xfId="0" applyFont="1" applyBorder="1" applyAlignment="1">
      <alignment horizontal="center" vertical="center"/>
    </xf>
    <xf numFmtId="0" fontId="3" fillId="0" borderId="26" xfId="0" applyFont="1" applyBorder="1" applyAlignment="1">
      <alignment horizontal="center" vertical="center"/>
    </xf>
    <xf numFmtId="44" fontId="7" fillId="0" borderId="19" xfId="0" applyNumberFormat="1" applyFont="1" applyBorder="1" applyAlignment="1">
      <alignment horizontal="center" vertical="center"/>
    </xf>
    <xf numFmtId="165" fontId="5" fillId="0" borderId="9" xfId="0" applyNumberFormat="1" applyFont="1" applyBorder="1" applyAlignment="1">
      <alignment horizontal="left" vertical="top" wrapText="1"/>
    </xf>
    <xf numFmtId="165" fontId="5" fillId="0" borderId="7" xfId="0" applyNumberFormat="1" applyFont="1" applyBorder="1" applyAlignment="1">
      <alignment horizontal="left" vertical="top" wrapText="1"/>
    </xf>
    <xf numFmtId="0" fontId="4" fillId="0" borderId="0" xfId="0" applyFont="1" applyAlignment="1">
      <alignment horizontal="left" vertical="top" wrapText="1"/>
    </xf>
    <xf numFmtId="165" fontId="47" fillId="22" borderId="9" xfId="0" applyNumberFormat="1" applyFont="1" applyFill="1" applyBorder="1" applyAlignment="1">
      <alignment horizontal="left" vertical="center"/>
    </xf>
    <xf numFmtId="165" fontId="47" fillId="22" borderId="7" xfId="0" applyNumberFormat="1" applyFont="1" applyFill="1" applyBorder="1" applyAlignment="1">
      <alignment horizontal="left" vertical="center"/>
    </xf>
    <xf numFmtId="165" fontId="8" fillId="19" borderId="9" xfId="0" applyNumberFormat="1" applyFont="1" applyFill="1" applyBorder="1" applyAlignment="1">
      <alignment horizontal="left" vertical="top" wrapText="1"/>
    </xf>
    <xf numFmtId="165" fontId="8" fillId="19" borderId="7" xfId="0" applyNumberFormat="1" applyFont="1" applyFill="1" applyBorder="1" applyAlignment="1">
      <alignment horizontal="left" vertical="top" wrapText="1"/>
    </xf>
    <xf numFmtId="0" fontId="2" fillId="0" borderId="0" xfId="0" applyFont="1" applyAlignment="1">
      <alignment horizontal="left" vertical="center"/>
    </xf>
    <xf numFmtId="0" fontId="2" fillId="22" borderId="55" xfId="0" applyFont="1" applyFill="1" applyBorder="1" applyAlignment="1">
      <alignment horizontal="center" vertical="center"/>
    </xf>
    <xf numFmtId="0" fontId="2" fillId="22" borderId="54" xfId="0" applyFont="1" applyFill="1" applyBorder="1" applyAlignment="1">
      <alignment horizontal="center" vertical="center"/>
    </xf>
    <xf numFmtId="0" fontId="2" fillId="20" borderId="56" xfId="0" applyFont="1" applyFill="1" applyBorder="1" applyAlignment="1">
      <alignment horizontal="center" vertical="center" wrapText="1"/>
    </xf>
    <xf numFmtId="44" fontId="0" fillId="0" borderId="0" xfId="0" applyNumberFormat="1" applyAlignment="1">
      <alignment horizontal="left" vertical="top" wrapText="1"/>
    </xf>
    <xf numFmtId="0" fontId="13" fillId="0" borderId="9" xfId="0" applyFont="1" applyBorder="1" applyAlignment="1">
      <alignment horizontal="center"/>
    </xf>
    <xf numFmtId="0" fontId="13" fillId="0" borderId="4" xfId="0" applyFont="1" applyBorder="1" applyAlignment="1">
      <alignment horizontal="center"/>
    </xf>
    <xf numFmtId="0" fontId="13" fillId="0" borderId="7" xfId="0" applyFont="1" applyBorder="1" applyAlignment="1">
      <alignment horizontal="center"/>
    </xf>
    <xf numFmtId="0" fontId="2" fillId="0" borderId="1" xfId="0" applyFont="1" applyBorder="1" applyAlignment="1">
      <alignment horizontal="center" vertical="center"/>
    </xf>
    <xf numFmtId="0" fontId="17" fillId="20" borderId="13" xfId="0" applyFont="1" applyFill="1" applyBorder="1" applyAlignment="1">
      <alignment horizontal="center" vertical="center"/>
    </xf>
    <xf numFmtId="0" fontId="17" fillId="20" borderId="3" xfId="0" applyFont="1" applyFill="1" applyBorder="1" applyAlignment="1">
      <alignment horizontal="center" vertical="center"/>
    </xf>
    <xf numFmtId="0" fontId="17" fillId="20" borderId="16" xfId="0" applyFont="1" applyFill="1" applyBorder="1" applyAlignment="1">
      <alignment horizontal="center" vertical="center"/>
    </xf>
    <xf numFmtId="0" fontId="17" fillId="20" borderId="12" xfId="0" applyFont="1" applyFill="1" applyBorder="1" applyAlignment="1">
      <alignment horizontal="center" vertical="center"/>
    </xf>
    <xf numFmtId="0" fontId="17" fillId="20" borderId="19" xfId="0" applyFont="1" applyFill="1" applyBorder="1" applyAlignment="1">
      <alignment horizontal="center" vertical="center"/>
    </xf>
    <xf numFmtId="0" fontId="17" fillId="20" borderId="11" xfId="0" applyFont="1" applyFill="1" applyBorder="1" applyAlignment="1">
      <alignment horizontal="center" vertical="center"/>
    </xf>
    <xf numFmtId="0" fontId="26" fillId="20" borderId="9" xfId="0" applyFont="1" applyFill="1" applyBorder="1" applyAlignment="1">
      <alignment horizontal="center"/>
    </xf>
    <xf numFmtId="0" fontId="26" fillId="20" borderId="4" xfId="0" applyFont="1" applyFill="1" applyBorder="1" applyAlignment="1">
      <alignment horizontal="center"/>
    </xf>
    <xf numFmtId="0" fontId="26" fillId="20" borderId="7" xfId="0" applyFont="1" applyFill="1" applyBorder="1" applyAlignment="1">
      <alignment horizontal="center"/>
    </xf>
    <xf numFmtId="0" fontId="0" fillId="0" borderId="13" xfId="0" applyBorder="1" applyAlignment="1">
      <alignment horizontal="left" vertical="top" wrapText="1"/>
    </xf>
    <xf numFmtId="0" fontId="0" fillId="0" borderId="3" xfId="0" applyBorder="1" applyAlignment="1">
      <alignment horizontal="left" vertical="top"/>
    </xf>
    <xf numFmtId="0" fontId="0" fillId="0" borderId="16" xfId="0" applyBorder="1" applyAlignment="1">
      <alignment horizontal="left" vertical="top"/>
    </xf>
    <xf numFmtId="0" fontId="0" fillId="0" borderId="10" xfId="0" applyBorder="1" applyAlignment="1">
      <alignment horizontal="left" vertical="top"/>
    </xf>
    <xf numFmtId="0" fontId="0" fillId="0" borderId="0" xfId="0" applyAlignment="1">
      <alignment horizontal="left" vertical="top"/>
    </xf>
    <xf numFmtId="0" fontId="0" fillId="0" borderId="54" xfId="0" applyBorder="1" applyAlignment="1">
      <alignment horizontal="left" vertical="top"/>
    </xf>
    <xf numFmtId="0" fontId="0" fillId="0" borderId="12" xfId="0" applyBorder="1" applyAlignment="1">
      <alignment horizontal="left" vertical="top"/>
    </xf>
    <xf numFmtId="0" fontId="0" fillId="0" borderId="19" xfId="0" applyBorder="1" applyAlignment="1">
      <alignment horizontal="left" vertical="top"/>
    </xf>
    <xf numFmtId="0" fontId="0" fillId="0" borderId="11" xfId="0" applyBorder="1" applyAlignment="1">
      <alignment horizontal="left" vertical="top"/>
    </xf>
    <xf numFmtId="0" fontId="2" fillId="0" borderId="0" xfId="0" applyFont="1" applyAlignment="1">
      <alignment horizontal="left" vertical="top"/>
    </xf>
    <xf numFmtId="0" fontId="0" fillId="0" borderId="0" xfId="0" applyAlignment="1">
      <alignment horizontal="right"/>
    </xf>
    <xf numFmtId="0" fontId="1" fillId="3" borderId="1" xfId="0" applyFont="1" applyFill="1" applyBorder="1" applyAlignment="1">
      <alignment horizontal="center"/>
    </xf>
    <xf numFmtId="0" fontId="1" fillId="3" borderId="9"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7" xfId="0" applyFont="1" applyFill="1" applyBorder="1" applyAlignment="1">
      <alignment horizontal="center" vertical="center"/>
    </xf>
    <xf numFmtId="0" fontId="27" fillId="0" borderId="20" xfId="0" applyFont="1" applyBorder="1" applyAlignment="1">
      <alignment horizontal="center" vertical="center"/>
    </xf>
    <xf numFmtId="0" fontId="27" fillId="0" borderId="21" xfId="0" applyFont="1" applyBorder="1" applyAlignment="1">
      <alignment horizontal="center" vertical="center"/>
    </xf>
    <xf numFmtId="0" fontId="27" fillId="0" borderId="22" xfId="0" applyFont="1" applyBorder="1" applyAlignment="1">
      <alignment horizontal="center" vertical="center"/>
    </xf>
    <xf numFmtId="0" fontId="27" fillId="0" borderId="23" xfId="0" applyFont="1" applyBorder="1" applyAlignment="1">
      <alignment horizontal="center" vertical="center"/>
    </xf>
    <xf numFmtId="0" fontId="27" fillId="0" borderId="25" xfId="0" applyFont="1" applyBorder="1" applyAlignment="1">
      <alignment horizontal="center" vertical="center"/>
    </xf>
    <xf numFmtId="0" fontId="27" fillId="0" borderId="26"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7" fillId="0" borderId="20"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23"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26"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29" xfId="0" applyFont="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11" borderId="44" xfId="0" applyFill="1" applyBorder="1" applyAlignment="1">
      <alignment vertical="center"/>
    </xf>
    <xf numFmtId="0" fontId="0" fillId="11" borderId="0" xfId="0" applyFill="1" applyAlignment="1">
      <alignment vertical="center"/>
    </xf>
    <xf numFmtId="0" fontId="23" fillId="11" borderId="44" xfId="0" applyFont="1" applyFill="1" applyBorder="1" applyAlignment="1">
      <alignment horizontal="left" vertical="center" wrapText="1"/>
    </xf>
    <xf numFmtId="0" fontId="23" fillId="11" borderId="0" xfId="0" applyFont="1" applyFill="1" applyAlignment="1">
      <alignment horizontal="left" vertical="center" wrapText="1"/>
    </xf>
    <xf numFmtId="0" fontId="23" fillId="11" borderId="44" xfId="0" applyFont="1" applyFill="1" applyBorder="1" applyAlignment="1">
      <alignment horizontal="center" vertical="center" wrapText="1"/>
    </xf>
    <xf numFmtId="0" fontId="23" fillId="11" borderId="0" xfId="0" applyFont="1" applyFill="1" applyAlignment="1">
      <alignment horizontal="center" vertical="center" wrapText="1"/>
    </xf>
    <xf numFmtId="0" fontId="23" fillId="11" borderId="52" xfId="0" applyFont="1" applyFill="1" applyBorder="1" applyAlignment="1">
      <alignment horizontal="center" vertical="center" wrapText="1"/>
    </xf>
    <xf numFmtId="0" fontId="36" fillId="11" borderId="44" xfId="0" applyFont="1" applyFill="1" applyBorder="1" applyAlignment="1">
      <alignment horizontal="left" vertical="center" wrapText="1"/>
    </xf>
    <xf numFmtId="0" fontId="36" fillId="11" borderId="0" xfId="0" applyFont="1" applyFill="1" applyAlignment="1">
      <alignment horizontal="left" vertical="center" wrapText="1"/>
    </xf>
    <xf numFmtId="0" fontId="0" fillId="11" borderId="64" xfId="0" applyFill="1" applyBorder="1" applyAlignment="1">
      <alignment vertical="center"/>
    </xf>
    <xf numFmtId="0" fontId="0" fillId="11" borderId="65" xfId="0" applyFill="1" applyBorder="1" applyAlignment="1">
      <alignment vertical="center"/>
    </xf>
    <xf numFmtId="0" fontId="33" fillId="12" borderId="50" xfId="0" applyFont="1" applyFill="1" applyBorder="1" applyAlignment="1">
      <alignment horizontal="left" vertical="center"/>
    </xf>
    <xf numFmtId="0" fontId="33" fillId="12" borderId="51" xfId="0" applyFont="1" applyFill="1" applyBorder="1" applyAlignment="1">
      <alignment horizontal="left" vertical="center"/>
    </xf>
    <xf numFmtId="0" fontId="0" fillId="11" borderId="60" xfId="0" applyFill="1" applyBorder="1" applyAlignment="1">
      <alignment vertical="center"/>
    </xf>
    <xf numFmtId="0" fontId="0" fillId="11" borderId="61" xfId="0" applyFill="1" applyBorder="1" applyAlignment="1">
      <alignment vertical="center"/>
    </xf>
    <xf numFmtId="167" fontId="23" fillId="11" borderId="44" xfId="0" applyNumberFormat="1" applyFont="1" applyFill="1" applyBorder="1" applyAlignment="1">
      <alignment horizontal="center" vertical="center"/>
    </xf>
    <xf numFmtId="167" fontId="23" fillId="11" borderId="52" xfId="0" applyNumberFormat="1" applyFont="1" applyFill="1" applyBorder="1" applyAlignment="1">
      <alignment horizontal="center" vertical="center"/>
    </xf>
    <xf numFmtId="0" fontId="34" fillId="11" borderId="44" xfId="0" applyFont="1" applyFill="1" applyBorder="1" applyAlignment="1">
      <alignment horizontal="center" vertical="center" wrapText="1"/>
    </xf>
    <xf numFmtId="0" fontId="34" fillId="11" borderId="0" xfId="0" applyFont="1" applyFill="1" applyAlignment="1">
      <alignment horizontal="center" vertical="center" wrapText="1"/>
    </xf>
    <xf numFmtId="0" fontId="34" fillId="11" borderId="52" xfId="0" applyFont="1" applyFill="1" applyBorder="1" applyAlignment="1">
      <alignment horizontal="center" vertical="center" wrapText="1"/>
    </xf>
    <xf numFmtId="0" fontId="23" fillId="11" borderId="44" xfId="0" applyFont="1" applyFill="1" applyBorder="1" applyAlignment="1">
      <alignment horizontal="right" vertical="center" wrapText="1"/>
    </xf>
    <xf numFmtId="0" fontId="23" fillId="11" borderId="0" xfId="0" applyFont="1" applyFill="1" applyAlignment="1">
      <alignment horizontal="right" vertical="center" wrapText="1"/>
    </xf>
    <xf numFmtId="0" fontId="23" fillId="11" borderId="52" xfId="0" applyFont="1" applyFill="1" applyBorder="1" applyAlignment="1">
      <alignment horizontal="right" vertical="center" wrapText="1"/>
    </xf>
    <xf numFmtId="165" fontId="23" fillId="11" borderId="44" xfId="0" applyNumberFormat="1" applyFont="1" applyFill="1" applyBorder="1" applyAlignment="1">
      <alignment horizontal="right" vertical="center"/>
    </xf>
    <xf numFmtId="165" fontId="23" fillId="11" borderId="0" xfId="0" applyNumberFormat="1" applyFont="1" applyFill="1" applyAlignment="1">
      <alignment horizontal="right" vertical="center"/>
    </xf>
    <xf numFmtId="0" fontId="34" fillId="15" borderId="44" xfId="0" applyFont="1" applyFill="1" applyBorder="1" applyAlignment="1">
      <alignment horizontal="center" vertical="center" wrapText="1"/>
    </xf>
    <xf numFmtId="0" fontId="34" fillId="15" borderId="0" xfId="0" applyFont="1" applyFill="1" applyAlignment="1">
      <alignment horizontal="center" vertical="center" wrapText="1"/>
    </xf>
    <xf numFmtId="0" fontId="34" fillId="15" borderId="52" xfId="0" applyFont="1" applyFill="1" applyBorder="1" applyAlignment="1">
      <alignment horizontal="center" vertical="center" wrapText="1"/>
    </xf>
    <xf numFmtId="0" fontId="0" fillId="15" borderId="44" xfId="0" applyFill="1" applyBorder="1" applyAlignment="1">
      <alignment vertical="center"/>
    </xf>
    <xf numFmtId="0" fontId="0" fillId="15" borderId="0" xfId="0" applyFill="1" applyAlignment="1">
      <alignment vertical="center"/>
    </xf>
    <xf numFmtId="0" fontId="0" fillId="15" borderId="52" xfId="0" applyFill="1" applyBorder="1" applyAlignment="1">
      <alignment vertical="center"/>
    </xf>
    <xf numFmtId="0" fontId="23" fillId="11" borderId="52" xfId="0" applyFont="1" applyFill="1" applyBorder="1" applyAlignment="1">
      <alignment horizontal="left" vertical="center" wrapText="1"/>
    </xf>
    <xf numFmtId="0" fontId="40" fillId="11" borderId="44" xfId="0" applyFont="1" applyFill="1" applyBorder="1" applyAlignment="1">
      <alignment horizontal="left" vertical="center" wrapText="1"/>
    </xf>
    <xf numFmtId="0" fontId="40" fillId="11" borderId="0" xfId="0" applyFont="1" applyFill="1" applyAlignment="1">
      <alignment horizontal="left" vertical="center" wrapText="1"/>
    </xf>
    <xf numFmtId="0" fontId="40" fillId="11" borderId="52" xfId="0" applyFont="1" applyFill="1" applyBorder="1" applyAlignment="1">
      <alignment horizontal="left" vertical="center" wrapText="1"/>
    </xf>
    <xf numFmtId="3" fontId="23" fillId="11" borderId="44" xfId="0" applyNumberFormat="1" applyFont="1" applyFill="1" applyBorder="1" applyAlignment="1">
      <alignment horizontal="center" vertical="center"/>
    </xf>
    <xf numFmtId="3" fontId="23" fillId="11" borderId="0" xfId="0" applyNumberFormat="1" applyFont="1" applyFill="1" applyAlignment="1">
      <alignment horizontal="center" vertical="center"/>
    </xf>
    <xf numFmtId="3" fontId="23" fillId="11" borderId="52" xfId="0" applyNumberFormat="1" applyFont="1" applyFill="1" applyBorder="1" applyAlignment="1">
      <alignment horizontal="center" vertical="center"/>
    </xf>
    <xf numFmtId="0" fontId="41" fillId="15" borderId="44" xfId="0" applyFont="1" applyFill="1" applyBorder="1" applyAlignment="1">
      <alignment horizontal="left" vertical="center" wrapText="1"/>
    </xf>
    <xf numFmtId="0" fontId="41" fillId="15" borderId="0" xfId="0" applyFont="1" applyFill="1" applyAlignment="1">
      <alignment horizontal="left" vertical="center" wrapText="1"/>
    </xf>
    <xf numFmtId="0" fontId="41" fillId="15" borderId="52" xfId="0" applyFont="1" applyFill="1" applyBorder="1" applyAlignment="1">
      <alignment horizontal="left" vertical="center" wrapText="1"/>
    </xf>
    <xf numFmtId="0" fontId="41" fillId="16" borderId="44" xfId="0" applyFont="1" applyFill="1" applyBorder="1" applyAlignment="1">
      <alignment horizontal="center" vertical="center" wrapText="1"/>
    </xf>
    <xf numFmtId="0" fontId="41" fillId="16" borderId="52" xfId="0" applyFont="1" applyFill="1" applyBorder="1" applyAlignment="1">
      <alignment horizontal="center" vertical="center" wrapText="1"/>
    </xf>
    <xf numFmtId="0" fontId="41" fillId="16" borderId="0" xfId="0" applyFont="1" applyFill="1" applyAlignment="1">
      <alignment horizontal="center" vertical="center" wrapText="1"/>
    </xf>
    <xf numFmtId="0" fontId="34" fillId="15" borderId="44" xfId="0" applyFont="1" applyFill="1" applyBorder="1" applyAlignment="1">
      <alignment horizontal="right" vertical="center" wrapText="1"/>
    </xf>
    <xf numFmtId="0" fontId="34" fillId="15" borderId="0" xfId="0" applyFont="1" applyFill="1" applyAlignment="1">
      <alignment horizontal="right" vertical="center" wrapText="1"/>
    </xf>
    <xf numFmtId="0" fontId="34" fillId="15" borderId="52" xfId="0" applyFont="1" applyFill="1" applyBorder="1" applyAlignment="1">
      <alignment horizontal="right" vertical="center" wrapText="1"/>
    </xf>
    <xf numFmtId="0" fontId="33" fillId="11" borderId="44" xfId="0" applyFont="1" applyFill="1" applyBorder="1" applyAlignment="1">
      <alignment horizontal="left" vertical="center" wrapText="1"/>
    </xf>
    <xf numFmtId="0" fontId="33" fillId="11" borderId="0" xfId="0" applyFont="1" applyFill="1" applyAlignment="1">
      <alignment horizontal="left" vertical="center" wrapText="1"/>
    </xf>
    <xf numFmtId="0" fontId="33" fillId="11" borderId="52" xfId="0" applyFont="1" applyFill="1" applyBorder="1" applyAlignment="1">
      <alignment horizontal="left" vertical="center" wrapText="1"/>
    </xf>
    <xf numFmtId="0" fontId="0" fillId="11" borderId="52" xfId="0" applyFill="1" applyBorder="1" applyAlignment="1">
      <alignment vertical="center"/>
    </xf>
    <xf numFmtId="0" fontId="0" fillId="11" borderId="75" xfId="0" applyFill="1" applyBorder="1" applyAlignment="1">
      <alignment vertical="center"/>
    </xf>
    <xf numFmtId="0" fontId="39" fillId="11" borderId="44" xfId="0" applyFont="1" applyFill="1" applyBorder="1" applyAlignment="1">
      <alignment horizontal="right" vertical="center" wrapText="1"/>
    </xf>
    <xf numFmtId="0" fontId="39" fillId="11" borderId="0" xfId="0" applyFont="1" applyFill="1" applyAlignment="1">
      <alignment horizontal="right" vertical="center" wrapText="1"/>
    </xf>
    <xf numFmtId="0" fontId="39" fillId="11" borderId="52" xfId="0" applyFont="1" applyFill="1" applyBorder="1" applyAlignment="1">
      <alignment horizontal="right" vertical="center" wrapText="1"/>
    </xf>
    <xf numFmtId="0" fontId="23" fillId="11" borderId="75" xfId="0" applyFont="1" applyFill="1" applyBorder="1" applyAlignment="1">
      <alignment horizontal="left" vertical="center" wrapText="1"/>
    </xf>
    <xf numFmtId="0" fontId="23" fillId="14" borderId="44" xfId="0" applyFont="1" applyFill="1" applyBorder="1" applyAlignment="1">
      <alignment horizontal="left" vertical="center" wrapText="1"/>
    </xf>
    <xf numFmtId="0" fontId="23" fillId="14" borderId="0" xfId="0" applyFont="1" applyFill="1" applyAlignment="1">
      <alignment horizontal="left" vertical="center" wrapText="1"/>
    </xf>
    <xf numFmtId="0" fontId="23" fillId="14" borderId="52" xfId="0" applyFont="1" applyFill="1" applyBorder="1" applyAlignment="1">
      <alignment horizontal="left" vertical="center" wrapText="1"/>
    </xf>
    <xf numFmtId="0" fontId="0" fillId="14" borderId="75" xfId="0" applyFill="1" applyBorder="1" applyAlignment="1">
      <alignment vertical="center"/>
    </xf>
    <xf numFmtId="0" fontId="0" fillId="14" borderId="44" xfId="0" applyFill="1" applyBorder="1" applyAlignment="1">
      <alignment vertical="center"/>
    </xf>
    <xf numFmtId="0" fontId="0" fillId="14" borderId="0" xfId="0" applyFill="1" applyAlignment="1">
      <alignment vertical="center"/>
    </xf>
    <xf numFmtId="0" fontId="39" fillId="14" borderId="44" xfId="0" applyFont="1" applyFill="1" applyBorder="1" applyAlignment="1">
      <alignment horizontal="right" vertical="center" wrapText="1"/>
    </xf>
    <xf numFmtId="0" fontId="39" fillId="14" borderId="0" xfId="0" applyFont="1" applyFill="1" applyAlignment="1">
      <alignment horizontal="right" vertical="center" wrapText="1"/>
    </xf>
    <xf numFmtId="0" fontId="39" fillId="14" borderId="52" xfId="0" applyFont="1" applyFill="1" applyBorder="1" applyAlignment="1">
      <alignment horizontal="right" vertical="center" wrapText="1"/>
    </xf>
    <xf numFmtId="0" fontId="0" fillId="14" borderId="52" xfId="0" applyFill="1" applyBorder="1" applyAlignment="1">
      <alignment vertical="center"/>
    </xf>
    <xf numFmtId="0" fontId="23" fillId="14" borderId="75" xfId="0" applyFont="1" applyFill="1" applyBorder="1" applyAlignment="1">
      <alignment horizontal="left" vertical="center" wrapText="1"/>
    </xf>
    <xf numFmtId="0" fontId="23" fillId="14" borderId="44" xfId="0" applyFont="1" applyFill="1" applyBorder="1" applyAlignment="1">
      <alignment horizontal="right" vertical="center" wrapText="1"/>
    </xf>
    <xf numFmtId="0" fontId="23" fillId="14" borderId="0" xfId="0" applyFont="1" applyFill="1" applyAlignment="1">
      <alignment horizontal="right" vertical="center" wrapText="1"/>
    </xf>
    <xf numFmtId="0" fontId="34" fillId="13" borderId="44" xfId="0" applyFont="1" applyFill="1" applyBorder="1" applyAlignment="1">
      <alignment horizontal="left" vertical="center" wrapText="1"/>
    </xf>
    <xf numFmtId="0" fontId="34" fillId="13" borderId="0" xfId="0" applyFont="1" applyFill="1" applyAlignment="1">
      <alignment horizontal="left" vertical="center" wrapText="1"/>
    </xf>
    <xf numFmtId="0" fontId="33" fillId="14" borderId="0" xfId="0" applyFont="1" applyFill="1" applyAlignment="1">
      <alignment horizontal="left" vertical="center" wrapText="1"/>
    </xf>
    <xf numFmtId="0" fontId="33" fillId="14" borderId="52" xfId="0" applyFont="1" applyFill="1" applyBorder="1" applyAlignment="1">
      <alignment horizontal="left" vertical="center" wrapText="1"/>
    </xf>
    <xf numFmtId="0" fontId="33" fillId="14" borderId="44" xfId="0" applyFont="1" applyFill="1" applyBorder="1" applyAlignment="1">
      <alignment horizontal="left" vertical="center" wrapText="1"/>
    </xf>
    <xf numFmtId="0" fontId="0" fillId="11" borderId="67" xfId="0" applyFill="1" applyBorder="1" applyAlignment="1">
      <alignment vertical="center"/>
    </xf>
    <xf numFmtId="0" fontId="0" fillId="11" borderId="68" xfId="0" applyFill="1" applyBorder="1" applyAlignment="1">
      <alignment vertical="center"/>
    </xf>
    <xf numFmtId="0" fontId="0" fillId="11" borderId="69" xfId="0" applyFill="1" applyBorder="1" applyAlignment="1">
      <alignment vertical="center"/>
    </xf>
    <xf numFmtId="165" fontId="23" fillId="11" borderId="67" xfId="0" applyNumberFormat="1" applyFont="1" applyFill="1" applyBorder="1" applyAlignment="1">
      <alignment horizontal="right" vertical="center"/>
    </xf>
    <xf numFmtId="0" fontId="38" fillId="11" borderId="67" xfId="0" applyFont="1" applyFill="1" applyBorder="1" applyAlignment="1">
      <alignment horizontal="left" vertical="center" wrapText="1"/>
    </xf>
    <xf numFmtId="4" fontId="23" fillId="11" borderId="67" xfId="0" applyNumberFormat="1" applyFont="1" applyFill="1" applyBorder="1" applyAlignment="1">
      <alignment horizontal="right" vertical="center"/>
    </xf>
    <xf numFmtId="0" fontId="0" fillId="13" borderId="67" xfId="0" applyFill="1" applyBorder="1" applyAlignment="1">
      <alignment vertical="center"/>
    </xf>
    <xf numFmtId="0" fontId="34" fillId="13" borderId="67" xfId="0" applyFont="1" applyFill="1" applyBorder="1" applyAlignment="1">
      <alignment horizontal="left" vertical="center" wrapText="1"/>
    </xf>
    <xf numFmtId="3" fontId="23" fillId="11" borderId="67" xfId="0" applyNumberFormat="1" applyFont="1" applyFill="1" applyBorder="1" applyAlignment="1">
      <alignment horizontal="right" vertical="center"/>
    </xf>
    <xf numFmtId="0" fontId="23" fillId="11" borderId="67" xfId="0" applyFont="1" applyFill="1" applyBorder="1" applyAlignment="1">
      <alignment horizontal="right" vertical="center" wrapText="1"/>
    </xf>
    <xf numFmtId="0" fontId="0" fillId="11" borderId="53" xfId="0" applyFill="1" applyBorder="1" applyAlignment="1">
      <alignment vertical="center"/>
    </xf>
    <xf numFmtId="0" fontId="34" fillId="13" borderId="53" xfId="0" applyFont="1" applyFill="1" applyBorder="1" applyAlignment="1">
      <alignment horizontal="left" vertical="center" wrapText="1"/>
    </xf>
    <xf numFmtId="0" fontId="23" fillId="11" borderId="53" xfId="0" applyFont="1" applyFill="1" applyBorder="1" applyAlignment="1">
      <alignment horizontal="right" vertical="center" wrapText="1"/>
    </xf>
    <xf numFmtId="0" fontId="38" fillId="14" borderId="53" xfId="0" applyFont="1" applyFill="1" applyBorder="1" applyAlignment="1">
      <alignment horizontal="right" vertical="center" wrapText="1"/>
    </xf>
    <xf numFmtId="0" fontId="23" fillId="11" borderId="66" xfId="0" applyFont="1" applyFill="1" applyBorder="1" applyAlignment="1">
      <alignment horizontal="right" vertical="center" wrapText="1"/>
    </xf>
    <xf numFmtId="0" fontId="0" fillId="14" borderId="53" xfId="0" applyFill="1" applyBorder="1" applyAlignment="1">
      <alignment vertical="center"/>
    </xf>
    <xf numFmtId="0" fontId="38" fillId="14" borderId="0" xfId="0" applyFont="1" applyFill="1" applyAlignment="1">
      <alignment horizontal="right" vertical="center" wrapText="1"/>
    </xf>
    <xf numFmtId="0" fontId="37" fillId="14" borderId="0" xfId="0" applyFont="1" applyFill="1" applyAlignment="1">
      <alignment horizontal="left" vertical="center" wrapText="1"/>
    </xf>
    <xf numFmtId="0" fontId="37" fillId="14" borderId="53" xfId="0" applyFont="1" applyFill="1" applyBorder="1" applyAlignment="1">
      <alignment horizontal="left" vertical="center" wrapText="1"/>
    </xf>
    <xf numFmtId="0" fontId="0" fillId="11" borderId="58" xfId="0" applyFill="1" applyBorder="1" applyAlignment="1">
      <alignment vertical="center"/>
    </xf>
    <xf numFmtId="0" fontId="38" fillId="11" borderId="72" xfId="0" applyFont="1" applyFill="1" applyBorder="1" applyAlignment="1">
      <alignment horizontal="left" vertical="center" wrapText="1"/>
    </xf>
    <xf numFmtId="0" fontId="38" fillId="11" borderId="73" xfId="0" applyFont="1" applyFill="1" applyBorder="1" applyAlignment="1">
      <alignment horizontal="left" vertical="center" wrapText="1"/>
    </xf>
    <xf numFmtId="0" fontId="38" fillId="11" borderId="74" xfId="0" applyFont="1" applyFill="1" applyBorder="1" applyAlignment="1">
      <alignment horizontal="left" vertical="center" wrapText="1"/>
    </xf>
    <xf numFmtId="165" fontId="23" fillId="11" borderId="70" xfId="0" applyNumberFormat="1" applyFont="1" applyFill="1" applyBorder="1" applyAlignment="1">
      <alignment horizontal="right" vertical="center"/>
    </xf>
    <xf numFmtId="0" fontId="38" fillId="11" borderId="70" xfId="0" applyFont="1" applyFill="1" applyBorder="1" applyAlignment="1">
      <alignment horizontal="left" vertical="center" wrapText="1"/>
    </xf>
    <xf numFmtId="0" fontId="38" fillId="11" borderId="71" xfId="0" applyFont="1" applyFill="1" applyBorder="1" applyAlignment="1">
      <alignment horizontal="left" vertical="center" wrapText="1"/>
    </xf>
    <xf numFmtId="0" fontId="23" fillId="11" borderId="70" xfId="0" applyFont="1" applyFill="1" applyBorder="1" applyAlignment="1">
      <alignment horizontal="right" vertical="center" wrapText="1"/>
    </xf>
    <xf numFmtId="0" fontId="38" fillId="11" borderId="57" xfId="0" applyFont="1" applyFill="1" applyBorder="1" applyAlignment="1">
      <alignment horizontal="left" vertical="center" wrapText="1"/>
    </xf>
    <xf numFmtId="0" fontId="38" fillId="11" borderId="58" xfId="0" applyFont="1" applyFill="1" applyBorder="1" applyAlignment="1">
      <alignment horizontal="left" vertical="center" wrapText="1"/>
    </xf>
    <xf numFmtId="0" fontId="38" fillId="11" borderId="59" xfId="0" applyFont="1" applyFill="1" applyBorder="1" applyAlignment="1">
      <alignment horizontal="left" vertical="center" wrapText="1"/>
    </xf>
    <xf numFmtId="0" fontId="0" fillId="11" borderId="4" xfId="0" applyFill="1" applyBorder="1" applyAlignment="1">
      <alignment vertical="center"/>
    </xf>
    <xf numFmtId="0" fontId="0" fillId="11" borderId="73" xfId="0" applyFill="1" applyBorder="1" applyAlignment="1">
      <alignment vertical="center"/>
    </xf>
    <xf numFmtId="165" fontId="23" fillId="17" borderId="67" xfId="0" applyNumberFormat="1" applyFont="1" applyFill="1" applyBorder="1" applyAlignment="1">
      <alignment horizontal="right" vertical="center"/>
    </xf>
    <xf numFmtId="165" fontId="23" fillId="18" borderId="67" xfId="0" applyNumberFormat="1" applyFont="1" applyFill="1" applyBorder="1" applyAlignment="1">
      <alignment horizontal="right" vertical="center"/>
    </xf>
    <xf numFmtId="0" fontId="34" fillId="14" borderId="67" xfId="0" applyFont="1" applyFill="1" applyBorder="1" applyAlignment="1">
      <alignment horizontal="left" vertical="center" wrapText="1"/>
    </xf>
    <xf numFmtId="0" fontId="0" fillId="14" borderId="67" xfId="0" applyFill="1" applyBorder="1" applyAlignment="1">
      <alignment vertical="center"/>
    </xf>
    <xf numFmtId="165" fontId="23" fillId="2" borderId="67" xfId="0" applyNumberFormat="1" applyFont="1" applyFill="1" applyBorder="1" applyAlignment="1">
      <alignment horizontal="right" vertical="center"/>
    </xf>
    <xf numFmtId="0" fontId="38" fillId="2" borderId="67" xfId="0" applyFont="1" applyFill="1" applyBorder="1" applyAlignment="1">
      <alignment horizontal="left" vertical="center" wrapText="1"/>
    </xf>
    <xf numFmtId="165" fontId="36" fillId="11" borderId="67" xfId="0" applyNumberFormat="1" applyFont="1" applyFill="1" applyBorder="1" applyAlignment="1">
      <alignment horizontal="right" vertical="center"/>
    </xf>
    <xf numFmtId="0" fontId="36" fillId="11" borderId="67" xfId="0" applyFont="1" applyFill="1" applyBorder="1" applyAlignment="1">
      <alignment horizontal="right" vertical="center" wrapText="1"/>
    </xf>
    <xf numFmtId="0" fontId="36" fillId="11" borderId="67" xfId="0" applyFont="1" applyFill="1" applyBorder="1" applyAlignment="1">
      <alignment horizontal="left" vertical="center" wrapText="1"/>
    </xf>
    <xf numFmtId="3" fontId="23" fillId="11" borderId="44" xfId="0" applyNumberFormat="1" applyFont="1" applyFill="1" applyBorder="1" applyAlignment="1">
      <alignment horizontal="left" vertical="center"/>
    </xf>
    <xf numFmtId="3" fontId="23" fillId="11" borderId="0" xfId="0" applyNumberFormat="1" applyFont="1" applyFill="1" applyAlignment="1">
      <alignment horizontal="left" vertical="center"/>
    </xf>
    <xf numFmtId="166" fontId="23" fillId="11" borderId="44" xfId="0" applyNumberFormat="1" applyFont="1" applyFill="1" applyBorder="1" applyAlignment="1">
      <alignment horizontal="left" vertical="center"/>
    </xf>
    <xf numFmtId="166" fontId="23" fillId="11" borderId="0" xfId="0" applyNumberFormat="1" applyFont="1" applyFill="1" applyAlignment="1">
      <alignment horizontal="left" vertical="center"/>
    </xf>
    <xf numFmtId="166" fontId="23" fillId="11" borderId="52" xfId="0" applyNumberFormat="1" applyFont="1" applyFill="1" applyBorder="1" applyAlignment="1">
      <alignment horizontal="left" vertical="center"/>
    </xf>
    <xf numFmtId="165" fontId="23" fillId="11" borderId="44" xfId="0" applyNumberFormat="1" applyFont="1" applyFill="1" applyBorder="1" applyAlignment="1">
      <alignment horizontal="left" vertical="center"/>
    </xf>
    <xf numFmtId="165" fontId="23" fillId="11" borderId="0" xfId="0" applyNumberFormat="1" applyFont="1" applyFill="1" applyAlignment="1">
      <alignment horizontal="left" vertical="center"/>
    </xf>
    <xf numFmtId="0" fontId="36" fillId="11" borderId="52" xfId="0" applyFont="1" applyFill="1" applyBorder="1" applyAlignment="1">
      <alignment horizontal="left" vertical="center" wrapText="1"/>
    </xf>
    <xf numFmtId="0" fontId="35" fillId="11" borderId="44" xfId="0" applyFont="1" applyFill="1" applyBorder="1" applyAlignment="1">
      <alignment horizontal="left" vertical="center" wrapText="1"/>
    </xf>
    <xf numFmtId="0" fontId="35" fillId="11" borderId="0" xfId="0" applyFont="1" applyFill="1" applyAlignment="1">
      <alignment horizontal="left" vertical="center" wrapText="1"/>
    </xf>
    <xf numFmtId="0" fontId="23" fillId="11" borderId="45" xfId="0" applyFont="1" applyFill="1" applyBorder="1" applyAlignment="1">
      <alignment horizontal="left" vertical="center" wrapText="1"/>
    </xf>
    <xf numFmtId="0" fontId="23" fillId="11" borderId="46" xfId="0" applyFont="1" applyFill="1" applyBorder="1" applyAlignment="1">
      <alignment horizontal="left" vertical="center" wrapText="1"/>
    </xf>
    <xf numFmtId="0" fontId="0" fillId="11" borderId="47" xfId="0" applyFill="1" applyBorder="1" applyAlignment="1">
      <alignment vertical="center"/>
    </xf>
    <xf numFmtId="0" fontId="0" fillId="11" borderId="48" xfId="0" applyFill="1" applyBorder="1" applyAlignment="1">
      <alignment vertical="center"/>
    </xf>
    <xf numFmtId="0" fontId="0" fillId="11" borderId="49" xfId="0" applyFill="1" applyBorder="1" applyAlignment="1">
      <alignment vertical="center"/>
    </xf>
    <xf numFmtId="0" fontId="0" fillId="11" borderId="62" xfId="0" applyFill="1" applyBorder="1" applyAlignment="1">
      <alignment vertical="center"/>
    </xf>
    <xf numFmtId="0" fontId="0" fillId="11" borderId="63" xfId="0" applyFill="1" applyBorder="1" applyAlignment="1">
      <alignment vertical="center"/>
    </xf>
    <xf numFmtId="0" fontId="32" fillId="11" borderId="44" xfId="0" applyFont="1" applyFill="1" applyBorder="1" applyAlignment="1">
      <alignment horizontal="left" vertical="center" wrapText="1"/>
    </xf>
    <xf numFmtId="0" fontId="32" fillId="11" borderId="0" xfId="0" applyFont="1" applyFill="1" applyAlignment="1">
      <alignment horizontal="left" vertical="center" wrapText="1"/>
    </xf>
    <xf numFmtId="0" fontId="0" fillId="11" borderId="45" xfId="0" applyFill="1" applyBorder="1" applyAlignment="1">
      <alignment vertical="center"/>
    </xf>
    <xf numFmtId="0" fontId="0" fillId="11" borderId="46" xfId="0" applyFill="1" applyBorder="1" applyAlignment="1">
      <alignment vertical="center"/>
    </xf>
    <xf numFmtId="0" fontId="46" fillId="28" borderId="13" xfId="0" applyFont="1" applyFill="1" applyBorder="1" applyAlignment="1">
      <alignment horizontal="center" vertical="center"/>
    </xf>
    <xf numFmtId="0" fontId="46" fillId="28" borderId="3" xfId="0" applyFont="1" applyFill="1" applyBorder="1" applyAlignment="1">
      <alignment horizontal="center" vertical="center"/>
    </xf>
    <xf numFmtId="0" fontId="46" fillId="28" borderId="16" xfId="0" applyFont="1" applyFill="1" applyBorder="1" applyAlignment="1">
      <alignment horizontal="center" vertical="center"/>
    </xf>
    <xf numFmtId="0" fontId="46" fillId="28" borderId="12" xfId="0" applyFont="1" applyFill="1" applyBorder="1" applyAlignment="1">
      <alignment horizontal="center" vertical="center"/>
    </xf>
    <xf numFmtId="0" fontId="46" fillId="28" borderId="19" xfId="0" applyFont="1" applyFill="1" applyBorder="1" applyAlignment="1">
      <alignment horizontal="center" vertical="center"/>
    </xf>
    <xf numFmtId="0" fontId="46" fillId="28" borderId="11" xfId="0" applyFont="1" applyFill="1" applyBorder="1" applyAlignment="1">
      <alignment horizontal="center" vertical="center"/>
    </xf>
  </cellXfs>
  <cellStyles count="3">
    <cellStyle name="Collegamento ipertestuale" xfId="2" builtinId="8"/>
    <cellStyle name="Normale" xfId="0" builtinId="0"/>
    <cellStyle name="Percentuale" xfId="1" builtinId="5"/>
  </cellStyles>
  <dxfs count="27">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style="thin">
          <color auto="1"/>
        </right>
        <top/>
        <bottom/>
      </border>
    </dxf>
    <dxf>
      <border outline="0">
        <left style="thin">
          <color auto="1"/>
        </left>
        <right style="thin">
          <color auto="1"/>
        </right>
        <top style="thin">
          <color indexed="64"/>
        </top>
        <bottom style="thin">
          <color indexed="64"/>
        </bottom>
      </border>
    </dxf>
    <dxf>
      <font>
        <strike val="0"/>
        <outline val="0"/>
        <shadow val="0"/>
        <u val="none"/>
        <vertAlign val="baseline"/>
        <name val="Calibri"/>
        <family val="2"/>
        <scheme val="minor"/>
      </font>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name val="Calibri"/>
        <family val="2"/>
        <scheme val="minor"/>
      </font>
      <border diagonalUp="0" diagonalDown="0" outline="0">
        <left style="thin">
          <color auto="1"/>
        </left>
        <right/>
        <top/>
        <bottom/>
      </border>
    </dxf>
    <dxf>
      <font>
        <strike val="0"/>
        <outline val="0"/>
        <shadow val="0"/>
        <u val="none"/>
        <vertAlign val="baseline"/>
        <name val="Calibri"/>
        <family val="2"/>
        <scheme val="minor"/>
      </font>
      <border diagonalUp="0" diagonalDown="0" outline="0">
        <left style="thin">
          <color auto="1"/>
        </left>
        <right style="thin">
          <color auto="1"/>
        </right>
        <top/>
        <bottom/>
      </border>
    </dxf>
    <dxf>
      <font>
        <strike val="0"/>
        <outline val="0"/>
        <shadow val="0"/>
        <u val="none"/>
        <vertAlign val="baseline"/>
        <name val="Calibri"/>
        <family val="2"/>
        <scheme val="minor"/>
      </font>
      <border diagonalUp="0" diagonalDown="0" outline="0">
        <left style="thin">
          <color auto="1"/>
        </left>
        <right style="thin">
          <color auto="1"/>
        </right>
        <top/>
        <bottom/>
      </border>
    </dxf>
    <dxf>
      <font>
        <strike val="0"/>
        <outline val="0"/>
        <shadow val="0"/>
        <u val="none"/>
        <vertAlign val="baseline"/>
        <name val="Calibri"/>
        <family val="2"/>
        <scheme val="minor"/>
      </font>
      <fill>
        <patternFill patternType="none">
          <fgColor indexed="64"/>
          <bgColor indexed="65"/>
        </patternFill>
      </fill>
      <border diagonalUp="0" diagonalDown="0" outline="0">
        <left style="thin">
          <color auto="1"/>
        </left>
        <right style="thin">
          <color auto="1"/>
        </right>
        <top/>
        <bottom/>
      </border>
    </dxf>
    <dxf>
      <font>
        <strike val="0"/>
        <outline val="0"/>
        <shadow val="0"/>
        <u val="none"/>
        <vertAlign val="baseline"/>
        <name val="Calibri"/>
        <family val="2"/>
        <scheme val="minor"/>
      </font>
      <border diagonalUp="0" diagonalDown="0" outline="0">
        <left/>
        <right style="thin">
          <color auto="1"/>
        </right>
        <top/>
        <bottom/>
      </border>
    </dxf>
    <dxf>
      <border outline="0">
        <left style="thin">
          <color auto="1"/>
        </left>
        <right style="thin">
          <color auto="1"/>
        </right>
        <top style="thin">
          <color indexed="64"/>
        </top>
        <bottom style="thin">
          <color indexed="64"/>
        </bottom>
      </border>
    </dxf>
    <dxf>
      <font>
        <strike val="0"/>
        <outline val="0"/>
        <shadow val="0"/>
        <u val="none"/>
        <vertAlign val="baseline"/>
        <name val="Calibri"/>
        <family val="2"/>
        <scheme val="minor"/>
      </font>
    </dxf>
    <dxf>
      <border outline="0">
        <bottom style="thin">
          <color indexed="64"/>
        </bottom>
      </border>
    </dxf>
    <dxf>
      <font>
        <b/>
        <i val="0"/>
        <strike val="0"/>
        <condense val="0"/>
        <extend val="0"/>
        <outline val="0"/>
        <shadow val="0"/>
        <u val="none"/>
        <vertAlign val="baseline"/>
        <sz val="12"/>
        <color theme="1"/>
        <name val="Calibri"/>
        <family val="2"/>
        <scheme val="minor"/>
      </font>
      <border diagonalUp="0" diagonalDown="0" outline="0">
        <left style="thin">
          <color auto="1"/>
        </left>
        <right style="thin">
          <color auto="1"/>
        </right>
        <top/>
        <bottom/>
      </border>
    </dxf>
    <dxf>
      <font>
        <strike val="0"/>
        <outline val="0"/>
        <shadow val="0"/>
        <u val="none"/>
        <vertAlign val="baseline"/>
        <name val="Calibri"/>
        <family val="2"/>
        <scheme val="minor"/>
      </font>
      <numFmt numFmtId="164" formatCode="#,##0.00\ &quot;€&quot;"/>
      <alignment vertical="center" textRotation="0" wrapText="0" indent="0" justifyLastLine="0" shrinkToFit="0" readingOrder="0"/>
      <border diagonalUp="0" diagonalDown="0" outline="0">
        <left style="thin">
          <color auto="1"/>
        </left>
        <right/>
        <top/>
        <bottom/>
      </border>
    </dxf>
    <dxf>
      <font>
        <strike val="0"/>
        <outline val="0"/>
        <shadow val="0"/>
        <u val="none"/>
        <vertAlign val="baseline"/>
        <name val="Calibri"/>
        <family val="2"/>
        <scheme val="minor"/>
      </font>
      <alignment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name val="Calibri"/>
        <family val="2"/>
        <scheme val="minor"/>
      </font>
      <alignment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name val="Calibri"/>
        <family val="2"/>
        <scheme val="minor"/>
      </font>
      <alignment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name val="Calibri"/>
        <family val="2"/>
        <scheme val="minor"/>
      </font>
      <alignment vertical="center" textRotation="0" wrapText="0" indent="0" justifyLastLine="0" shrinkToFit="0" readingOrder="0"/>
      <border diagonalUp="0" diagonalDown="0" outline="0">
        <left/>
        <right style="thin">
          <color auto="1"/>
        </right>
        <top/>
        <bottom/>
      </border>
    </dxf>
    <dxf>
      <border outline="0">
        <left style="thin">
          <color auto="1"/>
        </left>
        <right style="thin">
          <color auto="1"/>
        </right>
        <top style="thin">
          <color indexed="64"/>
        </top>
      </border>
    </dxf>
    <dxf>
      <font>
        <strike val="0"/>
        <outline val="0"/>
        <shadow val="0"/>
        <u val="none"/>
        <vertAlign val="baseline"/>
        <name val="Calibri"/>
        <family val="2"/>
        <scheme val="minor"/>
      </font>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left"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E9BF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Comparazione prospettive di crescita</a:t>
            </a:r>
            <a:r>
              <a:rPr lang="it-IT" baseline="0"/>
              <a:t> di fatturato vs dati storici</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v>Fatturato previsto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'B. linea prodotti Bomè'!$I$83:$P$83</c:f>
              <c:numCache>
                <c:formatCode>General</c:formatCode>
                <c:ptCount val="8"/>
                <c:pt idx="0">
                  <c:v>2020</c:v>
                </c:pt>
                <c:pt idx="1">
                  <c:v>2021</c:v>
                </c:pt>
                <c:pt idx="2">
                  <c:v>2022</c:v>
                </c:pt>
                <c:pt idx="3">
                  <c:v>2023</c:v>
                </c:pt>
                <c:pt idx="4">
                  <c:v>2024</c:v>
                </c:pt>
                <c:pt idx="5">
                  <c:v>2025</c:v>
                </c:pt>
                <c:pt idx="6">
                  <c:v>2026</c:v>
                </c:pt>
                <c:pt idx="7">
                  <c:v>2027</c:v>
                </c:pt>
              </c:numCache>
            </c:numRef>
          </c:cat>
          <c:val>
            <c:numRef>
              <c:f>'B. linea prodotti Bomè'!$I$84:$P$84</c:f>
              <c:numCache>
                <c:formatCode>#,##0.00\ "€"</c:formatCode>
                <c:ptCount val="8"/>
                <c:pt idx="0">
                  <c:v>8191</c:v>
                </c:pt>
                <c:pt idx="1">
                  <c:v>8725</c:v>
                </c:pt>
                <c:pt idx="2">
                  <c:v>8907</c:v>
                </c:pt>
                <c:pt idx="3">
                  <c:v>9498</c:v>
                </c:pt>
                <c:pt idx="4">
                  <c:v>9787</c:v>
                </c:pt>
                <c:pt idx="5">
                  <c:v>10211.099999999977</c:v>
                </c:pt>
                <c:pt idx="6">
                  <c:v>10607.599999999977</c:v>
                </c:pt>
                <c:pt idx="7">
                  <c:v>11004.099999999977</c:v>
                </c:pt>
              </c:numCache>
            </c:numRef>
          </c:val>
          <c:smooth val="0"/>
          <c:extLst>
            <c:ext xmlns:c16="http://schemas.microsoft.com/office/drawing/2014/chart" uri="{C3380CC4-5D6E-409C-BE32-E72D297353CC}">
              <c16:uniqueId val="{00000000-FFC5-6F43-B747-943FFD95CECC}"/>
            </c:ext>
          </c:extLst>
        </c:ser>
        <c:ser>
          <c:idx val="1"/>
          <c:order val="1"/>
          <c:tx>
            <c:v>Fatturato effetivo</c:v>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2"/>
            <c:dispRSqr val="0"/>
            <c:dispEq val="0"/>
          </c:trendline>
          <c:val>
            <c:numRef>
              <c:f>'B. linea prodotti Bomè'!$I$84:$M$84</c:f>
              <c:numCache>
                <c:formatCode>#,##0.00\ "€"</c:formatCode>
                <c:ptCount val="5"/>
                <c:pt idx="0">
                  <c:v>8191</c:v>
                </c:pt>
                <c:pt idx="1">
                  <c:v>8725</c:v>
                </c:pt>
                <c:pt idx="2">
                  <c:v>8907</c:v>
                </c:pt>
                <c:pt idx="3">
                  <c:v>9498</c:v>
                </c:pt>
                <c:pt idx="4">
                  <c:v>9787</c:v>
                </c:pt>
              </c:numCache>
            </c:numRef>
          </c:val>
          <c:smooth val="0"/>
          <c:extLst>
            <c:ext xmlns:c16="http://schemas.microsoft.com/office/drawing/2014/chart" uri="{C3380CC4-5D6E-409C-BE32-E72D297353CC}">
              <c16:uniqueId val="{00000002-FFC5-6F43-B747-943FFD95CECC}"/>
            </c:ext>
          </c:extLst>
        </c:ser>
        <c:dLbls>
          <c:showLegendKey val="0"/>
          <c:showVal val="0"/>
          <c:showCatName val="0"/>
          <c:showSerName val="0"/>
          <c:showPercent val="0"/>
          <c:showBubbleSize val="0"/>
        </c:dLbls>
        <c:marker val="1"/>
        <c:smooth val="0"/>
        <c:axId val="827659727"/>
        <c:axId val="828044159"/>
      </c:lineChart>
      <c:catAx>
        <c:axId val="827659727"/>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Anno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28044159"/>
        <c:crosses val="autoZero"/>
        <c:auto val="1"/>
        <c:lblAlgn val="ctr"/>
        <c:lblOffset val="100"/>
        <c:noMultiLvlLbl val="0"/>
      </c:catAx>
      <c:valAx>
        <c:axId val="828044159"/>
        <c:scaling>
          <c:orientation val="minMax"/>
          <c:max val="12000"/>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Fatturato nazionale [mln euro]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2765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2</xdr:col>
      <xdr:colOff>12700</xdr:colOff>
      <xdr:row>3</xdr:row>
      <xdr:rowOff>12700</xdr:rowOff>
    </xdr:from>
    <xdr:to>
      <xdr:col>5</xdr:col>
      <xdr:colOff>458531</xdr:colOff>
      <xdr:row>12</xdr:row>
      <xdr:rowOff>139700</xdr:rowOff>
    </xdr:to>
    <xdr:pic>
      <xdr:nvPicPr>
        <xdr:cNvPr id="3" name="Immagine 2">
          <a:extLst>
            <a:ext uri="{FF2B5EF4-FFF2-40B4-BE49-F238E27FC236}">
              <a16:creationId xmlns:a16="http://schemas.microsoft.com/office/drawing/2014/main" id="{B28DB011-ABF6-902A-9AB1-7C77333A7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5400" y="2324100"/>
          <a:ext cx="2642931" cy="2514600"/>
        </a:xfrm>
        <a:prstGeom prst="rect">
          <a:avLst/>
        </a:prstGeom>
      </xdr:spPr>
    </xdr:pic>
    <xdr:clientData/>
  </xdr:twoCellAnchor>
  <xdr:twoCellAnchor editAs="oneCell">
    <xdr:from>
      <xdr:col>3</xdr:col>
      <xdr:colOff>38100</xdr:colOff>
      <xdr:row>25</xdr:row>
      <xdr:rowOff>36478</xdr:rowOff>
    </xdr:from>
    <xdr:to>
      <xdr:col>6</xdr:col>
      <xdr:colOff>310802</xdr:colOff>
      <xdr:row>29</xdr:row>
      <xdr:rowOff>76200</xdr:rowOff>
    </xdr:to>
    <xdr:pic>
      <xdr:nvPicPr>
        <xdr:cNvPr id="2" name="Immagine 1" descr="logo UniTrento">
          <a:extLst>
            <a:ext uri="{FF2B5EF4-FFF2-40B4-BE49-F238E27FC236}">
              <a16:creationId xmlns:a16="http://schemas.microsoft.com/office/drawing/2014/main" id="{0B15058D-ADBD-F396-976A-B6DE80C13E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1300" y="8316878"/>
          <a:ext cx="2749202" cy="852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711200</xdr:colOff>
      <xdr:row>98</xdr:row>
      <xdr:rowOff>177800</xdr:rowOff>
    </xdr:from>
    <xdr:to>
      <xdr:col>16</xdr:col>
      <xdr:colOff>1117600</xdr:colOff>
      <xdr:row>122</xdr:row>
      <xdr:rowOff>36655</xdr:rowOff>
    </xdr:to>
    <xdr:pic>
      <xdr:nvPicPr>
        <xdr:cNvPr id="2" name="Immagine 1">
          <a:extLst>
            <a:ext uri="{FF2B5EF4-FFF2-40B4-BE49-F238E27FC236}">
              <a16:creationId xmlns:a16="http://schemas.microsoft.com/office/drawing/2014/main" id="{EECF9242-CFF6-FFFC-A5C5-96413D9F0AC4}"/>
            </a:ext>
          </a:extLst>
        </xdr:cNvPr>
        <xdr:cNvPicPr>
          <a:picLocks noChangeAspect="1"/>
        </xdr:cNvPicPr>
      </xdr:nvPicPr>
      <xdr:blipFill>
        <a:blip xmlns:r="http://schemas.openxmlformats.org/officeDocument/2006/relationships" r:embed="rId1"/>
        <a:stretch>
          <a:fillRect/>
        </a:stretch>
      </xdr:blipFill>
      <xdr:spPr>
        <a:xfrm>
          <a:off x="17957800" y="19316700"/>
          <a:ext cx="7772400" cy="47356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762000</xdr:colOff>
      <xdr:row>39</xdr:row>
      <xdr:rowOff>101600</xdr:rowOff>
    </xdr:from>
    <xdr:to>
      <xdr:col>9</xdr:col>
      <xdr:colOff>749300</xdr:colOff>
      <xdr:row>39</xdr:row>
      <xdr:rowOff>101600</xdr:rowOff>
    </xdr:to>
    <xdr:cxnSp macro="">
      <xdr:nvCxnSpPr>
        <xdr:cNvPr id="3" name="Connettore diritto a freccia 2">
          <a:extLst>
            <a:ext uri="{FF2B5EF4-FFF2-40B4-BE49-F238E27FC236}">
              <a16:creationId xmlns:a16="http://schemas.microsoft.com/office/drawing/2014/main" id="{604046B9-5ABC-95C0-956B-98F255238B2D}"/>
            </a:ext>
          </a:extLst>
        </xdr:cNvPr>
        <xdr:cNvCxnSpPr/>
      </xdr:nvCxnSpPr>
      <xdr:spPr>
        <a:xfrm flipH="1">
          <a:off x="4330700" y="7416800"/>
          <a:ext cx="102997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27</xdr:col>
      <xdr:colOff>253999</xdr:colOff>
      <xdr:row>88</xdr:row>
      <xdr:rowOff>177800</xdr:rowOff>
    </xdr:from>
    <xdr:to>
      <xdr:col>38</xdr:col>
      <xdr:colOff>694398</xdr:colOff>
      <xdr:row>116</xdr:row>
      <xdr:rowOff>0</xdr:rowOff>
    </xdr:to>
    <xdr:pic>
      <xdr:nvPicPr>
        <xdr:cNvPr id="2" name="Immagine 1">
          <a:extLst>
            <a:ext uri="{FF2B5EF4-FFF2-40B4-BE49-F238E27FC236}">
              <a16:creationId xmlns:a16="http://schemas.microsoft.com/office/drawing/2014/main" id="{E50EC6E6-907C-39DF-71BE-4905B46E91BB}"/>
            </a:ext>
          </a:extLst>
        </xdr:cNvPr>
        <xdr:cNvPicPr>
          <a:picLocks noChangeAspect="1"/>
        </xdr:cNvPicPr>
      </xdr:nvPicPr>
      <xdr:blipFill>
        <a:blip xmlns:r="http://schemas.openxmlformats.org/officeDocument/2006/relationships" r:embed="rId1"/>
        <a:stretch>
          <a:fillRect/>
        </a:stretch>
      </xdr:blipFill>
      <xdr:spPr>
        <a:xfrm>
          <a:off x="35775899" y="16497300"/>
          <a:ext cx="9520899" cy="5511800"/>
        </a:xfrm>
        <a:prstGeom prst="rect">
          <a:avLst/>
        </a:prstGeom>
      </xdr:spPr>
    </xdr:pic>
    <xdr:clientData/>
  </xdr:twoCellAnchor>
  <xdr:twoCellAnchor>
    <xdr:from>
      <xdr:col>13</xdr:col>
      <xdr:colOff>368300</xdr:colOff>
      <xdr:row>39</xdr:row>
      <xdr:rowOff>76200</xdr:rowOff>
    </xdr:from>
    <xdr:to>
      <xdr:col>15</xdr:col>
      <xdr:colOff>1384300</xdr:colOff>
      <xdr:row>39</xdr:row>
      <xdr:rowOff>76200</xdr:rowOff>
    </xdr:to>
    <xdr:cxnSp macro="">
      <xdr:nvCxnSpPr>
        <xdr:cNvPr id="4" name="Connettore diritto a freccia 3">
          <a:extLst>
            <a:ext uri="{FF2B5EF4-FFF2-40B4-BE49-F238E27FC236}">
              <a16:creationId xmlns:a16="http://schemas.microsoft.com/office/drawing/2014/main" id="{2F28D510-0505-8344-9528-6077064AC1BC}"/>
            </a:ext>
          </a:extLst>
        </xdr:cNvPr>
        <xdr:cNvCxnSpPr/>
      </xdr:nvCxnSpPr>
      <xdr:spPr>
        <a:xfrm>
          <a:off x="19977100" y="7162800"/>
          <a:ext cx="3962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63500</xdr:colOff>
      <xdr:row>175</xdr:row>
      <xdr:rowOff>25400</xdr:rowOff>
    </xdr:from>
    <xdr:to>
      <xdr:col>1</xdr:col>
      <xdr:colOff>1219200</xdr:colOff>
      <xdr:row>175</xdr:row>
      <xdr:rowOff>38100</xdr:rowOff>
    </xdr:to>
    <xdr:cxnSp macro="">
      <xdr:nvCxnSpPr>
        <xdr:cNvPr id="3" name="Connettore diritto a freccia 2">
          <a:extLst>
            <a:ext uri="{FF2B5EF4-FFF2-40B4-BE49-F238E27FC236}">
              <a16:creationId xmlns:a16="http://schemas.microsoft.com/office/drawing/2014/main" id="{73337F67-1B53-2C3A-67D0-5C18386DA9DB}"/>
            </a:ext>
          </a:extLst>
        </xdr:cNvPr>
        <xdr:cNvCxnSpPr/>
      </xdr:nvCxnSpPr>
      <xdr:spPr>
        <a:xfrm flipV="1">
          <a:off x="63500" y="26936700"/>
          <a:ext cx="1155700" cy="127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190500</xdr:colOff>
      <xdr:row>175</xdr:row>
      <xdr:rowOff>76200</xdr:rowOff>
    </xdr:from>
    <xdr:to>
      <xdr:col>4</xdr:col>
      <xdr:colOff>1549400</xdr:colOff>
      <xdr:row>175</xdr:row>
      <xdr:rowOff>88900</xdr:rowOff>
    </xdr:to>
    <xdr:cxnSp macro="">
      <xdr:nvCxnSpPr>
        <xdr:cNvPr id="6" name="Connettore diritto a freccia 5">
          <a:extLst>
            <a:ext uri="{FF2B5EF4-FFF2-40B4-BE49-F238E27FC236}">
              <a16:creationId xmlns:a16="http://schemas.microsoft.com/office/drawing/2014/main" id="{457419A7-36BB-6CA0-CECD-887076F5A772}"/>
            </a:ext>
          </a:extLst>
        </xdr:cNvPr>
        <xdr:cNvCxnSpPr/>
      </xdr:nvCxnSpPr>
      <xdr:spPr>
        <a:xfrm flipV="1">
          <a:off x="5626100" y="26987500"/>
          <a:ext cx="1358900" cy="1270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175</xdr:row>
      <xdr:rowOff>38100</xdr:rowOff>
    </xdr:from>
    <xdr:to>
      <xdr:col>7</xdr:col>
      <xdr:colOff>0</xdr:colOff>
      <xdr:row>183</xdr:row>
      <xdr:rowOff>0</xdr:rowOff>
    </xdr:to>
    <xdr:cxnSp macro="">
      <xdr:nvCxnSpPr>
        <xdr:cNvPr id="9" name="Connettore a gomito 8">
          <a:extLst>
            <a:ext uri="{FF2B5EF4-FFF2-40B4-BE49-F238E27FC236}">
              <a16:creationId xmlns:a16="http://schemas.microsoft.com/office/drawing/2014/main" id="{0D8F7B39-68D5-E003-B0E8-005572CB0326}"/>
            </a:ext>
          </a:extLst>
        </xdr:cNvPr>
        <xdr:cNvCxnSpPr/>
      </xdr:nvCxnSpPr>
      <xdr:spPr>
        <a:xfrm rot="16200000" flipH="1">
          <a:off x="9601200" y="26987500"/>
          <a:ext cx="1587500" cy="1511300"/>
        </a:xfrm>
        <a:prstGeom prst="bentConnector3">
          <a:avLst>
            <a:gd name="adj1" fmla="val 2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208</xdr:row>
      <xdr:rowOff>0</xdr:rowOff>
    </xdr:from>
    <xdr:to>
      <xdr:col>12</xdr:col>
      <xdr:colOff>139700</xdr:colOff>
      <xdr:row>208</xdr:row>
      <xdr:rowOff>12700</xdr:rowOff>
    </xdr:to>
    <xdr:cxnSp macro="">
      <xdr:nvCxnSpPr>
        <xdr:cNvPr id="12" name="Connettore diritto a freccia 11">
          <a:extLst>
            <a:ext uri="{FF2B5EF4-FFF2-40B4-BE49-F238E27FC236}">
              <a16:creationId xmlns:a16="http://schemas.microsoft.com/office/drawing/2014/main" id="{774EFEFD-5A96-3C45-A303-C6A69F4BAB25}"/>
            </a:ext>
          </a:extLst>
        </xdr:cNvPr>
        <xdr:cNvCxnSpPr/>
      </xdr:nvCxnSpPr>
      <xdr:spPr>
        <a:xfrm flipV="1">
          <a:off x="17195800" y="33413700"/>
          <a:ext cx="1155700" cy="127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12700</xdr:colOff>
      <xdr:row>189</xdr:row>
      <xdr:rowOff>88900</xdr:rowOff>
    </xdr:from>
    <xdr:to>
      <xdr:col>6</xdr:col>
      <xdr:colOff>1409700</xdr:colOff>
      <xdr:row>193</xdr:row>
      <xdr:rowOff>190500</xdr:rowOff>
    </xdr:to>
    <xdr:cxnSp macro="">
      <xdr:nvCxnSpPr>
        <xdr:cNvPr id="76" name="Connettore diritto a freccia 75">
          <a:extLst>
            <a:ext uri="{FF2B5EF4-FFF2-40B4-BE49-F238E27FC236}">
              <a16:creationId xmlns:a16="http://schemas.microsoft.com/office/drawing/2014/main" id="{B8180FAA-4A38-674B-BDB6-9B466404269A}"/>
            </a:ext>
          </a:extLst>
        </xdr:cNvPr>
        <xdr:cNvCxnSpPr/>
      </xdr:nvCxnSpPr>
      <xdr:spPr>
        <a:xfrm>
          <a:off x="7239000" y="29883100"/>
          <a:ext cx="3924300" cy="9271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201</xdr:row>
      <xdr:rowOff>0</xdr:rowOff>
    </xdr:from>
    <xdr:to>
      <xdr:col>7</xdr:col>
      <xdr:colOff>0</xdr:colOff>
      <xdr:row>205</xdr:row>
      <xdr:rowOff>25400</xdr:rowOff>
    </xdr:to>
    <xdr:cxnSp macro="">
      <xdr:nvCxnSpPr>
        <xdr:cNvPr id="80" name="Connettore diritto a freccia 79">
          <a:extLst>
            <a:ext uri="{FF2B5EF4-FFF2-40B4-BE49-F238E27FC236}">
              <a16:creationId xmlns:a16="http://schemas.microsoft.com/office/drawing/2014/main" id="{8AAB4ADF-C9BC-104A-8395-62E0B89EE789}"/>
            </a:ext>
          </a:extLst>
        </xdr:cNvPr>
        <xdr:cNvCxnSpPr/>
      </xdr:nvCxnSpPr>
      <xdr:spPr>
        <a:xfrm>
          <a:off x="11264900" y="32270700"/>
          <a:ext cx="0" cy="8509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12700</xdr:colOff>
      <xdr:row>201</xdr:row>
      <xdr:rowOff>0</xdr:rowOff>
    </xdr:from>
    <xdr:to>
      <xdr:col>9</xdr:col>
      <xdr:colOff>215900</xdr:colOff>
      <xdr:row>205</xdr:row>
      <xdr:rowOff>190500</xdr:rowOff>
    </xdr:to>
    <xdr:cxnSp macro="">
      <xdr:nvCxnSpPr>
        <xdr:cNvPr id="85" name="Connettore diritto a freccia 84">
          <a:extLst>
            <a:ext uri="{FF2B5EF4-FFF2-40B4-BE49-F238E27FC236}">
              <a16:creationId xmlns:a16="http://schemas.microsoft.com/office/drawing/2014/main" id="{F4FFA336-1C54-B549-A5AA-7F82479B267A}"/>
            </a:ext>
          </a:extLst>
        </xdr:cNvPr>
        <xdr:cNvCxnSpPr/>
      </xdr:nvCxnSpPr>
      <xdr:spPr>
        <a:xfrm flipV="1">
          <a:off x="12674600" y="32194500"/>
          <a:ext cx="1714500" cy="10033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1346200</xdr:colOff>
      <xdr:row>201</xdr:row>
      <xdr:rowOff>0</xdr:rowOff>
    </xdr:from>
    <xdr:to>
      <xdr:col>9</xdr:col>
      <xdr:colOff>1346200</xdr:colOff>
      <xdr:row>205</xdr:row>
      <xdr:rowOff>25400</xdr:rowOff>
    </xdr:to>
    <xdr:cxnSp macro="">
      <xdr:nvCxnSpPr>
        <xdr:cNvPr id="89" name="Connettore diritto a freccia 88">
          <a:extLst>
            <a:ext uri="{FF2B5EF4-FFF2-40B4-BE49-F238E27FC236}">
              <a16:creationId xmlns:a16="http://schemas.microsoft.com/office/drawing/2014/main" id="{90D27986-45E6-8143-BFCB-D031AC955624}"/>
            </a:ext>
          </a:extLst>
        </xdr:cNvPr>
        <xdr:cNvCxnSpPr/>
      </xdr:nvCxnSpPr>
      <xdr:spPr>
        <a:xfrm>
          <a:off x="15519400" y="32194500"/>
          <a:ext cx="0" cy="8382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12700</xdr:colOff>
      <xdr:row>174</xdr:row>
      <xdr:rowOff>101600</xdr:rowOff>
    </xdr:from>
    <xdr:to>
      <xdr:col>8</xdr:col>
      <xdr:colOff>1498600</xdr:colOff>
      <xdr:row>174</xdr:row>
      <xdr:rowOff>101600</xdr:rowOff>
    </xdr:to>
    <xdr:cxnSp macro="">
      <xdr:nvCxnSpPr>
        <xdr:cNvPr id="94" name="Connettore diritto a freccia 93">
          <a:extLst>
            <a:ext uri="{FF2B5EF4-FFF2-40B4-BE49-F238E27FC236}">
              <a16:creationId xmlns:a16="http://schemas.microsoft.com/office/drawing/2014/main" id="{44561A40-C79B-8EE5-5D14-01C767B39CB7}"/>
            </a:ext>
          </a:extLst>
        </xdr:cNvPr>
        <xdr:cNvCxnSpPr/>
      </xdr:nvCxnSpPr>
      <xdr:spPr>
        <a:xfrm>
          <a:off x="9652000" y="26809700"/>
          <a:ext cx="4508500" cy="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175</xdr:row>
      <xdr:rowOff>0</xdr:rowOff>
    </xdr:from>
    <xdr:to>
      <xdr:col>11</xdr:col>
      <xdr:colOff>1003300</xdr:colOff>
      <xdr:row>175</xdr:row>
      <xdr:rowOff>0</xdr:rowOff>
    </xdr:to>
    <xdr:cxnSp macro="">
      <xdr:nvCxnSpPr>
        <xdr:cNvPr id="98" name="Connettore diritto a freccia 97">
          <a:extLst>
            <a:ext uri="{FF2B5EF4-FFF2-40B4-BE49-F238E27FC236}">
              <a16:creationId xmlns:a16="http://schemas.microsoft.com/office/drawing/2014/main" id="{8BC4ED3D-4B87-8547-8421-231CDED73483}"/>
            </a:ext>
          </a:extLst>
        </xdr:cNvPr>
        <xdr:cNvCxnSpPr/>
      </xdr:nvCxnSpPr>
      <xdr:spPr>
        <a:xfrm>
          <a:off x="17195800" y="26911300"/>
          <a:ext cx="1003300" cy="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228600</xdr:colOff>
      <xdr:row>179</xdr:row>
      <xdr:rowOff>12700</xdr:rowOff>
    </xdr:from>
    <xdr:to>
      <xdr:col>13</xdr:col>
      <xdr:colOff>241300</xdr:colOff>
      <xdr:row>194</xdr:row>
      <xdr:rowOff>0</xdr:rowOff>
    </xdr:to>
    <xdr:cxnSp macro="">
      <xdr:nvCxnSpPr>
        <xdr:cNvPr id="107" name="Connettore diritto a freccia 106">
          <a:extLst>
            <a:ext uri="{FF2B5EF4-FFF2-40B4-BE49-F238E27FC236}">
              <a16:creationId xmlns:a16="http://schemas.microsoft.com/office/drawing/2014/main" id="{0173606C-DDE6-9145-9661-361F58E7D025}"/>
            </a:ext>
          </a:extLst>
        </xdr:cNvPr>
        <xdr:cNvCxnSpPr/>
      </xdr:nvCxnSpPr>
      <xdr:spPr>
        <a:xfrm flipH="1">
          <a:off x="19265900" y="27736800"/>
          <a:ext cx="12700" cy="303530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0</xdr:colOff>
      <xdr:row>193</xdr:row>
      <xdr:rowOff>25401</xdr:rowOff>
    </xdr:from>
    <xdr:to>
      <xdr:col>12</xdr:col>
      <xdr:colOff>508000</xdr:colOff>
      <xdr:row>194</xdr:row>
      <xdr:rowOff>12701</xdr:rowOff>
    </xdr:to>
    <xdr:sp macro="" textlink="">
      <xdr:nvSpPr>
        <xdr:cNvPr id="114" name="Figura a mano libera 113">
          <a:extLst>
            <a:ext uri="{FF2B5EF4-FFF2-40B4-BE49-F238E27FC236}">
              <a16:creationId xmlns:a16="http://schemas.microsoft.com/office/drawing/2014/main" id="{BBB6E497-F734-6AD0-03CF-35C82D405B25}"/>
            </a:ext>
          </a:extLst>
        </xdr:cNvPr>
        <xdr:cNvSpPr/>
      </xdr:nvSpPr>
      <xdr:spPr>
        <a:xfrm>
          <a:off x="12776200" y="30594301"/>
          <a:ext cx="6057900" cy="190500"/>
        </a:xfrm>
        <a:custGeom>
          <a:avLst/>
          <a:gdLst>
            <a:gd name="csX0" fmla="*/ 6057900 w 6057900"/>
            <a:gd name="csY0" fmla="*/ 279215 h 279215"/>
            <a:gd name="csX1" fmla="*/ 4457700 w 6057900"/>
            <a:gd name="csY1" fmla="*/ 25215 h 279215"/>
            <a:gd name="csX2" fmla="*/ 1079500 w 6057900"/>
            <a:gd name="csY2" fmla="*/ 37915 h 279215"/>
            <a:gd name="csX3" fmla="*/ 0 w 6057900"/>
            <a:gd name="csY3" fmla="*/ 279215 h 279215"/>
          </a:gdLst>
          <a:ahLst/>
          <a:cxnLst>
            <a:cxn ang="0">
              <a:pos x="csX0" y="csY0"/>
            </a:cxn>
            <a:cxn ang="0">
              <a:pos x="csX1" y="csY1"/>
            </a:cxn>
            <a:cxn ang="0">
              <a:pos x="csX2" y="csY2"/>
            </a:cxn>
            <a:cxn ang="0">
              <a:pos x="csX3" y="csY3"/>
            </a:cxn>
          </a:cxnLst>
          <a:rect l="l" t="t" r="r" b="b"/>
          <a:pathLst>
            <a:path w="6057900" h="279215">
              <a:moveTo>
                <a:pt x="6057900" y="279215"/>
              </a:moveTo>
              <a:cubicBezTo>
                <a:pt x="5672666" y="172323"/>
                <a:pt x="5287433" y="65432"/>
                <a:pt x="4457700" y="25215"/>
              </a:cubicBezTo>
              <a:cubicBezTo>
                <a:pt x="3627967" y="-15002"/>
                <a:pt x="1822450" y="-4418"/>
                <a:pt x="1079500" y="37915"/>
              </a:cubicBezTo>
              <a:cubicBezTo>
                <a:pt x="336550" y="80248"/>
                <a:pt x="35983" y="255932"/>
                <a:pt x="0" y="279215"/>
              </a:cubicBezTo>
            </a:path>
          </a:pathLst>
        </a:custGeom>
        <a:ln w="12700">
          <a:tailEnd type="triangle"/>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it-IT" sz="1100"/>
        </a:p>
      </xdr:txBody>
    </xdr:sp>
    <xdr:clientData/>
  </xdr:twoCellAnchor>
  <xdr:twoCellAnchor>
    <xdr:from>
      <xdr:col>8</xdr:col>
      <xdr:colOff>12700</xdr:colOff>
      <xdr:row>200</xdr:row>
      <xdr:rowOff>0</xdr:rowOff>
    </xdr:from>
    <xdr:to>
      <xdr:col>9</xdr:col>
      <xdr:colOff>292100</xdr:colOff>
      <xdr:row>204</xdr:row>
      <xdr:rowOff>177800</xdr:rowOff>
    </xdr:to>
    <xdr:cxnSp macro="">
      <xdr:nvCxnSpPr>
        <xdr:cNvPr id="117" name="Connettore diritto a freccia 116">
          <a:extLst>
            <a:ext uri="{FF2B5EF4-FFF2-40B4-BE49-F238E27FC236}">
              <a16:creationId xmlns:a16="http://schemas.microsoft.com/office/drawing/2014/main" id="{3C4B223E-00CF-5D8A-0199-74A8628A3ECA}"/>
            </a:ext>
          </a:extLst>
        </xdr:cNvPr>
        <xdr:cNvCxnSpPr/>
      </xdr:nvCxnSpPr>
      <xdr:spPr>
        <a:xfrm>
          <a:off x="12674600" y="31991300"/>
          <a:ext cx="1790700" cy="99060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0</xdr:colOff>
      <xdr:row>179</xdr:row>
      <xdr:rowOff>12700</xdr:rowOff>
    </xdr:from>
    <xdr:to>
      <xdr:col>10</xdr:col>
      <xdr:colOff>0</xdr:colOff>
      <xdr:row>182</xdr:row>
      <xdr:rowOff>203200</xdr:rowOff>
    </xdr:to>
    <xdr:cxnSp macro="">
      <xdr:nvCxnSpPr>
        <xdr:cNvPr id="119" name="Connettore diritto a freccia 118">
          <a:extLst>
            <a:ext uri="{FF2B5EF4-FFF2-40B4-BE49-F238E27FC236}">
              <a16:creationId xmlns:a16="http://schemas.microsoft.com/office/drawing/2014/main" id="{EBAAF0EC-48BD-8547-A097-6C4BB92A92B7}"/>
            </a:ext>
          </a:extLst>
        </xdr:cNvPr>
        <xdr:cNvCxnSpPr/>
      </xdr:nvCxnSpPr>
      <xdr:spPr>
        <a:xfrm>
          <a:off x="15798800" y="27762200"/>
          <a:ext cx="0" cy="80010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177</xdr:row>
      <xdr:rowOff>190500</xdr:rowOff>
    </xdr:from>
    <xdr:to>
      <xdr:col>12</xdr:col>
      <xdr:colOff>12700</xdr:colOff>
      <xdr:row>184</xdr:row>
      <xdr:rowOff>0</xdr:rowOff>
    </xdr:to>
    <xdr:cxnSp macro="">
      <xdr:nvCxnSpPr>
        <xdr:cNvPr id="122" name="Connettore diritto a freccia 121">
          <a:extLst>
            <a:ext uri="{FF2B5EF4-FFF2-40B4-BE49-F238E27FC236}">
              <a16:creationId xmlns:a16="http://schemas.microsoft.com/office/drawing/2014/main" id="{70FF9716-1B2D-D14C-9B8D-72F0B662A608}"/>
            </a:ext>
          </a:extLst>
        </xdr:cNvPr>
        <xdr:cNvCxnSpPr/>
      </xdr:nvCxnSpPr>
      <xdr:spPr>
        <a:xfrm flipV="1">
          <a:off x="17195800" y="27508200"/>
          <a:ext cx="1028700" cy="123190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197</xdr:row>
      <xdr:rowOff>0</xdr:rowOff>
    </xdr:from>
    <xdr:to>
      <xdr:col>5</xdr:col>
      <xdr:colOff>2489200</xdr:colOff>
      <xdr:row>197</xdr:row>
      <xdr:rowOff>0</xdr:rowOff>
    </xdr:to>
    <xdr:cxnSp macro="">
      <xdr:nvCxnSpPr>
        <xdr:cNvPr id="127" name="Connettore diritto a freccia 126">
          <a:extLst>
            <a:ext uri="{FF2B5EF4-FFF2-40B4-BE49-F238E27FC236}">
              <a16:creationId xmlns:a16="http://schemas.microsoft.com/office/drawing/2014/main" id="{844A861D-EC1E-3145-8566-A6FF68F766B8}"/>
            </a:ext>
          </a:extLst>
        </xdr:cNvPr>
        <xdr:cNvCxnSpPr/>
      </xdr:nvCxnSpPr>
      <xdr:spPr>
        <a:xfrm flipH="1">
          <a:off x="7226300" y="31445200"/>
          <a:ext cx="2489200" cy="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199</xdr:row>
      <xdr:rowOff>114300</xdr:rowOff>
    </xdr:from>
    <xdr:to>
      <xdr:col>8</xdr:col>
      <xdr:colOff>1485900</xdr:colOff>
      <xdr:row>205</xdr:row>
      <xdr:rowOff>101600</xdr:rowOff>
    </xdr:to>
    <xdr:cxnSp macro="">
      <xdr:nvCxnSpPr>
        <xdr:cNvPr id="129" name="Connettore diritto a freccia 128">
          <a:extLst>
            <a:ext uri="{FF2B5EF4-FFF2-40B4-BE49-F238E27FC236}">
              <a16:creationId xmlns:a16="http://schemas.microsoft.com/office/drawing/2014/main" id="{73EADFB0-3AD0-914C-BE4A-6FB383A4BA02}"/>
            </a:ext>
          </a:extLst>
        </xdr:cNvPr>
        <xdr:cNvCxnSpPr/>
      </xdr:nvCxnSpPr>
      <xdr:spPr>
        <a:xfrm>
          <a:off x="7112000" y="31902400"/>
          <a:ext cx="7035800" cy="120650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12700</xdr:colOff>
      <xdr:row>173</xdr:row>
      <xdr:rowOff>114300</xdr:rowOff>
    </xdr:from>
    <xdr:to>
      <xdr:col>8</xdr:col>
      <xdr:colOff>1498600</xdr:colOff>
      <xdr:row>173</xdr:row>
      <xdr:rowOff>114300</xdr:rowOff>
    </xdr:to>
    <xdr:cxnSp macro="">
      <xdr:nvCxnSpPr>
        <xdr:cNvPr id="134" name="Connettore diritto a freccia 133">
          <a:extLst>
            <a:ext uri="{FF2B5EF4-FFF2-40B4-BE49-F238E27FC236}">
              <a16:creationId xmlns:a16="http://schemas.microsoft.com/office/drawing/2014/main" id="{5B919021-6E93-2508-3B63-E0CE4C2F7A6D}"/>
            </a:ext>
          </a:extLst>
        </xdr:cNvPr>
        <xdr:cNvCxnSpPr/>
      </xdr:nvCxnSpPr>
      <xdr:spPr>
        <a:xfrm>
          <a:off x="9766300" y="26619200"/>
          <a:ext cx="4508500" cy="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1384300</xdr:colOff>
      <xdr:row>179</xdr:row>
      <xdr:rowOff>0</xdr:rowOff>
    </xdr:from>
    <xdr:to>
      <xdr:col>9</xdr:col>
      <xdr:colOff>1384300</xdr:colOff>
      <xdr:row>183</xdr:row>
      <xdr:rowOff>0</xdr:rowOff>
    </xdr:to>
    <xdr:cxnSp macro="">
      <xdr:nvCxnSpPr>
        <xdr:cNvPr id="136" name="Connettore diritto a freccia 135">
          <a:extLst>
            <a:ext uri="{FF2B5EF4-FFF2-40B4-BE49-F238E27FC236}">
              <a16:creationId xmlns:a16="http://schemas.microsoft.com/office/drawing/2014/main" id="{2DB58C1F-ED62-4741-9C9F-9E19D4555C6E}"/>
            </a:ext>
          </a:extLst>
        </xdr:cNvPr>
        <xdr:cNvCxnSpPr/>
      </xdr:nvCxnSpPr>
      <xdr:spPr>
        <a:xfrm>
          <a:off x="15671800" y="27724100"/>
          <a:ext cx="0" cy="81280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1498600</xdr:colOff>
      <xdr:row>186</xdr:row>
      <xdr:rowOff>0</xdr:rowOff>
    </xdr:from>
    <xdr:to>
      <xdr:col>9</xdr:col>
      <xdr:colOff>25400</xdr:colOff>
      <xdr:row>186</xdr:row>
      <xdr:rowOff>0</xdr:rowOff>
    </xdr:to>
    <xdr:cxnSp macro="">
      <xdr:nvCxnSpPr>
        <xdr:cNvPr id="139" name="Connettore diritto a freccia 138">
          <a:extLst>
            <a:ext uri="{FF2B5EF4-FFF2-40B4-BE49-F238E27FC236}">
              <a16:creationId xmlns:a16="http://schemas.microsoft.com/office/drawing/2014/main" id="{7BD93741-6423-8642-B3A2-931997ECEF72}"/>
            </a:ext>
          </a:extLst>
        </xdr:cNvPr>
        <xdr:cNvCxnSpPr/>
      </xdr:nvCxnSpPr>
      <xdr:spPr>
        <a:xfrm flipH="1">
          <a:off x="12763500" y="29146500"/>
          <a:ext cx="1549400" cy="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1498600</xdr:colOff>
      <xdr:row>190</xdr:row>
      <xdr:rowOff>0</xdr:rowOff>
    </xdr:from>
    <xdr:to>
      <xdr:col>6</xdr:col>
      <xdr:colOff>1498600</xdr:colOff>
      <xdr:row>194</xdr:row>
      <xdr:rowOff>0</xdr:rowOff>
    </xdr:to>
    <xdr:cxnSp macro="">
      <xdr:nvCxnSpPr>
        <xdr:cNvPr id="141" name="Connettore diritto a freccia 140">
          <a:extLst>
            <a:ext uri="{FF2B5EF4-FFF2-40B4-BE49-F238E27FC236}">
              <a16:creationId xmlns:a16="http://schemas.microsoft.com/office/drawing/2014/main" id="{352D94F9-A28B-FD42-8A4A-27639BE155F9}"/>
            </a:ext>
          </a:extLst>
        </xdr:cNvPr>
        <xdr:cNvCxnSpPr/>
      </xdr:nvCxnSpPr>
      <xdr:spPr>
        <a:xfrm>
          <a:off x="11252200" y="29959300"/>
          <a:ext cx="0" cy="81280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196</xdr:row>
      <xdr:rowOff>114300</xdr:rowOff>
    </xdr:from>
    <xdr:to>
      <xdr:col>8</xdr:col>
      <xdr:colOff>1498600</xdr:colOff>
      <xdr:row>196</xdr:row>
      <xdr:rowOff>114300</xdr:rowOff>
    </xdr:to>
    <xdr:cxnSp macro="">
      <xdr:nvCxnSpPr>
        <xdr:cNvPr id="143" name="Connettore diritto a freccia 142">
          <a:extLst>
            <a:ext uri="{FF2B5EF4-FFF2-40B4-BE49-F238E27FC236}">
              <a16:creationId xmlns:a16="http://schemas.microsoft.com/office/drawing/2014/main" id="{EBF95AFA-05F5-8149-A630-EBA32F8F640A}"/>
            </a:ext>
          </a:extLst>
        </xdr:cNvPr>
        <xdr:cNvCxnSpPr/>
      </xdr:nvCxnSpPr>
      <xdr:spPr>
        <a:xfrm>
          <a:off x="12776200" y="31292800"/>
          <a:ext cx="1498600" cy="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196</xdr:row>
      <xdr:rowOff>88900</xdr:rowOff>
    </xdr:from>
    <xdr:to>
      <xdr:col>5</xdr:col>
      <xdr:colOff>2501900</xdr:colOff>
      <xdr:row>196</xdr:row>
      <xdr:rowOff>88900</xdr:rowOff>
    </xdr:to>
    <xdr:cxnSp macro="">
      <xdr:nvCxnSpPr>
        <xdr:cNvPr id="147" name="Connettore diritto a freccia 146">
          <a:extLst>
            <a:ext uri="{FF2B5EF4-FFF2-40B4-BE49-F238E27FC236}">
              <a16:creationId xmlns:a16="http://schemas.microsoft.com/office/drawing/2014/main" id="{130115F1-A739-6841-B0BF-736D647C5FBC}"/>
            </a:ext>
          </a:extLst>
        </xdr:cNvPr>
        <xdr:cNvCxnSpPr/>
      </xdr:nvCxnSpPr>
      <xdr:spPr>
        <a:xfrm flipH="1">
          <a:off x="7226300" y="31330900"/>
          <a:ext cx="2501900" cy="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1346200</xdr:colOff>
      <xdr:row>192</xdr:row>
      <xdr:rowOff>38100</xdr:rowOff>
    </xdr:from>
    <xdr:to>
      <xdr:col>9</xdr:col>
      <xdr:colOff>482600</xdr:colOff>
      <xdr:row>194</xdr:row>
      <xdr:rowOff>12700</xdr:rowOff>
    </xdr:to>
    <xdr:sp macro="" textlink="">
      <xdr:nvSpPr>
        <xdr:cNvPr id="150" name="Figura a mano libera 149">
          <a:extLst>
            <a:ext uri="{FF2B5EF4-FFF2-40B4-BE49-F238E27FC236}">
              <a16:creationId xmlns:a16="http://schemas.microsoft.com/office/drawing/2014/main" id="{FC026CD9-7A7A-0E25-784F-195CBBA7CE00}"/>
            </a:ext>
          </a:extLst>
        </xdr:cNvPr>
        <xdr:cNvSpPr/>
      </xdr:nvSpPr>
      <xdr:spPr>
        <a:xfrm>
          <a:off x="6781800" y="30454600"/>
          <a:ext cx="7988300" cy="393700"/>
        </a:xfrm>
        <a:custGeom>
          <a:avLst/>
          <a:gdLst>
            <a:gd name="csX0" fmla="*/ 0 w 8915400"/>
            <a:gd name="csY0" fmla="*/ 217976 h 243376"/>
            <a:gd name="csX1" fmla="*/ 3962400 w 8915400"/>
            <a:gd name="csY1" fmla="*/ 2076 h 243376"/>
            <a:gd name="csX2" fmla="*/ 8115300 w 8915400"/>
            <a:gd name="csY2" fmla="*/ 116376 h 243376"/>
            <a:gd name="csX3" fmla="*/ 8915400 w 8915400"/>
            <a:gd name="csY3" fmla="*/ 243376 h 243376"/>
          </a:gdLst>
          <a:ahLst/>
          <a:cxnLst>
            <a:cxn ang="0">
              <a:pos x="csX0" y="csY0"/>
            </a:cxn>
            <a:cxn ang="0">
              <a:pos x="csX1" y="csY1"/>
            </a:cxn>
            <a:cxn ang="0">
              <a:pos x="csX2" y="csY2"/>
            </a:cxn>
            <a:cxn ang="0">
              <a:pos x="csX3" y="csY3"/>
            </a:cxn>
          </a:cxnLst>
          <a:rect l="l" t="t" r="r" b="b"/>
          <a:pathLst>
            <a:path w="8915400" h="243376">
              <a:moveTo>
                <a:pt x="0" y="217976"/>
              </a:moveTo>
              <a:cubicBezTo>
                <a:pt x="1304925" y="118492"/>
                <a:pt x="2609850" y="19009"/>
                <a:pt x="3962400" y="2076"/>
              </a:cubicBezTo>
              <a:cubicBezTo>
                <a:pt x="5314950" y="-14857"/>
                <a:pt x="7289800" y="76159"/>
                <a:pt x="8115300" y="116376"/>
              </a:cubicBezTo>
              <a:cubicBezTo>
                <a:pt x="8940800" y="156593"/>
                <a:pt x="8873067" y="184109"/>
                <a:pt x="8915400" y="243376"/>
              </a:cubicBezTo>
            </a:path>
          </a:pathLst>
        </a:custGeom>
        <a:noFill/>
        <a:ln>
          <a:solidFill>
            <a:srgbClr val="7030A0"/>
          </a:solidFill>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7</xdr:col>
      <xdr:colOff>1016000</xdr:colOff>
      <xdr:row>191</xdr:row>
      <xdr:rowOff>177800</xdr:rowOff>
    </xdr:from>
    <xdr:to>
      <xdr:col>12</xdr:col>
      <xdr:colOff>520700</xdr:colOff>
      <xdr:row>194</xdr:row>
      <xdr:rowOff>25400</xdr:rowOff>
    </xdr:to>
    <xdr:sp macro="" textlink="">
      <xdr:nvSpPr>
        <xdr:cNvPr id="152" name="Figura a mano libera 151">
          <a:extLst>
            <a:ext uri="{FF2B5EF4-FFF2-40B4-BE49-F238E27FC236}">
              <a16:creationId xmlns:a16="http://schemas.microsoft.com/office/drawing/2014/main" id="{9E96A589-BD73-6B4B-A27A-6AFF75D277C2}"/>
            </a:ext>
          </a:extLst>
        </xdr:cNvPr>
        <xdr:cNvSpPr/>
      </xdr:nvSpPr>
      <xdr:spPr>
        <a:xfrm>
          <a:off x="12280900" y="30391100"/>
          <a:ext cx="6565900" cy="469900"/>
        </a:xfrm>
        <a:custGeom>
          <a:avLst/>
          <a:gdLst>
            <a:gd name="csX0" fmla="*/ 0 w 8915400"/>
            <a:gd name="csY0" fmla="*/ 217976 h 243376"/>
            <a:gd name="csX1" fmla="*/ 3962400 w 8915400"/>
            <a:gd name="csY1" fmla="*/ 2076 h 243376"/>
            <a:gd name="csX2" fmla="*/ 8115300 w 8915400"/>
            <a:gd name="csY2" fmla="*/ 116376 h 243376"/>
            <a:gd name="csX3" fmla="*/ 8915400 w 8915400"/>
            <a:gd name="csY3" fmla="*/ 243376 h 243376"/>
          </a:gdLst>
          <a:ahLst/>
          <a:cxnLst>
            <a:cxn ang="0">
              <a:pos x="csX0" y="csY0"/>
            </a:cxn>
            <a:cxn ang="0">
              <a:pos x="csX1" y="csY1"/>
            </a:cxn>
            <a:cxn ang="0">
              <a:pos x="csX2" y="csY2"/>
            </a:cxn>
            <a:cxn ang="0">
              <a:pos x="csX3" y="csY3"/>
            </a:cxn>
          </a:cxnLst>
          <a:rect l="l" t="t" r="r" b="b"/>
          <a:pathLst>
            <a:path w="8915400" h="243376">
              <a:moveTo>
                <a:pt x="0" y="217976"/>
              </a:moveTo>
              <a:cubicBezTo>
                <a:pt x="1304925" y="118492"/>
                <a:pt x="2609850" y="19009"/>
                <a:pt x="3962400" y="2076"/>
              </a:cubicBezTo>
              <a:cubicBezTo>
                <a:pt x="5314950" y="-14857"/>
                <a:pt x="7289800" y="76159"/>
                <a:pt x="8115300" y="116376"/>
              </a:cubicBezTo>
              <a:cubicBezTo>
                <a:pt x="8940800" y="156593"/>
                <a:pt x="8873067" y="184109"/>
                <a:pt x="8915400" y="243376"/>
              </a:cubicBezTo>
            </a:path>
          </a:pathLst>
        </a:custGeom>
        <a:noFill/>
        <a:ln>
          <a:solidFill>
            <a:srgbClr val="7030A0"/>
          </a:solidFill>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10</xdr:col>
      <xdr:colOff>203200</xdr:colOff>
      <xdr:row>201</xdr:row>
      <xdr:rowOff>0</xdr:rowOff>
    </xdr:from>
    <xdr:to>
      <xdr:col>10</xdr:col>
      <xdr:colOff>203200</xdr:colOff>
      <xdr:row>205</xdr:row>
      <xdr:rowOff>25400</xdr:rowOff>
    </xdr:to>
    <xdr:cxnSp macro="">
      <xdr:nvCxnSpPr>
        <xdr:cNvPr id="153" name="Connettore diritto a freccia 152">
          <a:extLst>
            <a:ext uri="{FF2B5EF4-FFF2-40B4-BE49-F238E27FC236}">
              <a16:creationId xmlns:a16="http://schemas.microsoft.com/office/drawing/2014/main" id="{3FE75CCF-1893-8E4C-AD8C-205E993E63D9}"/>
            </a:ext>
          </a:extLst>
        </xdr:cNvPr>
        <xdr:cNvCxnSpPr/>
      </xdr:nvCxnSpPr>
      <xdr:spPr>
        <a:xfrm>
          <a:off x="16002000" y="32194500"/>
          <a:ext cx="0" cy="83820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197</xdr:row>
      <xdr:rowOff>0</xdr:rowOff>
    </xdr:from>
    <xdr:to>
      <xdr:col>12</xdr:col>
      <xdr:colOff>0</xdr:colOff>
      <xdr:row>197</xdr:row>
      <xdr:rowOff>0</xdr:rowOff>
    </xdr:to>
    <xdr:cxnSp macro="">
      <xdr:nvCxnSpPr>
        <xdr:cNvPr id="155" name="Connettore diritto a freccia 154">
          <a:extLst>
            <a:ext uri="{FF2B5EF4-FFF2-40B4-BE49-F238E27FC236}">
              <a16:creationId xmlns:a16="http://schemas.microsoft.com/office/drawing/2014/main" id="{D26378CA-9FD4-F345-8625-109FFF62D7C6}"/>
            </a:ext>
          </a:extLst>
        </xdr:cNvPr>
        <xdr:cNvCxnSpPr/>
      </xdr:nvCxnSpPr>
      <xdr:spPr>
        <a:xfrm flipH="1">
          <a:off x="17310100" y="31381700"/>
          <a:ext cx="1016000" cy="0"/>
        </a:xfrm>
        <a:prstGeom prst="straightConnector1">
          <a:avLst/>
        </a:prstGeom>
        <a:ln w="127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63500</xdr:colOff>
      <xdr:row>179</xdr:row>
      <xdr:rowOff>12700</xdr:rowOff>
    </xdr:from>
    <xdr:to>
      <xdr:col>5</xdr:col>
      <xdr:colOff>1066800</xdr:colOff>
      <xdr:row>183</xdr:row>
      <xdr:rowOff>0</xdr:rowOff>
    </xdr:to>
    <xdr:cxnSp macro="">
      <xdr:nvCxnSpPr>
        <xdr:cNvPr id="160" name="Connettore diritto a freccia 159">
          <a:extLst>
            <a:ext uri="{FF2B5EF4-FFF2-40B4-BE49-F238E27FC236}">
              <a16:creationId xmlns:a16="http://schemas.microsoft.com/office/drawing/2014/main" id="{7C151E95-966A-1A4B-BEEF-5172E9136500}"/>
            </a:ext>
          </a:extLst>
        </xdr:cNvPr>
        <xdr:cNvCxnSpPr/>
      </xdr:nvCxnSpPr>
      <xdr:spPr>
        <a:xfrm flipH="1">
          <a:off x="5499100" y="27736800"/>
          <a:ext cx="2794000" cy="80010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4</xdr:col>
      <xdr:colOff>1625600</xdr:colOff>
      <xdr:row>181</xdr:row>
      <xdr:rowOff>101600</xdr:rowOff>
    </xdr:from>
    <xdr:to>
      <xdr:col>9</xdr:col>
      <xdr:colOff>241300</xdr:colOff>
      <xdr:row>183</xdr:row>
      <xdr:rowOff>0</xdr:rowOff>
    </xdr:to>
    <xdr:sp macro="" textlink="">
      <xdr:nvSpPr>
        <xdr:cNvPr id="162" name="Figura a mano libera 161">
          <a:extLst>
            <a:ext uri="{FF2B5EF4-FFF2-40B4-BE49-F238E27FC236}">
              <a16:creationId xmlns:a16="http://schemas.microsoft.com/office/drawing/2014/main" id="{913F951B-B87A-924E-B141-A2EC39EE29F7}"/>
            </a:ext>
          </a:extLst>
        </xdr:cNvPr>
        <xdr:cNvSpPr/>
      </xdr:nvSpPr>
      <xdr:spPr>
        <a:xfrm>
          <a:off x="7061200" y="28257500"/>
          <a:ext cx="7467600" cy="317500"/>
        </a:xfrm>
        <a:custGeom>
          <a:avLst/>
          <a:gdLst>
            <a:gd name="csX0" fmla="*/ 0 w 8915400"/>
            <a:gd name="csY0" fmla="*/ 217976 h 243376"/>
            <a:gd name="csX1" fmla="*/ 3962400 w 8915400"/>
            <a:gd name="csY1" fmla="*/ 2076 h 243376"/>
            <a:gd name="csX2" fmla="*/ 8115300 w 8915400"/>
            <a:gd name="csY2" fmla="*/ 116376 h 243376"/>
            <a:gd name="csX3" fmla="*/ 8915400 w 8915400"/>
            <a:gd name="csY3" fmla="*/ 243376 h 243376"/>
          </a:gdLst>
          <a:ahLst/>
          <a:cxnLst>
            <a:cxn ang="0">
              <a:pos x="csX0" y="csY0"/>
            </a:cxn>
            <a:cxn ang="0">
              <a:pos x="csX1" y="csY1"/>
            </a:cxn>
            <a:cxn ang="0">
              <a:pos x="csX2" y="csY2"/>
            </a:cxn>
            <a:cxn ang="0">
              <a:pos x="csX3" y="csY3"/>
            </a:cxn>
          </a:cxnLst>
          <a:rect l="l" t="t" r="r" b="b"/>
          <a:pathLst>
            <a:path w="8915400" h="243376">
              <a:moveTo>
                <a:pt x="0" y="217976"/>
              </a:moveTo>
              <a:cubicBezTo>
                <a:pt x="1304925" y="118492"/>
                <a:pt x="2609850" y="19009"/>
                <a:pt x="3962400" y="2076"/>
              </a:cubicBezTo>
              <a:cubicBezTo>
                <a:pt x="5314950" y="-14857"/>
                <a:pt x="7289800" y="76159"/>
                <a:pt x="8115300" y="116376"/>
              </a:cubicBezTo>
              <a:cubicBezTo>
                <a:pt x="8940800" y="156593"/>
                <a:pt x="8873067" y="184109"/>
                <a:pt x="8915400" y="243376"/>
              </a:cubicBezTo>
            </a:path>
          </a:pathLst>
        </a:custGeom>
        <a:ln>
          <a:tailEnd type="triangle"/>
        </a:ln>
      </xdr:spPr>
      <xdr:style>
        <a:lnRef idx="2">
          <a:schemeClr val="accent6"/>
        </a:lnRef>
        <a:fillRef idx="0">
          <a:schemeClr val="accent6"/>
        </a:fillRef>
        <a:effectRef idx="1">
          <a:schemeClr val="accent6"/>
        </a:effectRef>
        <a:fontRef idx="minor">
          <a:schemeClr val="tx1"/>
        </a:fontRef>
      </xdr:style>
      <xdr:txBody>
        <a:bodyPr vertOverflow="clip" horzOverflow="clip" rtlCol="0" anchor="t"/>
        <a:lstStyle/>
        <a:p>
          <a:pPr algn="l"/>
          <a:endParaRPr lang="it-IT" sz="1100"/>
        </a:p>
      </xdr:txBody>
    </xdr:sp>
    <xdr:clientData/>
  </xdr:twoCellAnchor>
  <xdr:twoCellAnchor>
    <xdr:from>
      <xdr:col>7</xdr:col>
      <xdr:colOff>50800</xdr:colOff>
      <xdr:row>188</xdr:row>
      <xdr:rowOff>101600</xdr:rowOff>
    </xdr:from>
    <xdr:to>
      <xdr:col>8</xdr:col>
      <xdr:colOff>1473200</xdr:colOff>
      <xdr:row>193</xdr:row>
      <xdr:rowOff>177800</xdr:rowOff>
    </xdr:to>
    <xdr:cxnSp macro="">
      <xdr:nvCxnSpPr>
        <xdr:cNvPr id="163" name="Connettore diritto a freccia 162">
          <a:extLst>
            <a:ext uri="{FF2B5EF4-FFF2-40B4-BE49-F238E27FC236}">
              <a16:creationId xmlns:a16="http://schemas.microsoft.com/office/drawing/2014/main" id="{E5368ACF-816D-AC40-B419-760B7071D442}"/>
            </a:ext>
          </a:extLst>
        </xdr:cNvPr>
        <xdr:cNvCxnSpPr/>
      </xdr:nvCxnSpPr>
      <xdr:spPr>
        <a:xfrm flipH="1">
          <a:off x="11315700" y="29654500"/>
          <a:ext cx="2933700" cy="109220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0</xdr:colOff>
      <xdr:row>197</xdr:row>
      <xdr:rowOff>114300</xdr:rowOff>
    </xdr:from>
    <xdr:to>
      <xdr:col>5</xdr:col>
      <xdr:colOff>2514600</xdr:colOff>
      <xdr:row>197</xdr:row>
      <xdr:rowOff>114300</xdr:rowOff>
    </xdr:to>
    <xdr:cxnSp macro="">
      <xdr:nvCxnSpPr>
        <xdr:cNvPr id="166" name="Connettore diritto a freccia 165">
          <a:extLst>
            <a:ext uri="{FF2B5EF4-FFF2-40B4-BE49-F238E27FC236}">
              <a16:creationId xmlns:a16="http://schemas.microsoft.com/office/drawing/2014/main" id="{3583F999-E799-D943-9D55-17CDD6D5EA58}"/>
            </a:ext>
          </a:extLst>
        </xdr:cNvPr>
        <xdr:cNvCxnSpPr/>
      </xdr:nvCxnSpPr>
      <xdr:spPr>
        <a:xfrm flipH="1">
          <a:off x="7226300" y="31559500"/>
          <a:ext cx="2514600" cy="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0</xdr:colOff>
      <xdr:row>197</xdr:row>
      <xdr:rowOff>0</xdr:rowOff>
    </xdr:from>
    <xdr:to>
      <xdr:col>8</xdr:col>
      <xdr:colOff>1498600</xdr:colOff>
      <xdr:row>197</xdr:row>
      <xdr:rowOff>0</xdr:rowOff>
    </xdr:to>
    <xdr:cxnSp macro="">
      <xdr:nvCxnSpPr>
        <xdr:cNvPr id="167" name="Connettore diritto a freccia 166">
          <a:extLst>
            <a:ext uri="{FF2B5EF4-FFF2-40B4-BE49-F238E27FC236}">
              <a16:creationId xmlns:a16="http://schemas.microsoft.com/office/drawing/2014/main" id="{D4F955DB-A737-A94C-BBB1-3543C2FA91F9}"/>
            </a:ext>
          </a:extLst>
        </xdr:cNvPr>
        <xdr:cNvCxnSpPr/>
      </xdr:nvCxnSpPr>
      <xdr:spPr>
        <a:xfrm>
          <a:off x="12776200" y="31381700"/>
          <a:ext cx="1498600" cy="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0</xdr:colOff>
      <xdr:row>200</xdr:row>
      <xdr:rowOff>0</xdr:rowOff>
    </xdr:from>
    <xdr:to>
      <xdr:col>8</xdr:col>
      <xdr:colOff>1485900</xdr:colOff>
      <xdr:row>206</xdr:row>
      <xdr:rowOff>12700</xdr:rowOff>
    </xdr:to>
    <xdr:cxnSp macro="">
      <xdr:nvCxnSpPr>
        <xdr:cNvPr id="168" name="Connettore diritto a freccia 167">
          <a:extLst>
            <a:ext uri="{FF2B5EF4-FFF2-40B4-BE49-F238E27FC236}">
              <a16:creationId xmlns:a16="http://schemas.microsoft.com/office/drawing/2014/main" id="{9E0B79B6-EE96-7944-A6CB-B030D0B7F495}"/>
            </a:ext>
          </a:extLst>
        </xdr:cNvPr>
        <xdr:cNvCxnSpPr/>
      </xdr:nvCxnSpPr>
      <xdr:spPr>
        <a:xfrm>
          <a:off x="7226300" y="32054800"/>
          <a:ext cx="7035800" cy="125730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10</xdr:col>
      <xdr:colOff>12700</xdr:colOff>
      <xdr:row>200</xdr:row>
      <xdr:rowOff>203200</xdr:rowOff>
    </xdr:from>
    <xdr:to>
      <xdr:col>10</xdr:col>
      <xdr:colOff>12700</xdr:colOff>
      <xdr:row>205</xdr:row>
      <xdr:rowOff>12700</xdr:rowOff>
    </xdr:to>
    <xdr:cxnSp macro="">
      <xdr:nvCxnSpPr>
        <xdr:cNvPr id="169" name="Connettore diritto a freccia 168">
          <a:extLst>
            <a:ext uri="{FF2B5EF4-FFF2-40B4-BE49-F238E27FC236}">
              <a16:creationId xmlns:a16="http://schemas.microsoft.com/office/drawing/2014/main" id="{DD334E26-5F04-0045-9F37-15F9CF8AB6AA}"/>
            </a:ext>
          </a:extLst>
        </xdr:cNvPr>
        <xdr:cNvCxnSpPr/>
      </xdr:nvCxnSpPr>
      <xdr:spPr>
        <a:xfrm>
          <a:off x="15811500" y="32258000"/>
          <a:ext cx="0" cy="850900"/>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0</xdr:colOff>
      <xdr:row>175</xdr:row>
      <xdr:rowOff>165100</xdr:rowOff>
    </xdr:from>
    <xdr:to>
      <xdr:col>6</xdr:col>
      <xdr:colOff>1346200</xdr:colOff>
      <xdr:row>183</xdr:row>
      <xdr:rowOff>0</xdr:rowOff>
    </xdr:to>
    <xdr:cxnSp macro="">
      <xdr:nvCxnSpPr>
        <xdr:cNvPr id="173" name="Connettore a gomito 172">
          <a:extLst>
            <a:ext uri="{FF2B5EF4-FFF2-40B4-BE49-F238E27FC236}">
              <a16:creationId xmlns:a16="http://schemas.microsoft.com/office/drawing/2014/main" id="{43835A90-3C57-0D4A-AF90-0273F0DA49BF}"/>
            </a:ext>
          </a:extLst>
        </xdr:cNvPr>
        <xdr:cNvCxnSpPr/>
      </xdr:nvCxnSpPr>
      <xdr:spPr>
        <a:xfrm rot="16200000" flipH="1">
          <a:off x="9683750" y="27158950"/>
          <a:ext cx="1485900" cy="1346200"/>
        </a:xfrm>
        <a:prstGeom prst="bentConnector3">
          <a:avLst>
            <a:gd name="adj1" fmla="val 6410"/>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5</xdr:col>
      <xdr:colOff>0</xdr:colOff>
      <xdr:row>185</xdr:row>
      <xdr:rowOff>127000</xdr:rowOff>
    </xdr:from>
    <xdr:to>
      <xdr:col>5</xdr:col>
      <xdr:colOff>2514600</xdr:colOff>
      <xdr:row>185</xdr:row>
      <xdr:rowOff>127000</xdr:rowOff>
    </xdr:to>
    <xdr:cxnSp macro="">
      <xdr:nvCxnSpPr>
        <xdr:cNvPr id="182" name="Connettore diritto a freccia 181">
          <a:extLst>
            <a:ext uri="{FF2B5EF4-FFF2-40B4-BE49-F238E27FC236}">
              <a16:creationId xmlns:a16="http://schemas.microsoft.com/office/drawing/2014/main" id="{18AF69B3-6A15-964A-9118-C82D7C8EF2F0}"/>
            </a:ext>
          </a:extLst>
        </xdr:cNvPr>
        <xdr:cNvCxnSpPr/>
      </xdr:nvCxnSpPr>
      <xdr:spPr>
        <a:xfrm flipH="1">
          <a:off x="7226300" y="29108400"/>
          <a:ext cx="2514600" cy="0"/>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5</xdr:col>
      <xdr:colOff>0</xdr:colOff>
      <xdr:row>186</xdr:row>
      <xdr:rowOff>76200</xdr:rowOff>
    </xdr:from>
    <xdr:to>
      <xdr:col>5</xdr:col>
      <xdr:colOff>2514600</xdr:colOff>
      <xdr:row>186</xdr:row>
      <xdr:rowOff>76200</xdr:rowOff>
    </xdr:to>
    <xdr:cxnSp macro="">
      <xdr:nvCxnSpPr>
        <xdr:cNvPr id="183" name="Connettore diritto a freccia 182">
          <a:extLst>
            <a:ext uri="{FF2B5EF4-FFF2-40B4-BE49-F238E27FC236}">
              <a16:creationId xmlns:a16="http://schemas.microsoft.com/office/drawing/2014/main" id="{D564B518-BB2B-EA46-85DF-ABDA0F6F6617}"/>
            </a:ext>
          </a:extLst>
        </xdr:cNvPr>
        <xdr:cNvCxnSpPr/>
      </xdr:nvCxnSpPr>
      <xdr:spPr>
        <a:xfrm flipH="1">
          <a:off x="7226300" y="29260800"/>
          <a:ext cx="2514600" cy="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1270000</xdr:colOff>
      <xdr:row>180</xdr:row>
      <xdr:rowOff>139700</xdr:rowOff>
    </xdr:from>
    <xdr:to>
      <xdr:col>9</xdr:col>
      <xdr:colOff>469900</xdr:colOff>
      <xdr:row>183</xdr:row>
      <xdr:rowOff>0</xdr:rowOff>
    </xdr:to>
    <xdr:sp macro="" textlink="">
      <xdr:nvSpPr>
        <xdr:cNvPr id="184" name="Figura a mano libera 183">
          <a:extLst>
            <a:ext uri="{FF2B5EF4-FFF2-40B4-BE49-F238E27FC236}">
              <a16:creationId xmlns:a16="http://schemas.microsoft.com/office/drawing/2014/main" id="{88BF4681-0167-C84B-BBB7-0D3FE1407001}"/>
            </a:ext>
          </a:extLst>
        </xdr:cNvPr>
        <xdr:cNvSpPr/>
      </xdr:nvSpPr>
      <xdr:spPr>
        <a:xfrm>
          <a:off x="6705600" y="28092400"/>
          <a:ext cx="8051800" cy="482600"/>
        </a:xfrm>
        <a:custGeom>
          <a:avLst/>
          <a:gdLst>
            <a:gd name="csX0" fmla="*/ 0 w 8915400"/>
            <a:gd name="csY0" fmla="*/ 217976 h 243376"/>
            <a:gd name="csX1" fmla="*/ 3962400 w 8915400"/>
            <a:gd name="csY1" fmla="*/ 2076 h 243376"/>
            <a:gd name="csX2" fmla="*/ 8115300 w 8915400"/>
            <a:gd name="csY2" fmla="*/ 116376 h 243376"/>
            <a:gd name="csX3" fmla="*/ 8915400 w 8915400"/>
            <a:gd name="csY3" fmla="*/ 243376 h 243376"/>
          </a:gdLst>
          <a:ahLst/>
          <a:cxnLst>
            <a:cxn ang="0">
              <a:pos x="csX0" y="csY0"/>
            </a:cxn>
            <a:cxn ang="0">
              <a:pos x="csX1" y="csY1"/>
            </a:cxn>
            <a:cxn ang="0">
              <a:pos x="csX2" y="csY2"/>
            </a:cxn>
            <a:cxn ang="0">
              <a:pos x="csX3" y="csY3"/>
            </a:cxn>
          </a:cxnLst>
          <a:rect l="l" t="t" r="r" b="b"/>
          <a:pathLst>
            <a:path w="8915400" h="243376">
              <a:moveTo>
                <a:pt x="0" y="217976"/>
              </a:moveTo>
              <a:cubicBezTo>
                <a:pt x="1304925" y="118492"/>
                <a:pt x="2609850" y="19009"/>
                <a:pt x="3962400" y="2076"/>
              </a:cubicBezTo>
              <a:cubicBezTo>
                <a:pt x="5314950" y="-14857"/>
                <a:pt x="7289800" y="76159"/>
                <a:pt x="8115300" y="116376"/>
              </a:cubicBezTo>
              <a:cubicBezTo>
                <a:pt x="8940800" y="156593"/>
                <a:pt x="8873067" y="184109"/>
                <a:pt x="8915400" y="243376"/>
              </a:cubicBezTo>
            </a:path>
          </a:pathLst>
        </a:custGeom>
        <a:ln>
          <a:tailEnd type="triangle"/>
        </a:ln>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it-IT" sz="1100"/>
        </a:p>
      </xdr:txBody>
    </xdr:sp>
    <xdr:clientData/>
  </xdr:twoCellAnchor>
  <xdr:twoCellAnchor>
    <xdr:from>
      <xdr:col>4</xdr:col>
      <xdr:colOff>0</xdr:colOff>
      <xdr:row>190</xdr:row>
      <xdr:rowOff>0</xdr:rowOff>
    </xdr:from>
    <xdr:to>
      <xdr:col>4</xdr:col>
      <xdr:colOff>0</xdr:colOff>
      <xdr:row>194</xdr:row>
      <xdr:rowOff>0</xdr:rowOff>
    </xdr:to>
    <xdr:cxnSp macro="">
      <xdr:nvCxnSpPr>
        <xdr:cNvPr id="185" name="Connettore diritto a freccia 184">
          <a:extLst>
            <a:ext uri="{FF2B5EF4-FFF2-40B4-BE49-F238E27FC236}">
              <a16:creationId xmlns:a16="http://schemas.microsoft.com/office/drawing/2014/main" id="{4685CE9D-98C1-BD47-A5B3-E2F4C7567A9D}"/>
            </a:ext>
          </a:extLst>
        </xdr:cNvPr>
        <xdr:cNvCxnSpPr/>
      </xdr:nvCxnSpPr>
      <xdr:spPr>
        <a:xfrm>
          <a:off x="5435600" y="30010100"/>
          <a:ext cx="0" cy="825500"/>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5</xdr:col>
      <xdr:colOff>12700</xdr:colOff>
      <xdr:row>200</xdr:row>
      <xdr:rowOff>101600</xdr:rowOff>
    </xdr:from>
    <xdr:to>
      <xdr:col>8</xdr:col>
      <xdr:colOff>1498600</xdr:colOff>
      <xdr:row>206</xdr:row>
      <xdr:rowOff>114300</xdr:rowOff>
    </xdr:to>
    <xdr:cxnSp macro="">
      <xdr:nvCxnSpPr>
        <xdr:cNvPr id="192" name="Connettore diritto a freccia 191">
          <a:extLst>
            <a:ext uri="{FF2B5EF4-FFF2-40B4-BE49-F238E27FC236}">
              <a16:creationId xmlns:a16="http://schemas.microsoft.com/office/drawing/2014/main" id="{BC0CC54A-6A9E-3D45-86B5-8C7E26074FEE}"/>
            </a:ext>
          </a:extLst>
        </xdr:cNvPr>
        <xdr:cNvCxnSpPr/>
      </xdr:nvCxnSpPr>
      <xdr:spPr>
        <a:xfrm>
          <a:off x="7239000" y="32156400"/>
          <a:ext cx="7035800" cy="1257300"/>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5</xdr:col>
      <xdr:colOff>12700</xdr:colOff>
      <xdr:row>189</xdr:row>
      <xdr:rowOff>12700</xdr:rowOff>
    </xdr:from>
    <xdr:to>
      <xdr:col>10</xdr:col>
      <xdr:colOff>0</xdr:colOff>
      <xdr:row>193</xdr:row>
      <xdr:rowOff>177800</xdr:rowOff>
    </xdr:to>
    <xdr:cxnSp macro="">
      <xdr:nvCxnSpPr>
        <xdr:cNvPr id="193" name="Connettore diritto a freccia 192">
          <a:extLst>
            <a:ext uri="{FF2B5EF4-FFF2-40B4-BE49-F238E27FC236}">
              <a16:creationId xmlns:a16="http://schemas.microsoft.com/office/drawing/2014/main" id="{3C95951C-C520-7A47-A869-476C0E8C0BED}"/>
            </a:ext>
          </a:extLst>
        </xdr:cNvPr>
        <xdr:cNvCxnSpPr/>
      </xdr:nvCxnSpPr>
      <xdr:spPr>
        <a:xfrm>
          <a:off x="7239000" y="29806900"/>
          <a:ext cx="8559800" cy="990600"/>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10</xdr:col>
      <xdr:colOff>368300</xdr:colOff>
      <xdr:row>200</xdr:row>
      <xdr:rowOff>203200</xdr:rowOff>
    </xdr:from>
    <xdr:to>
      <xdr:col>10</xdr:col>
      <xdr:colOff>368300</xdr:colOff>
      <xdr:row>205</xdr:row>
      <xdr:rowOff>12700</xdr:rowOff>
    </xdr:to>
    <xdr:cxnSp macro="">
      <xdr:nvCxnSpPr>
        <xdr:cNvPr id="198" name="Connettore diritto a freccia 197">
          <a:extLst>
            <a:ext uri="{FF2B5EF4-FFF2-40B4-BE49-F238E27FC236}">
              <a16:creationId xmlns:a16="http://schemas.microsoft.com/office/drawing/2014/main" id="{A4A29D0B-A528-2342-B55E-C00F619C6B64}"/>
            </a:ext>
          </a:extLst>
        </xdr:cNvPr>
        <xdr:cNvCxnSpPr/>
      </xdr:nvCxnSpPr>
      <xdr:spPr>
        <a:xfrm>
          <a:off x="16167100" y="32258000"/>
          <a:ext cx="0" cy="850900"/>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7</xdr:col>
      <xdr:colOff>996950</xdr:colOff>
      <xdr:row>90</xdr:row>
      <xdr:rowOff>241300</xdr:rowOff>
    </xdr:from>
    <xdr:to>
      <xdr:col>15</xdr:col>
      <xdr:colOff>635000</xdr:colOff>
      <xdr:row>112</xdr:row>
      <xdr:rowOff>177800</xdr:rowOff>
    </xdr:to>
    <xdr:graphicFrame macro="">
      <xdr:nvGraphicFramePr>
        <xdr:cNvPr id="202" name="Grafico 201">
          <a:extLst>
            <a:ext uri="{FF2B5EF4-FFF2-40B4-BE49-F238E27FC236}">
              <a16:creationId xmlns:a16="http://schemas.microsoft.com/office/drawing/2014/main" id="{72632DBF-AE26-A6E9-D171-8F47648AF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25400</xdr:colOff>
          <xdr:row>224</xdr:row>
          <xdr:rowOff>25400</xdr:rowOff>
        </xdr:from>
        <xdr:to>
          <xdr:col>4</xdr:col>
          <xdr:colOff>1155700</xdr:colOff>
          <xdr:row>267</xdr:row>
          <xdr:rowOff>63500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10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481</xdr:row>
      <xdr:rowOff>0</xdr:rowOff>
    </xdr:from>
    <xdr:to>
      <xdr:col>1</xdr:col>
      <xdr:colOff>0</xdr:colOff>
      <xdr:row>482</xdr:row>
      <xdr:rowOff>0</xdr:rowOff>
    </xdr:to>
    <xdr:pic>
      <xdr:nvPicPr>
        <xdr:cNvPr id="2" name="Immagine 0">
          <a:extLst>
            <a:ext uri="{FF2B5EF4-FFF2-40B4-BE49-F238E27FC236}">
              <a16:creationId xmlns:a16="http://schemas.microsoft.com/office/drawing/2014/main" id="{160BEC32-4135-B042-9BA0-369C70D78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4912200"/>
          <a:ext cx="88900" cy="1524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484</xdr:row>
      <xdr:rowOff>0</xdr:rowOff>
    </xdr:from>
    <xdr:to>
      <xdr:col>9</xdr:col>
      <xdr:colOff>101600</xdr:colOff>
      <xdr:row>485</xdr:row>
      <xdr:rowOff>0</xdr:rowOff>
    </xdr:to>
    <xdr:pic>
      <xdr:nvPicPr>
        <xdr:cNvPr id="3" name="Immagine 1">
          <a:extLst>
            <a:ext uri="{FF2B5EF4-FFF2-40B4-BE49-F238E27FC236}">
              <a16:creationId xmlns:a16="http://schemas.microsoft.com/office/drawing/2014/main" id="{68302A02-D26F-5D41-807A-A9C1E4E56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 y="85369400"/>
          <a:ext cx="101600" cy="1524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484</xdr:row>
      <xdr:rowOff>0</xdr:rowOff>
    </xdr:from>
    <xdr:to>
      <xdr:col>11</xdr:col>
      <xdr:colOff>0</xdr:colOff>
      <xdr:row>484</xdr:row>
      <xdr:rowOff>38100</xdr:rowOff>
    </xdr:to>
    <xdr:pic>
      <xdr:nvPicPr>
        <xdr:cNvPr id="4" name="Immagine 2">
          <a:extLst>
            <a:ext uri="{FF2B5EF4-FFF2-40B4-BE49-F238E27FC236}">
              <a16:creationId xmlns:a16="http://schemas.microsoft.com/office/drawing/2014/main" id="{E2447251-E058-3544-8271-126008EF55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53694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488</xdr:row>
      <xdr:rowOff>0</xdr:rowOff>
    </xdr:from>
    <xdr:to>
      <xdr:col>9</xdr:col>
      <xdr:colOff>101600</xdr:colOff>
      <xdr:row>489</xdr:row>
      <xdr:rowOff>0</xdr:rowOff>
    </xdr:to>
    <xdr:pic>
      <xdr:nvPicPr>
        <xdr:cNvPr id="5" name="Immagine 3">
          <a:extLst>
            <a:ext uri="{FF2B5EF4-FFF2-40B4-BE49-F238E27FC236}">
              <a16:creationId xmlns:a16="http://schemas.microsoft.com/office/drawing/2014/main" id="{1A2CBC66-09E8-3542-A591-DE9ADB6A9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 y="85953600"/>
          <a:ext cx="101600" cy="1524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488</xdr:row>
      <xdr:rowOff>0</xdr:rowOff>
    </xdr:from>
    <xdr:to>
      <xdr:col>11</xdr:col>
      <xdr:colOff>0</xdr:colOff>
      <xdr:row>488</xdr:row>
      <xdr:rowOff>38100</xdr:rowOff>
    </xdr:to>
    <xdr:pic>
      <xdr:nvPicPr>
        <xdr:cNvPr id="6" name="Immagine 4">
          <a:extLst>
            <a:ext uri="{FF2B5EF4-FFF2-40B4-BE49-F238E27FC236}">
              <a16:creationId xmlns:a16="http://schemas.microsoft.com/office/drawing/2014/main" id="{A250189B-A9D4-8E41-BF7B-F2C986F15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59536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492</xdr:row>
      <xdr:rowOff>0</xdr:rowOff>
    </xdr:from>
    <xdr:to>
      <xdr:col>11</xdr:col>
      <xdr:colOff>0</xdr:colOff>
      <xdr:row>492</xdr:row>
      <xdr:rowOff>38100</xdr:rowOff>
    </xdr:to>
    <xdr:pic>
      <xdr:nvPicPr>
        <xdr:cNvPr id="8" name="Immagine 6">
          <a:extLst>
            <a:ext uri="{FF2B5EF4-FFF2-40B4-BE49-F238E27FC236}">
              <a16:creationId xmlns:a16="http://schemas.microsoft.com/office/drawing/2014/main" id="{9166C777-942A-4749-881F-01C4E93DE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66902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496</xdr:row>
      <xdr:rowOff>0</xdr:rowOff>
    </xdr:from>
    <xdr:to>
      <xdr:col>9</xdr:col>
      <xdr:colOff>12700</xdr:colOff>
      <xdr:row>496</xdr:row>
      <xdr:rowOff>38100</xdr:rowOff>
    </xdr:to>
    <xdr:pic>
      <xdr:nvPicPr>
        <xdr:cNvPr id="9" name="Immagine 7">
          <a:extLst>
            <a:ext uri="{FF2B5EF4-FFF2-40B4-BE49-F238E27FC236}">
              <a16:creationId xmlns:a16="http://schemas.microsoft.com/office/drawing/2014/main" id="{38F15861-EED3-CD4A-8AC8-0110210BE1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871347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496</xdr:row>
      <xdr:rowOff>0</xdr:rowOff>
    </xdr:from>
    <xdr:to>
      <xdr:col>11</xdr:col>
      <xdr:colOff>0</xdr:colOff>
      <xdr:row>496</xdr:row>
      <xdr:rowOff>38100</xdr:rowOff>
    </xdr:to>
    <xdr:pic>
      <xdr:nvPicPr>
        <xdr:cNvPr id="10" name="Immagine 8">
          <a:extLst>
            <a:ext uri="{FF2B5EF4-FFF2-40B4-BE49-F238E27FC236}">
              <a16:creationId xmlns:a16="http://schemas.microsoft.com/office/drawing/2014/main" id="{13914ABB-D451-8D4F-B8A2-634AB3256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71347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500</xdr:row>
      <xdr:rowOff>0</xdr:rowOff>
    </xdr:from>
    <xdr:to>
      <xdr:col>9</xdr:col>
      <xdr:colOff>101600</xdr:colOff>
      <xdr:row>501</xdr:row>
      <xdr:rowOff>0</xdr:rowOff>
    </xdr:to>
    <xdr:pic>
      <xdr:nvPicPr>
        <xdr:cNvPr id="11" name="Immagine 9">
          <a:extLst>
            <a:ext uri="{FF2B5EF4-FFF2-40B4-BE49-F238E27FC236}">
              <a16:creationId xmlns:a16="http://schemas.microsoft.com/office/drawing/2014/main" id="{9CBB3EAC-0B93-E24E-9722-B708FAE85E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 y="87579200"/>
          <a:ext cx="101600" cy="1524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500</xdr:row>
      <xdr:rowOff>0</xdr:rowOff>
    </xdr:from>
    <xdr:to>
      <xdr:col>11</xdr:col>
      <xdr:colOff>0</xdr:colOff>
      <xdr:row>500</xdr:row>
      <xdr:rowOff>38100</xdr:rowOff>
    </xdr:to>
    <xdr:pic>
      <xdr:nvPicPr>
        <xdr:cNvPr id="12" name="Immagine 10">
          <a:extLst>
            <a:ext uri="{FF2B5EF4-FFF2-40B4-BE49-F238E27FC236}">
              <a16:creationId xmlns:a16="http://schemas.microsoft.com/office/drawing/2014/main" id="{BA18920C-974E-1143-AA23-972CAFD1E6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75792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504</xdr:row>
      <xdr:rowOff>0</xdr:rowOff>
    </xdr:from>
    <xdr:to>
      <xdr:col>9</xdr:col>
      <xdr:colOff>12700</xdr:colOff>
      <xdr:row>504</xdr:row>
      <xdr:rowOff>38100</xdr:rowOff>
    </xdr:to>
    <xdr:pic>
      <xdr:nvPicPr>
        <xdr:cNvPr id="13" name="Immagine 11">
          <a:extLst>
            <a:ext uri="{FF2B5EF4-FFF2-40B4-BE49-F238E27FC236}">
              <a16:creationId xmlns:a16="http://schemas.microsoft.com/office/drawing/2014/main" id="{70E606B8-F3FA-864A-9700-5651B308A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880237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504</xdr:row>
      <xdr:rowOff>0</xdr:rowOff>
    </xdr:from>
    <xdr:to>
      <xdr:col>11</xdr:col>
      <xdr:colOff>0</xdr:colOff>
      <xdr:row>504</xdr:row>
      <xdr:rowOff>38100</xdr:rowOff>
    </xdr:to>
    <xdr:pic>
      <xdr:nvPicPr>
        <xdr:cNvPr id="14" name="Immagine 12">
          <a:extLst>
            <a:ext uri="{FF2B5EF4-FFF2-40B4-BE49-F238E27FC236}">
              <a16:creationId xmlns:a16="http://schemas.microsoft.com/office/drawing/2014/main" id="{96DD9543-D70A-E74D-BBDA-6DD60468A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80237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508</xdr:row>
      <xdr:rowOff>0</xdr:rowOff>
    </xdr:from>
    <xdr:to>
      <xdr:col>9</xdr:col>
      <xdr:colOff>12700</xdr:colOff>
      <xdr:row>508</xdr:row>
      <xdr:rowOff>38100</xdr:rowOff>
    </xdr:to>
    <xdr:pic>
      <xdr:nvPicPr>
        <xdr:cNvPr id="15" name="Immagine 13">
          <a:extLst>
            <a:ext uri="{FF2B5EF4-FFF2-40B4-BE49-F238E27FC236}">
              <a16:creationId xmlns:a16="http://schemas.microsoft.com/office/drawing/2014/main" id="{26427870-5D25-FB49-9027-C60FEE033B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886079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508</xdr:row>
      <xdr:rowOff>0</xdr:rowOff>
    </xdr:from>
    <xdr:to>
      <xdr:col>11</xdr:col>
      <xdr:colOff>0</xdr:colOff>
      <xdr:row>508</xdr:row>
      <xdr:rowOff>38100</xdr:rowOff>
    </xdr:to>
    <xdr:pic>
      <xdr:nvPicPr>
        <xdr:cNvPr id="16" name="Immagine 14">
          <a:extLst>
            <a:ext uri="{FF2B5EF4-FFF2-40B4-BE49-F238E27FC236}">
              <a16:creationId xmlns:a16="http://schemas.microsoft.com/office/drawing/2014/main" id="{1EB90980-B18F-544E-BD80-DE48A8336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86079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512</xdr:row>
      <xdr:rowOff>0</xdr:rowOff>
    </xdr:from>
    <xdr:to>
      <xdr:col>9</xdr:col>
      <xdr:colOff>12700</xdr:colOff>
      <xdr:row>512</xdr:row>
      <xdr:rowOff>38100</xdr:rowOff>
    </xdr:to>
    <xdr:pic>
      <xdr:nvPicPr>
        <xdr:cNvPr id="17" name="Immagine 15">
          <a:extLst>
            <a:ext uri="{FF2B5EF4-FFF2-40B4-BE49-F238E27FC236}">
              <a16:creationId xmlns:a16="http://schemas.microsoft.com/office/drawing/2014/main" id="{54108757-DC2A-9D47-9075-CC1CD192D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890524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512</xdr:row>
      <xdr:rowOff>0</xdr:rowOff>
    </xdr:from>
    <xdr:to>
      <xdr:col>11</xdr:col>
      <xdr:colOff>0</xdr:colOff>
      <xdr:row>512</xdr:row>
      <xdr:rowOff>38100</xdr:rowOff>
    </xdr:to>
    <xdr:pic>
      <xdr:nvPicPr>
        <xdr:cNvPr id="18" name="Immagine 16">
          <a:extLst>
            <a:ext uri="{FF2B5EF4-FFF2-40B4-BE49-F238E27FC236}">
              <a16:creationId xmlns:a16="http://schemas.microsoft.com/office/drawing/2014/main" id="{EB407468-D803-2842-9259-87E0FF7F9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90524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516</xdr:row>
      <xdr:rowOff>0</xdr:rowOff>
    </xdr:from>
    <xdr:to>
      <xdr:col>9</xdr:col>
      <xdr:colOff>12700</xdr:colOff>
      <xdr:row>516</xdr:row>
      <xdr:rowOff>38100</xdr:rowOff>
    </xdr:to>
    <xdr:pic>
      <xdr:nvPicPr>
        <xdr:cNvPr id="19" name="Immagine 17">
          <a:extLst>
            <a:ext uri="{FF2B5EF4-FFF2-40B4-BE49-F238E27FC236}">
              <a16:creationId xmlns:a16="http://schemas.microsoft.com/office/drawing/2014/main" id="{BBCE35CA-A823-8C49-BB18-29CB6AE5C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894969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516</xdr:row>
      <xdr:rowOff>0</xdr:rowOff>
    </xdr:from>
    <xdr:to>
      <xdr:col>11</xdr:col>
      <xdr:colOff>0</xdr:colOff>
      <xdr:row>516</xdr:row>
      <xdr:rowOff>38100</xdr:rowOff>
    </xdr:to>
    <xdr:pic>
      <xdr:nvPicPr>
        <xdr:cNvPr id="20" name="Immagine 18">
          <a:extLst>
            <a:ext uri="{FF2B5EF4-FFF2-40B4-BE49-F238E27FC236}">
              <a16:creationId xmlns:a16="http://schemas.microsoft.com/office/drawing/2014/main" id="{4C9321F0-B3DF-584B-907D-185808C378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94969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9</xdr:col>
      <xdr:colOff>0</xdr:colOff>
      <xdr:row>520</xdr:row>
      <xdr:rowOff>0</xdr:rowOff>
    </xdr:from>
    <xdr:to>
      <xdr:col>9</xdr:col>
      <xdr:colOff>12700</xdr:colOff>
      <xdr:row>520</xdr:row>
      <xdr:rowOff>38100</xdr:rowOff>
    </xdr:to>
    <xdr:pic>
      <xdr:nvPicPr>
        <xdr:cNvPr id="21" name="Immagine 19">
          <a:extLst>
            <a:ext uri="{FF2B5EF4-FFF2-40B4-BE49-F238E27FC236}">
              <a16:creationId xmlns:a16="http://schemas.microsoft.com/office/drawing/2014/main" id="{59E93891-45D5-D549-9559-50ABBB477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899414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10</xdr:col>
      <xdr:colOff>0</xdr:colOff>
      <xdr:row>520</xdr:row>
      <xdr:rowOff>0</xdr:rowOff>
    </xdr:from>
    <xdr:to>
      <xdr:col>11</xdr:col>
      <xdr:colOff>0</xdr:colOff>
      <xdr:row>520</xdr:row>
      <xdr:rowOff>38100</xdr:rowOff>
    </xdr:to>
    <xdr:pic>
      <xdr:nvPicPr>
        <xdr:cNvPr id="22" name="Immagine 20">
          <a:extLst>
            <a:ext uri="{FF2B5EF4-FFF2-40B4-BE49-F238E27FC236}">
              <a16:creationId xmlns:a16="http://schemas.microsoft.com/office/drawing/2014/main" id="{167DE111-B1C0-A44B-9206-F165C87B19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600" y="89941400"/>
          <a:ext cx="12700" cy="381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0</xdr:col>
      <xdr:colOff>0</xdr:colOff>
      <xdr:row>542</xdr:row>
      <xdr:rowOff>0</xdr:rowOff>
    </xdr:from>
    <xdr:to>
      <xdr:col>0</xdr:col>
      <xdr:colOff>12700</xdr:colOff>
      <xdr:row>543</xdr:row>
      <xdr:rowOff>0</xdr:rowOff>
    </xdr:to>
    <xdr:pic>
      <xdr:nvPicPr>
        <xdr:cNvPr id="23" name="Immagine 21">
          <a:extLst>
            <a:ext uri="{FF2B5EF4-FFF2-40B4-BE49-F238E27FC236}">
              <a16:creationId xmlns:a16="http://schemas.microsoft.com/office/drawing/2014/main" id="{8DC90CF3-D26B-DC4F-8CC2-95E8A05482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091000"/>
          <a:ext cx="12700" cy="127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twoCellAnchor editAs="oneCell">
    <xdr:from>
      <xdr:col>0</xdr:col>
      <xdr:colOff>0</xdr:colOff>
      <xdr:row>543</xdr:row>
      <xdr:rowOff>0</xdr:rowOff>
    </xdr:from>
    <xdr:to>
      <xdr:col>0</xdr:col>
      <xdr:colOff>12700</xdr:colOff>
      <xdr:row>544</xdr:row>
      <xdr:rowOff>0</xdr:rowOff>
    </xdr:to>
    <xdr:pic>
      <xdr:nvPicPr>
        <xdr:cNvPr id="24" name="Immagine 22">
          <a:extLst>
            <a:ext uri="{FF2B5EF4-FFF2-40B4-BE49-F238E27FC236}">
              <a16:creationId xmlns:a16="http://schemas.microsoft.com/office/drawing/2014/main" id="{50DA2EEB-A5D4-1A4E-A51F-24EF5ABFEF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3103700"/>
          <a:ext cx="12700" cy="12700"/>
        </a:xfrm>
        <a:prstGeom prst="rect">
          <a:avLst/>
        </a:prstGeom>
        <a:noFill/>
        <a:ln w="9525" cap="flat">
          <a:solidFill>
            <a:srgbClr xmlns:mc="http://schemas.openxmlformats.org/markup-compatibility/2006" xmlns:a14="http://schemas.microsoft.com/office/drawing/2010/main" val="000000" mc:Ignorable="a14" a14:legacySpreadsheetColorIndex="64"/>
          </a:solidFill>
          <a:prstDash val="solid"/>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E8759-9F74-9344-8045-AA8D9EA97520}" name="Tabella1" displayName="Tabella1" ref="B6:F190" totalsRowShown="0" headerRowDxfId="26" dataDxfId="24" headerRowBorderDxfId="25" tableBorderDxfId="23">
  <autoFilter ref="B6:F190" xr:uid="{EFEE8759-9F74-9344-8045-AA8D9EA97520}">
    <filterColumn colId="4">
      <customFilters>
        <customFilter operator="notEqual" val=" "/>
      </customFilters>
    </filterColumn>
  </autoFilter>
  <sortState xmlns:xlrd2="http://schemas.microsoft.com/office/spreadsheetml/2017/richdata2" ref="B7:F190">
    <sortCondition ref="B6:B190"/>
  </sortState>
  <tableColumns count="5">
    <tableColumn id="1" xr3:uid="{C136F3B4-30E4-4E42-9098-E0B75BEC6A13}" name="azienda" dataDxfId="22"/>
    <tableColumn id="2" xr3:uid="{51F82F9C-F8D2-7544-A679-8790DCEB44E8}" name="prodotto" dataDxfId="21"/>
    <tableColumn id="3" xr3:uid="{0FA73C1D-9448-8745-981D-C0754592159B}" name="dettagli" dataDxfId="20"/>
    <tableColumn id="4" xr3:uid="{774FA64E-0F39-5942-AEAA-1964DC332B95}" name="specialità" dataDxfId="19"/>
    <tableColumn id="5" xr3:uid="{AD335009-5353-6240-93EE-FE555175FDE1}" name="prezzo al kg"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B6AF1F-8F43-0B4B-BAE5-1E20C8756014}" name="Tabella2" displayName="Tabella2" ref="B8:F49" totalsRowShown="0" headerRowDxfId="17" dataDxfId="15" headerRowBorderDxfId="16" tableBorderDxfId="14">
  <autoFilter ref="B8:F49" xr:uid="{C4B6AF1F-8F43-0B4B-BAE5-1E20C8756014}"/>
  <sortState xmlns:xlrd2="http://schemas.microsoft.com/office/spreadsheetml/2017/richdata2" ref="B9:F50">
    <sortCondition ref="B8:B50"/>
  </sortState>
  <tableColumns count="5">
    <tableColumn id="1" xr3:uid="{31C4E8AC-80AD-7747-8EDD-A40F2478330A}" name="linea " dataDxfId="13"/>
    <tableColumn id="2" xr3:uid="{B89D031C-0DAD-714E-B6B3-4651393ADB63}" name="prodotti" dataDxfId="12"/>
    <tableColumn id="3" xr3:uid="{3E471408-BE20-F548-8E1A-D08F577F5EDE}" name="prezzo ipotetico" dataDxfId="11"/>
    <tableColumn id="4" xr3:uid="{27ED5465-8915-564E-8403-986AD0B87EE2}" name="cat. di riferimento" dataDxfId="10"/>
    <tableColumn id="5" xr3:uid="{8C4D7976-59B8-974A-9F56-B32A6AC19E81}" name="quota nazionale"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0FC55B-FB21-2E47-89B3-4ADEC1FD733D}" name="Tabella6" displayName="Tabella6" ref="B64:F106" totalsRowShown="0" headerRowDxfId="8" dataDxfId="6" headerRowBorderDxfId="7" tableBorderDxfId="5">
  <autoFilter ref="B64:F106" xr:uid="{070FC55B-FB21-2E47-89B3-4ADEC1FD733D}"/>
  <sortState xmlns:xlrd2="http://schemas.microsoft.com/office/spreadsheetml/2017/richdata2" ref="B65:F106">
    <sortCondition ref="D64:D106"/>
  </sortState>
  <tableColumns count="5">
    <tableColumn id="1" xr3:uid="{1F33344D-7271-264D-9BD9-36C067B9E697}" name="linea " dataDxfId="4"/>
    <tableColumn id="2" xr3:uid="{FABC6479-4026-4B4F-849C-9150B911172C}" name="prodotti" dataDxfId="3"/>
    <tableColumn id="3" xr3:uid="{2D6556D5-4054-1F4E-ACC8-76609993340E}" name="cat. Prod." dataDxfId="2"/>
    <tableColumn id="4" xr3:uid="{CCF30565-FAB0-4747-9735-35D5A068EA82}" name="ingrediente principale" dataDxfId="1"/>
    <tableColumn id="5" xr3:uid="{CE7C3955-01D7-344A-9B18-BA547D946E7F}" name="lavorazione principale" dataDxfId="0"/>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hyperlink" Target="https://www.assica.it/magazine/prospettive-a-breve-termine-dei-mercati-agricoli-dellue/" TargetMode="External"/><Relationship Id="rId6" Type="http://schemas.openxmlformats.org/officeDocument/2006/relationships/table" Target="../tables/table2.xml"/><Relationship Id="rId5" Type="http://schemas.openxmlformats.org/officeDocument/2006/relationships/image" Target="../media/image6.emf"/><Relationship Id="rId4" Type="http://schemas.openxmlformats.org/officeDocument/2006/relationships/package" Target="../embeddings/Documento_di_Microsoft_Word.docx"/></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1574-0205-F041-A79C-5D06B3B602BE}">
  <sheetPr>
    <tabColor rgb="FF00B050"/>
  </sheetPr>
  <dimension ref="B1:T38"/>
  <sheetViews>
    <sheetView showGridLines="0" tabSelected="1" workbookViewId="0">
      <selection activeCell="F5" sqref="F5:L5"/>
    </sheetView>
  </sheetViews>
  <sheetFormatPr baseColWidth="10" defaultRowHeight="16" x14ac:dyDescent="0.2"/>
  <cols>
    <col min="1" max="1" width="11.5" style="5" customWidth="1"/>
    <col min="2" max="2" width="21" style="5" customWidth="1"/>
    <col min="3" max="3" width="7.1640625" style="5" customWidth="1"/>
    <col min="4" max="6" width="10.83203125" style="5"/>
    <col min="7" max="7" width="10.83203125" style="5" customWidth="1"/>
    <col min="8" max="8" width="9.33203125" style="5" customWidth="1"/>
    <col min="9" max="16384" width="10.83203125" style="5"/>
  </cols>
  <sheetData>
    <row r="1" spans="2:20" ht="84" customHeight="1" x14ac:dyDescent="0.2"/>
    <row r="2" spans="2:20" x14ac:dyDescent="0.2">
      <c r="B2" s="138"/>
    </row>
    <row r="5" spans="2:20" ht="47" x14ac:dyDescent="0.2">
      <c r="F5" s="854" t="s">
        <v>1250</v>
      </c>
      <c r="G5" s="854"/>
      <c r="H5" s="854"/>
      <c r="I5" s="854"/>
      <c r="J5" s="854"/>
      <c r="K5" s="854"/>
      <c r="L5" s="854"/>
    </row>
    <row r="6" spans="2:20" ht="21" x14ac:dyDescent="0.2">
      <c r="G6" s="852" t="s">
        <v>1251</v>
      </c>
      <c r="H6" s="852"/>
      <c r="I6" s="852"/>
      <c r="J6" s="852"/>
      <c r="K6" s="852"/>
    </row>
    <row r="7" spans="2:20" x14ac:dyDescent="0.2">
      <c r="I7" s="138"/>
      <c r="T7"/>
    </row>
    <row r="8" spans="2:20" ht="21" x14ac:dyDescent="0.2">
      <c r="G8" s="853"/>
      <c r="H8" s="853"/>
      <c r="I8" s="853"/>
      <c r="J8" s="853"/>
      <c r="K8" s="853"/>
    </row>
    <row r="10" spans="2:20" ht="19" x14ac:dyDescent="0.2">
      <c r="G10" s="139" t="s">
        <v>0</v>
      </c>
      <c r="H10" s="140" t="s">
        <v>1253</v>
      </c>
    </row>
    <row r="11" spans="2:20" x14ac:dyDescent="0.2">
      <c r="G11" s="169" t="s">
        <v>1252</v>
      </c>
      <c r="H11" s="855" t="s">
        <v>426</v>
      </c>
      <c r="I11" s="856"/>
    </row>
    <row r="12" spans="2:20" x14ac:dyDescent="0.2">
      <c r="G12" s="169" t="s">
        <v>1</v>
      </c>
      <c r="H12" s="169" t="s">
        <v>2</v>
      </c>
    </row>
    <row r="13" spans="2:20" ht="19" x14ac:dyDescent="0.2">
      <c r="H13" s="141"/>
      <c r="I13" s="141"/>
    </row>
    <row r="21" spans="4:8" ht="41" customHeight="1" x14ac:dyDescent="0.2"/>
    <row r="31" spans="4:8" ht="19" x14ac:dyDescent="0.2">
      <c r="D31" s="80" t="s">
        <v>1243</v>
      </c>
    </row>
    <row r="32" spans="4:8" x14ac:dyDescent="0.2">
      <c r="D32" s="5" t="s">
        <v>1244</v>
      </c>
      <c r="E32" s="5" t="s">
        <v>1245</v>
      </c>
      <c r="G32" s="142" t="s">
        <v>1248</v>
      </c>
      <c r="H32" s="5" t="s">
        <v>1249</v>
      </c>
    </row>
    <row r="34" spans="4:11" x14ac:dyDescent="0.2">
      <c r="D34" s="5" t="s">
        <v>1246</v>
      </c>
      <c r="E34" s="5" t="s">
        <v>1247</v>
      </c>
    </row>
    <row r="38" spans="4:11" x14ac:dyDescent="0.2">
      <c r="K38" s="5" t="s">
        <v>290</v>
      </c>
    </row>
  </sheetData>
  <mergeCells count="4">
    <mergeCell ref="G6:K6"/>
    <mergeCell ref="G8:K8"/>
    <mergeCell ref="F5:L5"/>
    <mergeCell ref="H11:I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FBAA-EEB3-7C43-923C-A6005336C4CB}">
  <sheetPr>
    <tabColor theme="0"/>
  </sheetPr>
  <dimension ref="A1"/>
  <sheetViews>
    <sheetView showGridLines="0"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58EC9-F2FB-C940-B11D-10BC656DA5ED}">
  <sheetPr>
    <tabColor rgb="FF92D050"/>
  </sheetPr>
  <dimension ref="B1:AB68"/>
  <sheetViews>
    <sheetView showGridLines="0" zoomScaleNormal="100" workbookViewId="0"/>
  </sheetViews>
  <sheetFormatPr baseColWidth="10" defaultRowHeight="16" x14ac:dyDescent="0.2"/>
  <cols>
    <col min="1" max="1" width="8.6640625" style="5" customWidth="1"/>
    <col min="2" max="2" width="14.83203125" style="5" customWidth="1"/>
    <col min="3" max="3" width="28.83203125" style="5" customWidth="1"/>
    <col min="4" max="4" width="20.83203125" style="5" customWidth="1"/>
    <col min="5" max="5" width="8.1640625" style="5" customWidth="1"/>
    <col min="6" max="6" width="14.1640625" style="5" customWidth="1"/>
    <col min="7" max="7" width="15.33203125" style="5" customWidth="1"/>
    <col min="8" max="8" width="14.83203125" style="5" customWidth="1"/>
    <col min="9" max="9" width="28.83203125" style="5" customWidth="1"/>
    <col min="10" max="12" width="20.83203125" style="5" customWidth="1"/>
    <col min="13" max="13" width="6.5" style="5" bestFit="1" customWidth="1"/>
    <col min="14" max="14" width="2" style="5" customWidth="1"/>
    <col min="15" max="15" width="4" style="5" customWidth="1"/>
    <col min="16" max="16" width="7.5" style="5" customWidth="1"/>
    <col min="17" max="17" width="14.83203125" style="5" hidden="1" customWidth="1"/>
    <col min="18" max="18" width="28.83203125" style="5" hidden="1" customWidth="1"/>
    <col min="19" max="19" width="20.83203125" style="5" hidden="1" customWidth="1"/>
    <col min="20" max="23" width="0" style="5" hidden="1" customWidth="1"/>
    <col min="24" max="16384" width="10.83203125" style="5"/>
  </cols>
  <sheetData>
    <row r="1" spans="2:28" ht="17" customHeight="1" x14ac:dyDescent="0.2"/>
    <row r="2" spans="2:28" ht="16" customHeight="1" x14ac:dyDescent="0.2">
      <c r="B2" s="789" t="s">
        <v>1470</v>
      </c>
      <c r="C2" s="790"/>
      <c r="D2" s="790"/>
      <c r="E2" s="790"/>
      <c r="F2" s="793" t="s">
        <v>1264</v>
      </c>
      <c r="H2" s="789" t="s">
        <v>1471</v>
      </c>
      <c r="I2" s="791"/>
      <c r="J2" s="791"/>
      <c r="K2" s="790"/>
      <c r="L2" s="792" t="s">
        <v>1264</v>
      </c>
      <c r="Q2" s="4" t="s">
        <v>1470</v>
      </c>
      <c r="U2" s="388" t="s">
        <v>1264</v>
      </c>
    </row>
    <row r="3" spans="2:28" ht="5" customHeight="1" x14ac:dyDescent="0.2">
      <c r="B3" s="414"/>
      <c r="C3" s="399"/>
      <c r="D3" s="399"/>
      <c r="E3" s="399"/>
      <c r="F3" s="722" t="s">
        <v>1500</v>
      </c>
      <c r="H3" s="414"/>
      <c r="I3" s="415"/>
      <c r="J3" s="415"/>
      <c r="K3" s="722"/>
      <c r="L3" s="400" t="s">
        <v>1500</v>
      </c>
      <c r="Q3" s="414"/>
      <c r="R3" s="399"/>
      <c r="S3" s="399"/>
      <c r="T3" s="399"/>
      <c r="U3" s="416"/>
      <c r="V3" s="400" t="s">
        <v>1500</v>
      </c>
    </row>
    <row r="4" spans="2:28" ht="125" hidden="1" customHeight="1" x14ac:dyDescent="0.2">
      <c r="B4" s="386" t="s">
        <v>1257</v>
      </c>
      <c r="C4" s="861" t="s">
        <v>1565</v>
      </c>
      <c r="D4" s="861"/>
      <c r="E4" s="861"/>
      <c r="F4" s="861"/>
      <c r="H4" s="386" t="s">
        <v>1257</v>
      </c>
      <c r="I4" s="861" t="s">
        <v>1469</v>
      </c>
      <c r="J4" s="861"/>
      <c r="K4" s="861"/>
      <c r="L4" s="861"/>
      <c r="M4" s="861"/>
      <c r="N4" s="861"/>
      <c r="O4" s="861"/>
      <c r="Q4" s="386" t="s">
        <v>1257</v>
      </c>
      <c r="R4" s="861"/>
      <c r="S4" s="861"/>
      <c r="T4" s="861"/>
      <c r="U4" s="861"/>
      <c r="V4" s="861"/>
      <c r="W4" s="861"/>
      <c r="X4" s="861"/>
      <c r="Y4" s="861"/>
      <c r="Z4" s="861"/>
      <c r="AA4" s="861"/>
      <c r="AB4" s="861"/>
    </row>
    <row r="5" spans="2:28" ht="17" hidden="1" customHeight="1" x14ac:dyDescent="0.2">
      <c r="B5" s="142" t="s">
        <v>1258</v>
      </c>
      <c r="C5" s="5" t="s">
        <v>1563</v>
      </c>
      <c r="H5" s="142" t="s">
        <v>1258</v>
      </c>
      <c r="I5" s="5" t="s">
        <v>1260</v>
      </c>
      <c r="Q5" s="142" t="s">
        <v>1258</v>
      </c>
      <c r="R5" s="5" t="s">
        <v>1261</v>
      </c>
    </row>
    <row r="6" spans="2:28" ht="1" hidden="1" customHeight="1" x14ac:dyDescent="0.2">
      <c r="B6" s="142" t="s">
        <v>1259</v>
      </c>
      <c r="C6" s="5" t="s">
        <v>1564</v>
      </c>
      <c r="H6" s="142" t="s">
        <v>1259</v>
      </c>
      <c r="I6" s="5" t="s">
        <v>1263</v>
      </c>
      <c r="Q6" s="142" t="s">
        <v>1259</v>
      </c>
      <c r="R6" s="5" t="s">
        <v>1262</v>
      </c>
    </row>
    <row r="7" spans="2:28" ht="8" customHeight="1" x14ac:dyDescent="0.2"/>
    <row r="8" spans="2:28" x14ac:dyDescent="0.2">
      <c r="B8" s="864" t="s">
        <v>250</v>
      </c>
      <c r="C8" s="865"/>
      <c r="D8" s="397" t="s">
        <v>149</v>
      </c>
      <c r="H8" s="864" t="s">
        <v>250</v>
      </c>
      <c r="I8" s="865"/>
      <c r="J8" s="868" t="s">
        <v>149</v>
      </c>
      <c r="K8" s="868"/>
      <c r="L8" s="869"/>
      <c r="Q8" s="864" t="s">
        <v>250</v>
      </c>
      <c r="R8" s="865"/>
      <c r="S8" s="397" t="s">
        <v>149</v>
      </c>
    </row>
    <row r="9" spans="2:28" ht="19" x14ac:dyDescent="0.2">
      <c r="B9" s="866"/>
      <c r="C9" s="867"/>
      <c r="D9" s="393">
        <v>2024</v>
      </c>
      <c r="H9" s="866"/>
      <c r="I9" s="867"/>
      <c r="J9" s="392">
        <v>2025</v>
      </c>
      <c r="K9" s="392">
        <v>2026</v>
      </c>
      <c r="L9" s="393">
        <v>2027</v>
      </c>
      <c r="Q9" s="866"/>
      <c r="R9" s="867"/>
      <c r="S9" s="393">
        <v>2024</v>
      </c>
    </row>
    <row r="10" spans="2:28" x14ac:dyDescent="0.2">
      <c r="B10" s="862" t="s">
        <v>251</v>
      </c>
      <c r="C10" s="863"/>
      <c r="D10" s="135"/>
      <c r="H10" s="870" t="s">
        <v>261</v>
      </c>
      <c r="I10" s="871"/>
      <c r="J10" s="159"/>
      <c r="K10" s="159"/>
      <c r="L10" s="127"/>
      <c r="Q10" s="862" t="s">
        <v>251</v>
      </c>
      <c r="R10" s="863"/>
      <c r="S10" s="135"/>
    </row>
    <row r="11" spans="2:28" x14ac:dyDescent="0.2">
      <c r="B11" s="128"/>
      <c r="C11" s="135" t="s">
        <v>273</v>
      </c>
      <c r="D11" s="395">
        <v>36.08</v>
      </c>
      <c r="H11" s="128"/>
      <c r="I11" s="135" t="s">
        <v>273</v>
      </c>
      <c r="J11" s="174">
        <f>'B. linea prodotti Bomè'!J121</f>
        <v>37.243471759999991</v>
      </c>
      <c r="K11" s="174">
        <f>'B. linea prodotti Bomè'!K121</f>
        <v>38.70855545209487</v>
      </c>
      <c r="L11" s="244">
        <f>'B. linea prodotti Bomè'!L121</f>
        <v>39.996002006431539</v>
      </c>
      <c r="Q11" s="128"/>
      <c r="R11" s="135" t="s">
        <v>273</v>
      </c>
      <c r="S11" s="395">
        <v>36.08</v>
      </c>
    </row>
    <row r="12" spans="2:28" x14ac:dyDescent="0.2">
      <c r="B12" s="128"/>
      <c r="C12" s="135" t="s">
        <v>272</v>
      </c>
      <c r="D12" s="390">
        <f>D13/D11</f>
        <v>44339.10604185197</v>
      </c>
      <c r="H12" s="128"/>
      <c r="I12" s="135" t="s">
        <v>272</v>
      </c>
      <c r="J12" s="134">
        <f>J13/J11</f>
        <v>44874.011822676897</v>
      </c>
      <c r="K12" s="134">
        <f>K13/K11</f>
        <v>45105.519235465799</v>
      </c>
      <c r="L12" s="390">
        <f t="shared" ref="L12" si="0">L13/L11</f>
        <v>45604.916424995768</v>
      </c>
      <c r="Q12" s="128"/>
      <c r="R12" s="135" t="s">
        <v>272</v>
      </c>
      <c r="S12" s="390">
        <f>S13/S11</f>
        <v>44339.10604185197</v>
      </c>
    </row>
    <row r="13" spans="2:28" x14ac:dyDescent="0.2">
      <c r="B13" s="857" t="s">
        <v>252</v>
      </c>
      <c r="C13" s="858"/>
      <c r="D13" s="391">
        <f>D34*0.074534161</f>
        <v>1599754.945990019</v>
      </c>
      <c r="H13" s="857" t="s">
        <v>252</v>
      </c>
      <c r="I13" s="858"/>
      <c r="J13" s="389">
        <f>0.074534161*J$34</f>
        <v>1671263.9920757727</v>
      </c>
      <c r="K13" s="389">
        <f>0.074534161*K$34</f>
        <v>1745969.4925215598</v>
      </c>
      <c r="L13" s="391">
        <f t="shared" ref="L13" si="1">0.074534161*L$34</f>
        <v>1824014.3288372734</v>
      </c>
      <c r="Q13" s="857" t="s">
        <v>252</v>
      </c>
      <c r="R13" s="858"/>
      <c r="S13" s="391">
        <f>S34*0.074534161</f>
        <v>1599754.945990019</v>
      </c>
    </row>
    <row r="14" spans="2:28" x14ac:dyDescent="0.2">
      <c r="B14" s="122"/>
      <c r="C14" s="404"/>
      <c r="D14" s="396"/>
      <c r="H14" s="122"/>
      <c r="I14" s="404"/>
      <c r="J14" s="394"/>
      <c r="K14" s="394"/>
      <c r="L14" s="396"/>
      <c r="Q14" s="122"/>
      <c r="R14" s="404"/>
      <c r="S14" s="396"/>
    </row>
    <row r="15" spans="2:28" x14ac:dyDescent="0.2">
      <c r="B15" s="862" t="s">
        <v>253</v>
      </c>
      <c r="C15" s="863"/>
      <c r="D15" s="135"/>
      <c r="H15" s="862" t="s">
        <v>262</v>
      </c>
      <c r="I15" s="863"/>
      <c r="L15" s="135"/>
      <c r="Q15" s="862" t="s">
        <v>253</v>
      </c>
      <c r="R15" s="863"/>
      <c r="S15" s="135"/>
    </row>
    <row r="16" spans="2:28" x14ac:dyDescent="0.2">
      <c r="B16" s="128"/>
      <c r="C16" s="135" t="s">
        <v>273</v>
      </c>
      <c r="D16" s="395">
        <v>35</v>
      </c>
      <c r="H16" s="128"/>
      <c r="I16" s="135" t="s">
        <v>273</v>
      </c>
      <c r="J16" s="174">
        <f>'B. linea prodotti Bomè'!J125</f>
        <v>35.679265999999998</v>
      </c>
      <c r="K16" s="174">
        <f>'B. linea prodotti Bomè'!K125</f>
        <v>36.621569686766399</v>
      </c>
      <c r="L16" s="244">
        <f>'B. linea prodotti Bomè'!L125</f>
        <v>37.368942680933927</v>
      </c>
      <c r="Q16" s="128"/>
      <c r="R16" s="135" t="s">
        <v>273</v>
      </c>
      <c r="S16" s="395">
        <v>35</v>
      </c>
    </row>
    <row r="17" spans="2:19" x14ac:dyDescent="0.2">
      <c r="B17" s="128"/>
      <c r="C17" s="135" t="s">
        <v>272</v>
      </c>
      <c r="D17" s="390">
        <f>D18/D16</f>
        <v>55229.635525612801</v>
      </c>
      <c r="H17" s="128"/>
      <c r="I17" s="135" t="s">
        <v>272</v>
      </c>
      <c r="J17" s="134">
        <f>J18/J16</f>
        <v>56599.931404874449</v>
      </c>
      <c r="K17" s="134">
        <f t="shared" ref="K17:L17" si="2">K18/K16</f>
        <v>57608.48520111676</v>
      </c>
      <c r="L17" s="390">
        <f t="shared" si="2"/>
        <v>58979.922236602106</v>
      </c>
      <c r="Q17" s="128"/>
      <c r="R17" s="135" t="s">
        <v>272</v>
      </c>
      <c r="S17" s="390">
        <f>S18/S16</f>
        <v>55229.635525612801</v>
      </c>
    </row>
    <row r="18" spans="2:19" x14ac:dyDescent="0.2">
      <c r="B18" s="857" t="s">
        <v>254</v>
      </c>
      <c r="C18" s="858"/>
      <c r="D18" s="391">
        <f>0.090062112*D34</f>
        <v>1933037.243396448</v>
      </c>
      <c r="H18" s="857" t="s">
        <v>254</v>
      </c>
      <c r="I18" s="858"/>
      <c r="J18" s="389">
        <f>0.090062112*J$34</f>
        <v>2019444.008176269</v>
      </c>
      <c r="K18" s="389">
        <f t="shared" ref="K18:L18" si="3">0.090062112*K$34</f>
        <v>2109713.1553417481</v>
      </c>
      <c r="L18" s="391">
        <f t="shared" si="3"/>
        <v>2204017.3333855243</v>
      </c>
      <c r="Q18" s="857" t="s">
        <v>254</v>
      </c>
      <c r="R18" s="858"/>
      <c r="S18" s="391">
        <f>0.090062112*S34</f>
        <v>1933037.243396448</v>
      </c>
    </row>
    <row r="19" spans="2:19" x14ac:dyDescent="0.2">
      <c r="B19" s="122"/>
      <c r="C19" s="404"/>
      <c r="D19" s="396"/>
      <c r="H19" s="122"/>
      <c r="I19" s="404"/>
      <c r="J19" s="394"/>
      <c r="K19" s="394"/>
      <c r="L19" s="396"/>
      <c r="Q19" s="122"/>
      <c r="R19" s="404"/>
      <c r="S19" s="396"/>
    </row>
    <row r="20" spans="2:19" x14ac:dyDescent="0.2">
      <c r="B20" s="862" t="s">
        <v>255</v>
      </c>
      <c r="C20" s="863"/>
      <c r="D20" s="135"/>
      <c r="H20" s="862" t="s">
        <v>263</v>
      </c>
      <c r="I20" s="863"/>
      <c r="L20" s="135"/>
      <c r="Q20" s="862" t="s">
        <v>255</v>
      </c>
      <c r="R20" s="863"/>
      <c r="S20" s="135"/>
    </row>
    <row r="21" spans="2:19" x14ac:dyDescent="0.2">
      <c r="B21" s="128"/>
      <c r="C21" s="135" t="s">
        <v>273</v>
      </c>
      <c r="D21" s="395">
        <v>35.880000000000003</v>
      </c>
      <c r="H21" s="128"/>
      <c r="I21" s="135" t="s">
        <v>273</v>
      </c>
      <c r="J21" s="174">
        <f>'B. linea prodotti Bomè'!J122</f>
        <v>36.668480222399999</v>
      </c>
      <c r="K21" s="174">
        <f>'B. linea prodotti Bomè'!K122</f>
        <v>37.731716541450297</v>
      </c>
      <c r="L21" s="244">
        <f>'B. linea prodotti Bomè'!L122</f>
        <v>38.598731016826356</v>
      </c>
      <c r="Q21" s="128"/>
      <c r="R21" s="135" t="s">
        <v>273</v>
      </c>
      <c r="S21" s="395">
        <v>35.880000000000003</v>
      </c>
    </row>
    <row r="22" spans="2:19" x14ac:dyDescent="0.2">
      <c r="B22" s="128"/>
      <c r="C22" s="135" t="s">
        <v>272</v>
      </c>
      <c r="D22" s="390">
        <f>D23/D21</f>
        <v>70594.90914420117</v>
      </c>
      <c r="H22" s="128"/>
      <c r="I22" s="135" t="s">
        <v>272</v>
      </c>
      <c r="J22" s="134">
        <f>J23/J21</f>
        <v>72164.64878682507</v>
      </c>
      <c r="K22" s="134">
        <f t="shared" ref="K22" si="4">K23/K21</f>
        <v>73265.993695675817</v>
      </c>
      <c r="L22" s="390">
        <f t="shared" ref="L22" si="5">L23/L21</f>
        <v>74821.700647709193</v>
      </c>
      <c r="Q22" s="128"/>
      <c r="R22" s="135" t="s">
        <v>272</v>
      </c>
      <c r="S22" s="390">
        <f>S23/S21</f>
        <v>70594.90914420117</v>
      </c>
    </row>
    <row r="23" spans="2:19" x14ac:dyDescent="0.2">
      <c r="B23" s="857" t="s">
        <v>258</v>
      </c>
      <c r="C23" s="858"/>
      <c r="D23" s="391">
        <f>0.118012422*D34</f>
        <v>2532945.3400939382</v>
      </c>
      <c r="H23" s="857" t="s">
        <v>258</v>
      </c>
      <c r="I23" s="858"/>
      <c r="J23" s="389">
        <f>0.118012422*J$34</f>
        <v>2646167.9967961372</v>
      </c>
      <c r="K23" s="389">
        <f t="shared" ref="K23:L23" si="6">0.118012422*K$34</f>
        <v>2764451.7062529242</v>
      </c>
      <c r="L23" s="391">
        <f t="shared" si="6"/>
        <v>2888022.6975224297</v>
      </c>
      <c r="Q23" s="857" t="s">
        <v>258</v>
      </c>
      <c r="R23" s="858"/>
      <c r="S23" s="391">
        <f>0.118012422*S34</f>
        <v>2532945.3400939382</v>
      </c>
    </row>
    <row r="24" spans="2:19" x14ac:dyDescent="0.2">
      <c r="B24" s="122"/>
      <c r="C24" s="404"/>
      <c r="D24" s="396"/>
      <c r="H24" s="122"/>
      <c r="I24" s="404"/>
      <c r="J24" s="394"/>
      <c r="K24" s="394"/>
      <c r="L24" s="396"/>
      <c r="Q24" s="122"/>
      <c r="R24" s="404"/>
      <c r="S24" s="396"/>
    </row>
    <row r="25" spans="2:19" x14ac:dyDescent="0.2">
      <c r="B25" s="862" t="s">
        <v>256</v>
      </c>
      <c r="C25" s="863"/>
      <c r="D25" s="135"/>
      <c r="H25" s="862" t="s">
        <v>264</v>
      </c>
      <c r="I25" s="863"/>
      <c r="L25" s="135"/>
      <c r="Q25" s="862" t="s">
        <v>256</v>
      </c>
      <c r="R25" s="863"/>
      <c r="S25" s="135"/>
    </row>
    <row r="26" spans="2:19" x14ac:dyDescent="0.2">
      <c r="B26" s="128"/>
      <c r="C26" s="135" t="s">
        <v>273</v>
      </c>
      <c r="D26" s="395">
        <v>28.83</v>
      </c>
      <c r="H26" s="128"/>
      <c r="I26" s="135" t="s">
        <v>273</v>
      </c>
      <c r="J26" s="174">
        <f>'B. linea prodotti Bomè'!J124</f>
        <v>29.540522845799998</v>
      </c>
      <c r="K26" s="174">
        <f>'B. linea prodotti Bomè'!K124</f>
        <v>30.476485953267243</v>
      </c>
      <c r="L26" s="244">
        <f>'B. linea prodotti Bomè'!L124</f>
        <v>31.258232199157316</v>
      </c>
      <c r="Q26" s="128"/>
      <c r="R26" s="135" t="s">
        <v>273</v>
      </c>
      <c r="S26" s="395">
        <v>28.83</v>
      </c>
    </row>
    <row r="27" spans="2:19" x14ac:dyDescent="0.2">
      <c r="B27" s="128"/>
      <c r="C27" s="135" t="s">
        <v>272</v>
      </c>
      <c r="D27" s="390">
        <f>D28/D26</f>
        <v>358368.04609324801</v>
      </c>
      <c r="H27" s="128"/>
      <c r="I27" s="135" t="s">
        <v>272</v>
      </c>
      <c r="J27" s="134">
        <f>J28/J26</f>
        <v>365382.15943497967</v>
      </c>
      <c r="K27" s="134">
        <f>K28/K26</f>
        <v>369991.90368567029</v>
      </c>
      <c r="L27" s="390">
        <f>L28/L26</f>
        <v>376863.68672497466</v>
      </c>
      <c r="Q27" s="128"/>
      <c r="R27" s="135" t="s">
        <v>272</v>
      </c>
      <c r="S27" s="390">
        <f>S28/S26</f>
        <v>358368.04609324801</v>
      </c>
    </row>
    <row r="28" spans="2:19" x14ac:dyDescent="0.2">
      <c r="B28" s="857" t="s">
        <v>259</v>
      </c>
      <c r="C28" s="858"/>
      <c r="D28" s="391">
        <f>0.48136646*D34</f>
        <v>10331750.76886834</v>
      </c>
      <c r="H28" s="857" t="s">
        <v>259</v>
      </c>
      <c r="I28" s="858"/>
      <c r="J28" s="389">
        <f>0.48136646*J$34</f>
        <v>10793580.028236754</v>
      </c>
      <c r="K28" s="389">
        <f t="shared" ref="K28:L28" si="7">0.48136646*K$34</f>
        <v>11276053.055498937</v>
      </c>
      <c r="L28" s="391">
        <f t="shared" si="7"/>
        <v>11780092.627079738</v>
      </c>
      <c r="Q28" s="857" t="s">
        <v>259</v>
      </c>
      <c r="R28" s="858"/>
      <c r="S28" s="391">
        <f>0.48136646*S34</f>
        <v>10331750.76886834</v>
      </c>
    </row>
    <row r="29" spans="2:19" x14ac:dyDescent="0.2">
      <c r="B29" s="122"/>
      <c r="C29" s="404"/>
      <c r="D29" s="396"/>
      <c r="H29" s="122"/>
      <c r="I29" s="404"/>
      <c r="J29" s="394"/>
      <c r="K29" s="394"/>
      <c r="L29" s="396"/>
      <c r="Q29" s="122"/>
      <c r="R29" s="404"/>
      <c r="S29" s="396"/>
    </row>
    <row r="30" spans="2:19" x14ac:dyDescent="0.2">
      <c r="B30" s="862" t="s">
        <v>257</v>
      </c>
      <c r="C30" s="863"/>
      <c r="D30" s="135"/>
      <c r="H30" s="862" t="s">
        <v>265</v>
      </c>
      <c r="I30" s="863"/>
      <c r="L30" s="135"/>
      <c r="Q30" s="862" t="s">
        <v>257</v>
      </c>
      <c r="R30" s="863"/>
      <c r="S30" s="135"/>
    </row>
    <row r="31" spans="2:19" x14ac:dyDescent="0.2">
      <c r="B31" s="128"/>
      <c r="C31" s="135" t="s">
        <v>273</v>
      </c>
      <c r="D31" s="395">
        <v>34.47</v>
      </c>
      <c r="H31" s="128"/>
      <c r="I31" s="135" t="s">
        <v>273</v>
      </c>
      <c r="J31" s="174">
        <f>'B. linea prodotti Bomè'!I123</f>
        <v>34.47</v>
      </c>
      <c r="K31" s="174">
        <f>'B. linea prodotti Bomè'!J123</f>
        <v>35.593847815499998</v>
      </c>
      <c r="L31" s="244">
        <f>'B. linea prodotti Bomè'!K123</f>
        <v>37.006820351616689</v>
      </c>
      <c r="Q31" s="128"/>
      <c r="R31" s="135" t="s">
        <v>273</v>
      </c>
      <c r="S31" s="395">
        <v>34.47</v>
      </c>
    </row>
    <row r="32" spans="2:19" x14ac:dyDescent="0.2">
      <c r="B32" s="128"/>
      <c r="C32" s="135" t="s">
        <v>272</v>
      </c>
      <c r="D32" s="390">
        <f>D33/D31</f>
        <v>146965.20747465204</v>
      </c>
      <c r="H32" s="128"/>
      <c r="I32" s="135" t="s">
        <v>272</v>
      </c>
      <c r="J32" s="134">
        <f>J33/J31</f>
        <v>153534.55224876894</v>
      </c>
      <c r="K32" s="134">
        <f t="shared" ref="K32" si="8">K33/K31</f>
        <v>155333.12005462011</v>
      </c>
      <c r="L32" s="390">
        <f t="shared" ref="L32" si="9">L33/L31</f>
        <v>156080.56473473055</v>
      </c>
      <c r="Q32" s="128"/>
      <c r="R32" s="135" t="s">
        <v>272</v>
      </c>
      <c r="S32" s="390">
        <f>S33/S31</f>
        <v>146965.20747465204</v>
      </c>
    </row>
    <row r="33" spans="2:23" x14ac:dyDescent="0.2">
      <c r="B33" s="857" t="s">
        <v>260</v>
      </c>
      <c r="C33" s="858"/>
      <c r="D33" s="391">
        <f>0.236024845*D34</f>
        <v>5065890.7016512556</v>
      </c>
      <c r="H33" s="857" t="s">
        <v>260</v>
      </c>
      <c r="I33" s="858"/>
      <c r="J33" s="389">
        <f>0.236024845*J$34</f>
        <v>5292336.0160150658</v>
      </c>
      <c r="K33" s="389">
        <f t="shared" ref="K33:L33" si="10">0.236024845*K$34</f>
        <v>5528903.4359309394</v>
      </c>
      <c r="L33" s="391">
        <f t="shared" si="10"/>
        <v>5776045.4195170524</v>
      </c>
      <c r="Q33" s="857" t="s">
        <v>260</v>
      </c>
      <c r="R33" s="858"/>
      <c r="S33" s="391">
        <f>0.236024845*S34</f>
        <v>5065890.7016512556</v>
      </c>
    </row>
    <row r="34" spans="2:23" x14ac:dyDescent="0.2">
      <c r="B34" s="859" t="s">
        <v>266</v>
      </c>
      <c r="C34" s="860"/>
      <c r="D34" s="398">
        <v>21463379</v>
      </c>
      <c r="H34" s="859" t="s">
        <v>266</v>
      </c>
      <c r="I34" s="860"/>
      <c r="J34" s="411">
        <f>S34*(1+M37)</f>
        <v>22422792.041299999</v>
      </c>
      <c r="K34" s="411">
        <f>J34*(1+M37)</f>
        <v>23425090.845546108</v>
      </c>
      <c r="L34" s="398">
        <f>K34*(1+M37)</f>
        <v>24472192.406342018</v>
      </c>
      <c r="Q34" s="859" t="s">
        <v>266</v>
      </c>
      <c r="R34" s="860"/>
      <c r="S34" s="398">
        <v>21463379</v>
      </c>
    </row>
    <row r="35" spans="2:23" x14ac:dyDescent="0.2">
      <c r="J35" s="131"/>
      <c r="K35" s="131"/>
      <c r="L35" s="131"/>
      <c r="S35" s="132"/>
    </row>
    <row r="36" spans="2:23" x14ac:dyDescent="0.2">
      <c r="J36" s="131"/>
      <c r="K36" s="131"/>
      <c r="L36" s="131"/>
      <c r="S36" s="132"/>
    </row>
    <row r="37" spans="2:23" x14ac:dyDescent="0.2">
      <c r="H37" s="385"/>
      <c r="K37" s="402"/>
      <c r="L37" s="400" t="s">
        <v>1254</v>
      </c>
      <c r="M37" s="401">
        <v>4.4699999999999997E-2</v>
      </c>
      <c r="Q37" s="26"/>
      <c r="R37" s="133"/>
      <c r="S37" s="133"/>
      <c r="V37" s="4"/>
      <c r="W37" s="4"/>
    </row>
    <row r="38" spans="2:23" x14ac:dyDescent="0.2">
      <c r="Q38" s="133"/>
      <c r="R38" s="133"/>
      <c r="S38" s="133"/>
      <c r="W38" s="132"/>
    </row>
    <row r="39" spans="2:23" x14ac:dyDescent="0.2">
      <c r="H39" s="26" t="s">
        <v>1566</v>
      </c>
      <c r="W39" s="132"/>
    </row>
    <row r="40" spans="2:23" x14ac:dyDescent="0.2">
      <c r="H40" s="872" t="s">
        <v>1637</v>
      </c>
      <c r="I40" s="872"/>
      <c r="J40" s="872"/>
      <c r="K40" s="872"/>
      <c r="L40" s="872"/>
      <c r="M40" s="872"/>
      <c r="O40" s="5" t="s">
        <v>290</v>
      </c>
      <c r="W40" s="132"/>
    </row>
    <row r="41" spans="2:23" x14ac:dyDescent="0.2">
      <c r="H41" s="872"/>
      <c r="I41" s="872"/>
      <c r="J41" s="872"/>
      <c r="K41" s="872"/>
      <c r="L41" s="872"/>
      <c r="M41" s="872"/>
      <c r="W41" s="132"/>
    </row>
    <row r="42" spans="2:23" x14ac:dyDescent="0.2">
      <c r="W42" s="132"/>
    </row>
    <row r="43" spans="2:23" x14ac:dyDescent="0.2">
      <c r="I43" s="4"/>
    </row>
    <row r="45" spans="2:23" ht="16" customHeight="1" x14ac:dyDescent="0.2">
      <c r="H45" s="789" t="s">
        <v>1472</v>
      </c>
      <c r="I45" s="791"/>
      <c r="J45" s="791"/>
      <c r="K45" s="790"/>
      <c r="L45" s="792" t="s">
        <v>1264</v>
      </c>
    </row>
    <row r="46" spans="2:23" ht="2" customHeight="1" x14ac:dyDescent="0.2">
      <c r="H46" s="414"/>
      <c r="I46" s="415"/>
      <c r="J46" s="415"/>
      <c r="K46" s="399"/>
      <c r="L46" s="722" t="s">
        <v>1500</v>
      </c>
    </row>
    <row r="47" spans="2:23" ht="22" hidden="1" customHeight="1" x14ac:dyDescent="0.2">
      <c r="H47" s="386" t="s">
        <v>1257</v>
      </c>
      <c r="I47" s="861" t="s">
        <v>1267</v>
      </c>
      <c r="J47" s="861"/>
      <c r="K47" s="861"/>
      <c r="L47" s="861"/>
      <c r="M47" s="861"/>
      <c r="N47" s="861"/>
      <c r="O47" s="861"/>
    </row>
    <row r="48" spans="2:23" hidden="1" x14ac:dyDescent="0.2">
      <c r="H48" s="142" t="s">
        <v>1258</v>
      </c>
      <c r="I48" s="5" t="s">
        <v>1266</v>
      </c>
    </row>
    <row r="49" spans="8:12" hidden="1" x14ac:dyDescent="0.2">
      <c r="H49" s="142" t="s">
        <v>1259</v>
      </c>
      <c r="I49" s="5" t="s">
        <v>1265</v>
      </c>
    </row>
    <row r="50" spans="8:12" ht="8" customHeight="1" x14ac:dyDescent="0.2">
      <c r="H50" s="142"/>
    </row>
    <row r="51" spans="8:12" x14ac:dyDescent="0.2">
      <c r="H51" s="864" t="s">
        <v>250</v>
      </c>
      <c r="I51" s="865"/>
      <c r="J51" s="868" t="s">
        <v>149</v>
      </c>
      <c r="K51" s="868"/>
      <c r="L51" s="869"/>
    </row>
    <row r="52" spans="8:12" ht="19" x14ac:dyDescent="0.2">
      <c r="H52" s="866"/>
      <c r="I52" s="867"/>
      <c r="J52" s="392">
        <v>2025</v>
      </c>
      <c r="K52" s="392">
        <v>2026</v>
      </c>
      <c r="L52" s="393">
        <v>2027</v>
      </c>
    </row>
    <row r="53" spans="8:12" x14ac:dyDescent="0.2">
      <c r="H53" s="862"/>
      <c r="I53" s="863"/>
      <c r="L53" s="135"/>
    </row>
    <row r="54" spans="8:12" x14ac:dyDescent="0.2">
      <c r="H54" s="862" t="s">
        <v>261</v>
      </c>
      <c r="I54" s="863"/>
      <c r="J54" s="27">
        <f>J55/J$68</f>
        <v>6.4794842495693075E-2</v>
      </c>
      <c r="K54" s="27">
        <f>K55/K$68</f>
        <v>6.431654961635655E-2</v>
      </c>
      <c r="L54" s="403">
        <f>L55/L$68</f>
        <v>6.4020307151990891E-2</v>
      </c>
    </row>
    <row r="55" spans="8:12" x14ac:dyDescent="0.2">
      <c r="H55" s="408"/>
      <c r="I55" s="413" t="s">
        <v>272</v>
      </c>
      <c r="J55" s="409">
        <f>J12</f>
        <v>44874.011822676897</v>
      </c>
      <c r="K55" s="409">
        <f>K12</f>
        <v>45105.519235465799</v>
      </c>
      <c r="L55" s="410">
        <f>L12</f>
        <v>45604.916424995768</v>
      </c>
    </row>
    <row r="56" spans="8:12" x14ac:dyDescent="0.2">
      <c r="H56" s="128"/>
      <c r="I56" s="135"/>
      <c r="L56" s="135"/>
    </row>
    <row r="57" spans="8:12" x14ac:dyDescent="0.2">
      <c r="H57" s="862" t="s">
        <v>262</v>
      </c>
      <c r="I57" s="863"/>
      <c r="J57" s="27">
        <f>J58/J$68</f>
        <v>8.1726226198313184E-2</v>
      </c>
      <c r="K57" s="27">
        <f>K58/K$68</f>
        <v>8.214469225857933E-2</v>
      </c>
      <c r="L57" s="403">
        <f>L58/L$68</f>
        <v>8.279617710949802E-2</v>
      </c>
    </row>
    <row r="58" spans="8:12" x14ac:dyDescent="0.2">
      <c r="H58" s="408"/>
      <c r="I58" s="413" t="s">
        <v>272</v>
      </c>
      <c r="J58" s="409">
        <f>J17</f>
        <v>56599.931404874449</v>
      </c>
      <c r="K58" s="409">
        <f>K17</f>
        <v>57608.48520111676</v>
      </c>
      <c r="L58" s="410">
        <f>L17</f>
        <v>58979.922236602106</v>
      </c>
    </row>
    <row r="59" spans="8:12" x14ac:dyDescent="0.2">
      <c r="H59" s="128"/>
      <c r="I59" s="135"/>
      <c r="L59" s="135"/>
    </row>
    <row r="60" spans="8:12" x14ac:dyDescent="0.2">
      <c r="H60" s="862" t="s">
        <v>263</v>
      </c>
      <c r="I60" s="863"/>
      <c r="J60" s="27">
        <f>J61/J$68</f>
        <v>0.10420055756049861</v>
      </c>
      <c r="K60" s="27">
        <f>K61/K$68</f>
        <v>0.10447093833728567</v>
      </c>
      <c r="L60" s="403">
        <f>L61/L$68</f>
        <v>0.10503490922911177</v>
      </c>
    </row>
    <row r="61" spans="8:12" x14ac:dyDescent="0.2">
      <c r="H61" s="408"/>
      <c r="I61" s="413" t="s">
        <v>272</v>
      </c>
      <c r="J61" s="409">
        <f>J22</f>
        <v>72164.64878682507</v>
      </c>
      <c r="K61" s="409">
        <f>K22</f>
        <v>73265.993695675817</v>
      </c>
      <c r="L61" s="410">
        <f>L22</f>
        <v>74821.700647709193</v>
      </c>
    </row>
    <row r="62" spans="8:12" x14ac:dyDescent="0.2">
      <c r="H62" s="128"/>
      <c r="I62" s="135"/>
      <c r="L62" s="135"/>
    </row>
    <row r="63" spans="8:12" x14ac:dyDescent="0.2">
      <c r="H63" s="862" t="s">
        <v>264</v>
      </c>
      <c r="I63" s="863"/>
      <c r="J63" s="27">
        <f>J64/J$68</f>
        <v>0.52758553357963234</v>
      </c>
      <c r="K63" s="27">
        <f>K64/K$68</f>
        <v>0.52757629297699593</v>
      </c>
      <c r="L63" s="403">
        <f>L64/L$68</f>
        <v>0.52904228030425104</v>
      </c>
    </row>
    <row r="64" spans="8:12" x14ac:dyDescent="0.2">
      <c r="H64" s="408"/>
      <c r="I64" s="413" t="s">
        <v>272</v>
      </c>
      <c r="J64" s="409">
        <f>J27</f>
        <v>365382.15943497967</v>
      </c>
      <c r="K64" s="409">
        <f>K27</f>
        <v>369991.90368567029</v>
      </c>
      <c r="L64" s="410">
        <f>L27</f>
        <v>376863.68672497466</v>
      </c>
    </row>
    <row r="65" spans="8:12" x14ac:dyDescent="0.2">
      <c r="H65" s="128"/>
      <c r="I65" s="135"/>
      <c r="L65" s="135"/>
    </row>
    <row r="66" spans="8:12" x14ac:dyDescent="0.2">
      <c r="H66" s="862" t="s">
        <v>265</v>
      </c>
      <c r="I66" s="863"/>
      <c r="J66" s="27">
        <f>J67/J$68</f>
        <v>0.22169284016586271</v>
      </c>
      <c r="K66" s="27">
        <f>K67/K$68</f>
        <v>0.2214915268107826</v>
      </c>
      <c r="L66" s="403">
        <f>L67/L$68</f>
        <v>0.21910632620514831</v>
      </c>
    </row>
    <row r="67" spans="8:12" x14ac:dyDescent="0.2">
      <c r="H67" s="408"/>
      <c r="I67" s="413" t="s">
        <v>272</v>
      </c>
      <c r="J67" s="409">
        <f>J32</f>
        <v>153534.55224876894</v>
      </c>
      <c r="K67" s="409">
        <f>K32</f>
        <v>155333.12005462011</v>
      </c>
      <c r="L67" s="410">
        <f>L32</f>
        <v>156080.56473473055</v>
      </c>
    </row>
    <row r="68" spans="8:12" x14ac:dyDescent="0.2">
      <c r="H68" s="859" t="s">
        <v>1242</v>
      </c>
      <c r="I68" s="860"/>
      <c r="J68" s="406">
        <f>J55+J58+J61+J64+J67</f>
        <v>692555.30369812506</v>
      </c>
      <c r="K68" s="406">
        <f>K55+K58+K61+K64+K67</f>
        <v>701305.02187254874</v>
      </c>
      <c r="L68" s="407">
        <f>L55+L58+L61+L64+L67</f>
        <v>712350.7907690123</v>
      </c>
    </row>
  </sheetData>
  <mergeCells count="51">
    <mergeCell ref="H40:M41"/>
    <mergeCell ref="Q33:R33"/>
    <mergeCell ref="Q34:R34"/>
    <mergeCell ref="H34:I34"/>
    <mergeCell ref="Q18:R18"/>
    <mergeCell ref="Q20:R20"/>
    <mergeCell ref="Q23:R23"/>
    <mergeCell ref="Q25:R25"/>
    <mergeCell ref="Q28:R28"/>
    <mergeCell ref="Q30:R30"/>
    <mergeCell ref="H23:I23"/>
    <mergeCell ref="H25:I25"/>
    <mergeCell ref="H28:I28"/>
    <mergeCell ref="H30:I30"/>
    <mergeCell ref="H33:I33"/>
    <mergeCell ref="H15:I15"/>
    <mergeCell ref="H18:I18"/>
    <mergeCell ref="H20:I20"/>
    <mergeCell ref="Q8:R9"/>
    <mergeCell ref="Q10:R10"/>
    <mergeCell ref="Q13:R13"/>
    <mergeCell ref="Q15:R15"/>
    <mergeCell ref="R4:AB4"/>
    <mergeCell ref="I4:O4"/>
    <mergeCell ref="I47:O47"/>
    <mergeCell ref="H66:I66"/>
    <mergeCell ref="H68:I68"/>
    <mergeCell ref="H57:I57"/>
    <mergeCell ref="H60:I60"/>
    <mergeCell ref="H63:I63"/>
    <mergeCell ref="H51:I52"/>
    <mergeCell ref="J51:L51"/>
    <mergeCell ref="H53:I53"/>
    <mergeCell ref="H54:I54"/>
    <mergeCell ref="J8:L8"/>
    <mergeCell ref="H10:I10"/>
    <mergeCell ref="H8:I9"/>
    <mergeCell ref="H13:I13"/>
    <mergeCell ref="B33:C33"/>
    <mergeCell ref="B34:C34"/>
    <mergeCell ref="C4:F4"/>
    <mergeCell ref="B20:C20"/>
    <mergeCell ref="B23:C23"/>
    <mergeCell ref="B25:C25"/>
    <mergeCell ref="B28:C28"/>
    <mergeCell ref="B30:C30"/>
    <mergeCell ref="B8:C9"/>
    <mergeCell ref="B10:C10"/>
    <mergeCell ref="B13:C13"/>
    <mergeCell ref="B15:C15"/>
    <mergeCell ref="B18:C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C48C-54A1-714D-82ED-5538C51D964B}">
  <sheetPr>
    <tabColor rgb="FF92D050"/>
  </sheetPr>
  <dimension ref="B2:AB104"/>
  <sheetViews>
    <sheetView showGridLines="0" workbookViewId="0"/>
  </sheetViews>
  <sheetFormatPr baseColWidth="10" defaultRowHeight="16" x14ac:dyDescent="0.2"/>
  <cols>
    <col min="1" max="1" width="8.6640625" style="5" customWidth="1"/>
    <col min="2" max="2" width="66.6640625" style="5" customWidth="1"/>
    <col min="3" max="3" width="6.5" style="5" customWidth="1"/>
    <col min="4" max="7" width="19.33203125" style="5" customWidth="1"/>
    <col min="8" max="8" width="2.5" style="5" customWidth="1"/>
    <col min="9" max="9" width="0.6640625" style="5" customWidth="1"/>
    <col min="10" max="10" width="83.1640625" style="5" hidden="1" customWidth="1"/>
    <col min="11" max="11" width="12.33203125" style="5" hidden="1" customWidth="1"/>
    <col min="12" max="12" width="14.5" style="5" bestFit="1" customWidth="1"/>
    <col min="13" max="13" width="64.6640625" style="5" customWidth="1"/>
    <col min="14" max="16" width="19.33203125" style="5" customWidth="1"/>
    <col min="17" max="20" width="15.83203125" style="5" customWidth="1"/>
    <col min="21" max="21" width="15.6640625" style="5" customWidth="1"/>
    <col min="22" max="27" width="15.5" style="5" bestFit="1" customWidth="1"/>
    <col min="28" max="16384" width="10.83203125" style="5"/>
  </cols>
  <sheetData>
    <row r="2" spans="2:28" ht="17" customHeight="1" x14ac:dyDescent="0.2">
      <c r="B2" s="789" t="s">
        <v>1268</v>
      </c>
      <c r="C2" s="791"/>
      <c r="D2" s="791"/>
      <c r="E2" s="793" t="s">
        <v>1264</v>
      </c>
      <c r="F2" s="790"/>
      <c r="G2" s="793"/>
      <c r="H2" s="457" t="s">
        <v>1292</v>
      </c>
      <c r="M2" s="789" t="s">
        <v>1308</v>
      </c>
      <c r="N2" s="790"/>
      <c r="O2" s="790"/>
      <c r="P2" s="793" t="s">
        <v>1264</v>
      </c>
    </row>
    <row r="3" spans="2:28" ht="5" customHeight="1" x14ac:dyDescent="0.2">
      <c r="B3" s="414"/>
      <c r="C3" s="415"/>
      <c r="D3" s="415"/>
      <c r="E3" s="722" t="s">
        <v>1500</v>
      </c>
      <c r="F3" s="399"/>
      <c r="G3" s="399"/>
      <c r="H3" s="399"/>
      <c r="I3" s="399"/>
      <c r="J3" s="399" t="s">
        <v>1500</v>
      </c>
      <c r="M3" s="414"/>
      <c r="N3" s="399"/>
      <c r="O3" s="399"/>
      <c r="P3" s="400" t="s">
        <v>1500</v>
      </c>
      <c r="Q3" s="388"/>
    </row>
    <row r="4" spans="2:28" ht="81" hidden="1" customHeight="1" x14ac:dyDescent="0.2">
      <c r="B4" s="386" t="s">
        <v>1257</v>
      </c>
      <c r="C4" s="861" t="s">
        <v>1273</v>
      </c>
      <c r="D4" s="861"/>
      <c r="E4" s="861"/>
      <c r="F4" s="861"/>
      <c r="G4" s="861"/>
      <c r="H4" s="861"/>
      <c r="I4" s="861"/>
      <c r="J4" s="861"/>
      <c r="M4" s="386" t="s">
        <v>1257</v>
      </c>
      <c r="N4" s="861" t="s">
        <v>1297</v>
      </c>
      <c r="O4" s="861"/>
      <c r="P4" s="861"/>
      <c r="Q4" s="861"/>
      <c r="R4" s="861"/>
      <c r="S4" s="387"/>
      <c r="T4" s="387"/>
      <c r="U4" s="387"/>
      <c r="V4" s="387"/>
      <c r="W4" s="387"/>
      <c r="X4" s="387"/>
    </row>
    <row r="5" spans="2:28" ht="17" hidden="1" customHeight="1" x14ac:dyDescent="0.2">
      <c r="B5" s="142" t="s">
        <v>1258</v>
      </c>
      <c r="C5" s="5" t="s">
        <v>1274</v>
      </c>
      <c r="M5" s="142" t="s">
        <v>1258</v>
      </c>
      <c r="N5" s="5" t="s">
        <v>1568</v>
      </c>
      <c r="T5"/>
      <c r="U5"/>
      <c r="V5"/>
      <c r="W5"/>
      <c r="X5"/>
      <c r="Y5"/>
      <c r="Z5"/>
      <c r="AA5"/>
      <c r="AB5"/>
    </row>
    <row r="6" spans="2:28" ht="17" hidden="1" customHeight="1" x14ac:dyDescent="0.2">
      <c r="B6" s="142" t="s">
        <v>1259</v>
      </c>
      <c r="C6" s="5" t="s">
        <v>1567</v>
      </c>
      <c r="M6" s="142" t="s">
        <v>1259</v>
      </c>
      <c r="N6" s="5" t="s">
        <v>1298</v>
      </c>
      <c r="T6"/>
      <c r="U6"/>
      <c r="V6"/>
      <c r="W6"/>
      <c r="X6"/>
      <c r="Y6"/>
      <c r="Z6"/>
      <c r="AA6"/>
      <c r="AB6"/>
    </row>
    <row r="7" spans="2:28" ht="8" customHeight="1" x14ac:dyDescent="0.2">
      <c r="T7"/>
      <c r="U7"/>
      <c r="V7"/>
      <c r="W7"/>
      <c r="X7"/>
      <c r="Y7"/>
      <c r="Z7"/>
      <c r="AA7"/>
      <c r="AB7"/>
    </row>
    <row r="8" spans="2:28" ht="19" x14ac:dyDescent="0.2">
      <c r="B8" s="422" t="s">
        <v>1269</v>
      </c>
      <c r="C8" s="425" t="s">
        <v>1005</v>
      </c>
      <c r="D8" s="446">
        <v>2024</v>
      </c>
      <c r="E8" s="423">
        <v>2025</v>
      </c>
      <c r="F8" s="423">
        <v>2026</v>
      </c>
      <c r="G8" s="424">
        <v>2027</v>
      </c>
      <c r="J8" s="425" t="s">
        <v>12</v>
      </c>
      <c r="M8" s="463" t="s">
        <v>1293</v>
      </c>
      <c r="N8" s="423">
        <v>2025</v>
      </c>
      <c r="O8" s="423">
        <v>2026</v>
      </c>
      <c r="P8" s="424">
        <v>2027</v>
      </c>
      <c r="T8"/>
      <c r="U8"/>
      <c r="V8"/>
      <c r="W8"/>
      <c r="X8"/>
      <c r="Y8"/>
      <c r="Z8"/>
      <c r="AA8"/>
      <c r="AB8"/>
    </row>
    <row r="9" spans="2:28" x14ac:dyDescent="0.2">
      <c r="B9" s="438" t="s">
        <v>291</v>
      </c>
      <c r="C9" s="426" t="s">
        <v>981</v>
      </c>
      <c r="D9" s="447">
        <v>14699595</v>
      </c>
      <c r="E9" s="11">
        <f>D9+3.52%*D9</f>
        <v>15217020.744000001</v>
      </c>
      <c r="F9" s="11">
        <f>E9+3.52%*E9</f>
        <v>15752659.874188801</v>
      </c>
      <c r="G9" s="12">
        <f t="shared" ref="G9" si="0">F9+3.52%*F9</f>
        <v>16307153.501760248</v>
      </c>
      <c r="J9" s="10" t="s">
        <v>1501</v>
      </c>
      <c r="M9" s="10" t="s">
        <v>305</v>
      </c>
      <c r="N9" s="143">
        <f>'REVENUE MODEL'!J34</f>
        <v>22422792.041299999</v>
      </c>
      <c r="O9" s="41">
        <f>'REVENUE MODEL'!K34</f>
        <v>23425090.845546108</v>
      </c>
      <c r="P9" s="40">
        <f>'REVENUE MODEL'!L34</f>
        <v>24472192.406342018</v>
      </c>
      <c r="T9"/>
      <c r="U9"/>
      <c r="V9"/>
      <c r="W9"/>
      <c r="X9"/>
      <c r="Y9"/>
      <c r="Z9"/>
      <c r="AA9"/>
      <c r="AB9"/>
    </row>
    <row r="10" spans="2:28" x14ac:dyDescent="0.2">
      <c r="B10" s="438" t="s">
        <v>1198</v>
      </c>
      <c r="C10" s="427" t="s">
        <v>981</v>
      </c>
      <c r="D10" s="447">
        <f>-CCN!C8</f>
        <v>431532</v>
      </c>
      <c r="E10" s="11"/>
      <c r="F10" s="11"/>
      <c r="G10" s="12"/>
      <c r="J10" s="10" t="s">
        <v>1502</v>
      </c>
      <c r="M10" s="460" t="s">
        <v>1080</v>
      </c>
      <c r="N10" s="573">
        <f>E9+E23+E26+E33+E34+E35</f>
        <v>16975740.595842384</v>
      </c>
      <c r="O10" s="432">
        <f>F9+F23+F26+F33+F34+F35</f>
        <v>17627515.54774113</v>
      </c>
      <c r="P10" s="433">
        <f>G9+G23+G26+G33+G34+G35</f>
        <v>18269795.34118079</v>
      </c>
      <c r="T10"/>
      <c r="U10"/>
      <c r="V10"/>
      <c r="W10"/>
      <c r="X10"/>
      <c r="Y10"/>
      <c r="Z10"/>
      <c r="AA10"/>
      <c r="AB10"/>
    </row>
    <row r="11" spans="2:28" x14ac:dyDescent="0.2">
      <c r="B11" s="434" t="s">
        <v>292</v>
      </c>
      <c r="C11" s="437"/>
      <c r="D11" s="445">
        <f>SUM(D9:D10)</f>
        <v>15131127</v>
      </c>
      <c r="E11" s="418">
        <f>SUM(E9:E9)</f>
        <v>15217020.744000001</v>
      </c>
      <c r="F11" s="418">
        <f>SUM(F9:F9)</f>
        <v>15752659.874188801</v>
      </c>
      <c r="G11" s="436">
        <f>SUM(G9:G9)</f>
        <v>16307153.501760248</v>
      </c>
      <c r="J11" s="10"/>
      <c r="M11" s="10"/>
      <c r="N11" s="151"/>
      <c r="O11" s="11"/>
      <c r="P11" s="12"/>
      <c r="R11" s="25"/>
      <c r="S11" s="25"/>
      <c r="T11" s="25"/>
      <c r="U11" s="11"/>
      <c r="V11"/>
      <c r="W11"/>
      <c r="X11"/>
      <c r="Y11"/>
      <c r="Z11"/>
      <c r="AA11"/>
      <c r="AB11"/>
    </row>
    <row r="12" spans="2:28" x14ac:dyDescent="0.2">
      <c r="B12" s="438"/>
      <c r="C12" s="427"/>
      <c r="D12" s="447"/>
      <c r="F12" s="11"/>
      <c r="G12" s="12"/>
      <c r="J12" s="10"/>
      <c r="M12" s="461" t="s">
        <v>932</v>
      </c>
      <c r="N12" s="573">
        <f>N9-N10</f>
        <v>5447051.445457615</v>
      </c>
      <c r="O12" s="432">
        <f t="shared" ref="O12:P12" si="1">O9-O10</f>
        <v>5797575.2978049777</v>
      </c>
      <c r="P12" s="433">
        <f t="shared" si="1"/>
        <v>6202397.0651612282</v>
      </c>
      <c r="R12" s="25"/>
      <c r="S12" s="25"/>
      <c r="T12" s="603"/>
      <c r="U12"/>
      <c r="V12"/>
      <c r="W12"/>
      <c r="X12"/>
      <c r="Y12"/>
      <c r="Z12"/>
      <c r="AA12"/>
      <c r="AB12"/>
    </row>
    <row r="13" spans="2:28" x14ac:dyDescent="0.2">
      <c r="B13" s="438" t="s">
        <v>293</v>
      </c>
      <c r="C13" s="427" t="s">
        <v>1271</v>
      </c>
      <c r="D13" s="447">
        <f>HR!E20</f>
        <v>1114481</v>
      </c>
      <c r="E13" s="11">
        <f>HR!F20</f>
        <v>1194598.9439999999</v>
      </c>
      <c r="F13" s="11">
        <f>HR!G20</f>
        <v>1224812.1600000001</v>
      </c>
      <c r="G13" s="12">
        <f>HR!H20</f>
        <v>1277755.7760000001</v>
      </c>
      <c r="J13" s="10" t="s">
        <v>1275</v>
      </c>
      <c r="M13" s="10" t="s">
        <v>933</v>
      </c>
      <c r="N13" s="154">
        <f>N12/N9</f>
        <v>0.24292476313497546</v>
      </c>
      <c r="O13" s="25">
        <f t="shared" ref="O13:P13" si="2">O12/O9</f>
        <v>0.24749425033317599</v>
      </c>
      <c r="P13" s="13">
        <f t="shared" si="2"/>
        <v>0.25344672688801939</v>
      </c>
      <c r="T13"/>
      <c r="U13"/>
      <c r="V13"/>
      <c r="W13"/>
      <c r="X13"/>
      <c r="Y13"/>
      <c r="Z13"/>
      <c r="AA13"/>
      <c r="AB13"/>
    </row>
    <row r="14" spans="2:28" x14ac:dyDescent="0.2">
      <c r="B14" s="438" t="s">
        <v>294</v>
      </c>
      <c r="C14" s="427" t="s">
        <v>1271</v>
      </c>
      <c r="D14" s="447">
        <f>HR!O7</f>
        <v>304319</v>
      </c>
      <c r="E14" s="11">
        <f>HR!P7</f>
        <v>330903.90748800006</v>
      </c>
      <c r="F14" s="11">
        <f>HR!Q7</f>
        <v>339272.9683200001</v>
      </c>
      <c r="G14" s="12">
        <f>HR!R7</f>
        <v>353938.34995200002</v>
      </c>
      <c r="J14" s="10" t="s">
        <v>1276</v>
      </c>
      <c r="M14" s="10"/>
      <c r="N14" s="151"/>
      <c r="O14" s="11"/>
      <c r="P14" s="12"/>
      <c r="T14"/>
      <c r="U14"/>
      <c r="V14"/>
      <c r="W14"/>
      <c r="X14"/>
      <c r="Y14"/>
      <c r="Z14"/>
      <c r="AA14"/>
      <c r="AB14"/>
    </row>
    <row r="15" spans="2:28" x14ac:dyDescent="0.2">
      <c r="B15" s="438" t="s">
        <v>295</v>
      </c>
      <c r="C15" s="427" t="s">
        <v>1271</v>
      </c>
      <c r="D15" s="447">
        <f>34063+HR!H70+HR!H71</f>
        <v>79658</v>
      </c>
      <c r="E15" s="11">
        <f>HR!P8</f>
        <v>78592.035789473681</v>
      </c>
      <c r="F15" s="11">
        <f>HR!Q8</f>
        <v>80579.747368421042</v>
      </c>
      <c r="G15" s="12">
        <f>HR!R8</f>
        <v>84062.88</v>
      </c>
      <c r="J15" s="10" t="s">
        <v>1276</v>
      </c>
      <c r="M15" s="10" t="s">
        <v>934</v>
      </c>
      <c r="N15" s="151">
        <f>E14+E21+E27+E28+E29+E37+E41+E43+E45+E50+E30+E31+E32+E44</f>
        <v>939333.91168800008</v>
      </c>
      <c r="O15" s="11">
        <f>F14+F21+F27+F28+F29+F37+F41+F43+F45+F50+F30+F31+F32+F44</f>
        <v>958405.07045774022</v>
      </c>
      <c r="P15" s="12">
        <f>G14+G21+G27+G28+G29+G37+G41+G43+G45+G50+G30+G31+G32+G44</f>
        <v>984200.75314279692</v>
      </c>
      <c r="T15"/>
      <c r="U15"/>
      <c r="V15"/>
      <c r="W15"/>
      <c r="X15"/>
      <c r="Y15"/>
      <c r="Z15"/>
      <c r="AA15"/>
      <c r="AB15"/>
    </row>
    <row r="16" spans="2:28" x14ac:dyDescent="0.2">
      <c r="B16" s="434" t="s">
        <v>296</v>
      </c>
      <c r="C16" s="437"/>
      <c r="D16" s="445">
        <f>SUM(D13:D15)</f>
        <v>1498458</v>
      </c>
      <c r="E16" s="418">
        <f>SUM(E13:E15)</f>
        <v>1604094.8872774737</v>
      </c>
      <c r="F16" s="418">
        <f t="shared" ref="F16:G16" si="3">SUM(F13:F15)</f>
        <v>1644664.8756884211</v>
      </c>
      <c r="G16" s="436">
        <f t="shared" si="3"/>
        <v>1715757.0059520002</v>
      </c>
      <c r="J16" s="10" t="s">
        <v>1277</v>
      </c>
      <c r="M16" s="10" t="s">
        <v>945</v>
      </c>
      <c r="N16" s="151">
        <f>E13+E15</f>
        <v>1273190.9797894736</v>
      </c>
      <c r="O16" s="11">
        <f>F13+F15</f>
        <v>1305391.9073684211</v>
      </c>
      <c r="P16" s="12">
        <f>G13+G15</f>
        <v>1361818.656</v>
      </c>
      <c r="T16"/>
      <c r="U16"/>
      <c r="V16"/>
      <c r="W16"/>
      <c r="X16"/>
      <c r="Y16"/>
      <c r="Z16"/>
      <c r="AA16"/>
      <c r="AB16"/>
    </row>
    <row r="17" spans="2:18" x14ac:dyDescent="0.2">
      <c r="B17" s="438"/>
      <c r="C17" s="427"/>
      <c r="D17" s="447"/>
      <c r="E17" s="11"/>
      <c r="F17" s="11"/>
      <c r="G17" s="12"/>
      <c r="J17" s="10"/>
      <c r="M17" s="10" t="s">
        <v>935</v>
      </c>
      <c r="N17" s="151">
        <f>E24+E25</f>
        <v>332790.39999999997</v>
      </c>
      <c r="O17" s="11">
        <f>F24+F25</f>
        <v>343625.51999999996</v>
      </c>
      <c r="P17" s="12">
        <f>G24+G25</f>
        <v>357338.6</v>
      </c>
    </row>
    <row r="18" spans="2:18" x14ac:dyDescent="0.2">
      <c r="B18" s="440" t="s">
        <v>899</v>
      </c>
      <c r="C18" s="427" t="s">
        <v>1271</v>
      </c>
      <c r="D18" s="447">
        <f>HR!E29+HR!E30</f>
        <v>170000</v>
      </c>
      <c r="E18" s="11">
        <f>HR!F29+HR!F30</f>
        <v>172000</v>
      </c>
      <c r="F18" s="11">
        <f>HR!G29+HR!G30</f>
        <v>174000</v>
      </c>
      <c r="G18" s="12">
        <f>HR!H29+HR!H30</f>
        <v>176000</v>
      </c>
      <c r="J18" s="10" t="s">
        <v>1276</v>
      </c>
      <c r="M18" s="10" t="s">
        <v>354</v>
      </c>
      <c r="N18" s="151">
        <f>incidenze!D16+incidenze!D18</f>
        <v>799296.26240674721</v>
      </c>
      <c r="O18" s="11">
        <f>incidenze!E16+incidenze!E18</f>
        <v>749688.49079027993</v>
      </c>
      <c r="P18" s="12">
        <f>incidenze!F16+incidenze!F18</f>
        <v>730241.2432149807</v>
      </c>
    </row>
    <row r="19" spans="2:18" x14ac:dyDescent="0.2">
      <c r="B19" s="440" t="s">
        <v>898</v>
      </c>
      <c r="C19" s="427" t="s">
        <v>1271</v>
      </c>
      <c r="D19" s="447">
        <f>HR!E31+HR!E32</f>
        <v>122000</v>
      </c>
      <c r="E19" s="11">
        <f>HR!F31+HR!F32</f>
        <v>122000</v>
      </c>
      <c r="F19" s="11">
        <f>HR!G31+HR!G32</f>
        <v>122000</v>
      </c>
      <c r="G19" s="12">
        <f>HR!H31+HR!H32</f>
        <v>122000</v>
      </c>
      <c r="J19" s="10" t="s">
        <v>1276</v>
      </c>
      <c r="M19" s="461" t="s">
        <v>936</v>
      </c>
      <c r="N19" s="573">
        <f>SUM(N15:N18)</f>
        <v>3344611.5538842208</v>
      </c>
      <c r="O19" s="432">
        <f t="shared" ref="O19:P19" si="4">SUM(O15:O18)</f>
        <v>3357110.9886164414</v>
      </c>
      <c r="P19" s="433">
        <f t="shared" si="4"/>
        <v>3433599.2523577777</v>
      </c>
      <c r="R19" s="11"/>
    </row>
    <row r="20" spans="2:18" x14ac:dyDescent="0.2">
      <c r="B20" s="440" t="s">
        <v>921</v>
      </c>
      <c r="C20" s="427" t="s">
        <v>1271</v>
      </c>
      <c r="D20" s="447">
        <f>HR!E27</f>
        <v>54900</v>
      </c>
      <c r="E20" s="11">
        <f>HR!F27</f>
        <v>56600</v>
      </c>
      <c r="F20" s="11">
        <f>HR!G27</f>
        <v>56600</v>
      </c>
      <c r="G20" s="12">
        <f>HR!H27</f>
        <v>56600</v>
      </c>
      <c r="J20" s="10" t="s">
        <v>1276</v>
      </c>
      <c r="M20" s="10"/>
      <c r="N20" s="146"/>
      <c r="O20" s="145"/>
      <c r="P20" s="147"/>
    </row>
    <row r="21" spans="2:18" ht="17" customHeight="1" x14ac:dyDescent="0.2">
      <c r="B21" s="439" t="s">
        <v>297</v>
      </c>
      <c r="C21" s="431"/>
      <c r="D21" s="445">
        <f>SUM(D18:D20)</f>
        <v>346900</v>
      </c>
      <c r="E21" s="432">
        <f>SUM(E18:E20)</f>
        <v>350600</v>
      </c>
      <c r="F21" s="432">
        <f>SUM(F18:F20)</f>
        <v>352600</v>
      </c>
      <c r="G21" s="433">
        <f>SUM(G18:G20)</f>
        <v>354600</v>
      </c>
      <c r="J21" s="10" t="s">
        <v>1277</v>
      </c>
      <c r="M21" s="464" t="s">
        <v>937</v>
      </c>
      <c r="N21" s="465">
        <f>N19/N13</f>
        <v>13768096.388040381</v>
      </c>
      <c r="O21" s="465">
        <f t="shared" ref="O21:P21" si="5">O19/O13</f>
        <v>13564399.916754061</v>
      </c>
      <c r="P21" s="466">
        <f t="shared" si="5"/>
        <v>13547617.262679616</v>
      </c>
    </row>
    <row r="22" spans="2:18" x14ac:dyDescent="0.2">
      <c r="B22" s="440"/>
      <c r="C22" s="427"/>
      <c r="D22" s="447"/>
      <c r="E22" s="11"/>
      <c r="F22" s="11"/>
      <c r="G22" s="12"/>
      <c r="J22" s="10"/>
    </row>
    <row r="23" spans="2:18" hidden="1" x14ac:dyDescent="0.2">
      <c r="B23" s="440" t="s">
        <v>298</v>
      </c>
      <c r="C23" s="427" t="s">
        <v>981</v>
      </c>
      <c r="D23" s="447">
        <f>0.3*0.1*D9</f>
        <v>440987.85</v>
      </c>
      <c r="E23" s="11">
        <f>0.3*0.1*E9</f>
        <v>456510.62232000002</v>
      </c>
      <c r="F23" s="11">
        <f>0.3*0.1*F9</f>
        <v>472579.79622566403</v>
      </c>
      <c r="G23" s="12">
        <f>0.3*0.1*G9</f>
        <v>489214.60505280743</v>
      </c>
      <c r="J23" s="10" t="s">
        <v>1278</v>
      </c>
    </row>
    <row r="24" spans="2:18" x14ac:dyDescent="0.2">
      <c r="B24" s="440" t="s">
        <v>925</v>
      </c>
      <c r="C24" s="427" t="s">
        <v>1271</v>
      </c>
      <c r="D24" s="447">
        <v>285349.92</v>
      </c>
      <c r="E24" s="417">
        <v>285349.92</v>
      </c>
      <c r="F24" s="417">
        <v>285349.92</v>
      </c>
      <c r="G24" s="73">
        <v>285349.92</v>
      </c>
      <c r="J24" s="10" t="s">
        <v>1279</v>
      </c>
    </row>
    <row r="25" spans="2:18" ht="19" x14ac:dyDescent="0.2">
      <c r="B25" s="440" t="s">
        <v>926</v>
      </c>
      <c r="C25" s="427" t="s">
        <v>1271</v>
      </c>
      <c r="D25" s="447">
        <f>2354.6+122+4842+14442+20000</f>
        <v>41760.6</v>
      </c>
      <c r="E25" s="11">
        <f>20000+27440.48</f>
        <v>47440.479999999996</v>
      </c>
      <c r="F25" s="11">
        <f>38275.6+20000</f>
        <v>58275.6</v>
      </c>
      <c r="G25" s="12">
        <f>51988.68+20000</f>
        <v>71988.679999999993</v>
      </c>
      <c r="J25" s="10" t="s">
        <v>1280</v>
      </c>
      <c r="M25" s="463" t="s">
        <v>1294</v>
      </c>
      <c r="N25" s="423">
        <v>2025</v>
      </c>
      <c r="O25" s="423">
        <v>2026</v>
      </c>
      <c r="P25" s="424">
        <v>2027</v>
      </c>
    </row>
    <row r="26" spans="2:18" x14ac:dyDescent="0.2">
      <c r="B26" s="440" t="s">
        <v>903</v>
      </c>
      <c r="C26" s="427" t="s">
        <v>981</v>
      </c>
      <c r="D26" s="447">
        <f>0.05*D9</f>
        <v>734979.75</v>
      </c>
      <c r="E26" s="11">
        <f>0.05*E9</f>
        <v>760851.03720000014</v>
      </c>
      <c r="F26" s="11">
        <f>0.05*F9</f>
        <v>787632.99370944011</v>
      </c>
      <c r="G26" s="12">
        <f>0.05*G9</f>
        <v>815357.67508801247</v>
      </c>
      <c r="J26" s="10" t="s">
        <v>1503</v>
      </c>
      <c r="M26" s="7" t="s">
        <v>938</v>
      </c>
      <c r="N26" s="174">
        <f>N10/N19</f>
        <v>5.0755492296640039</v>
      </c>
      <c r="O26" s="174">
        <f>O10/O19</f>
        <v>5.2507991566301833</v>
      </c>
      <c r="P26" s="244">
        <f>P10/P19</f>
        <v>5.3208874997964077</v>
      </c>
    </row>
    <row r="27" spans="2:18" x14ac:dyDescent="0.2">
      <c r="B27" s="440" t="s">
        <v>922</v>
      </c>
      <c r="C27" s="427" t="s">
        <v>1271</v>
      </c>
      <c r="D27" s="447">
        <f>300*12</f>
        <v>3600</v>
      </c>
      <c r="E27" s="11">
        <f t="shared" ref="E27:G27" si="6">300*12</f>
        <v>3600</v>
      </c>
      <c r="F27" s="11">
        <f t="shared" si="6"/>
        <v>3600</v>
      </c>
      <c r="G27" s="12">
        <f t="shared" si="6"/>
        <v>3600</v>
      </c>
      <c r="J27" s="10" t="s">
        <v>1504</v>
      </c>
      <c r="M27" s="10" t="s">
        <v>939</v>
      </c>
      <c r="N27" s="25">
        <f>N10/(N10+N19)</f>
        <v>0.83540582716086353</v>
      </c>
      <c r="O27" s="25">
        <f>O10/(O10+O19)</f>
        <v>0.84002045579415141</v>
      </c>
      <c r="P27" s="13">
        <f>P10/(P10+P19)</f>
        <v>0.84179436826992893</v>
      </c>
    </row>
    <row r="28" spans="2:18" x14ac:dyDescent="0.2">
      <c r="B28" s="440" t="s">
        <v>923</v>
      </c>
      <c r="C28" s="427" t="s">
        <v>1271</v>
      </c>
      <c r="D28" s="447">
        <f>3000*1.5</f>
        <v>4500</v>
      </c>
      <c r="E28" s="11">
        <f t="shared" ref="E28:G28" si="7">3000*1.5</f>
        <v>4500</v>
      </c>
      <c r="F28" s="11">
        <f t="shared" si="7"/>
        <v>4500</v>
      </c>
      <c r="G28" s="12">
        <f t="shared" si="7"/>
        <v>4500</v>
      </c>
      <c r="J28" s="10" t="s">
        <v>1283</v>
      </c>
      <c r="M28" s="158" t="s">
        <v>940</v>
      </c>
      <c r="N28" s="156">
        <f>N19/(N19+N10)</f>
        <v>0.16459417283913658</v>
      </c>
      <c r="O28" s="156">
        <f>O19/(O19+O10)</f>
        <v>0.1599795442058487</v>
      </c>
      <c r="P28" s="157">
        <f>P19/(P19+P10)</f>
        <v>0.15820563173007104</v>
      </c>
    </row>
    <row r="29" spans="2:18" x14ac:dyDescent="0.2">
      <c r="B29" s="440" t="s">
        <v>924</v>
      </c>
      <c r="C29" s="427" t="s">
        <v>1271</v>
      </c>
      <c r="D29" s="447">
        <v>10000</v>
      </c>
      <c r="E29" s="11">
        <v>10000</v>
      </c>
      <c r="F29" s="11">
        <v>10000</v>
      </c>
      <c r="G29" s="12">
        <v>10000</v>
      </c>
      <c r="J29" s="10" t="s">
        <v>1284</v>
      </c>
    </row>
    <row r="30" spans="2:18" hidden="1" x14ac:dyDescent="0.2">
      <c r="B30" s="440" t="s">
        <v>1179</v>
      </c>
      <c r="C30" s="427" t="s">
        <v>1271</v>
      </c>
      <c r="D30" s="447">
        <v>4000</v>
      </c>
      <c r="E30" s="11">
        <f>D30</f>
        <v>4000</v>
      </c>
      <c r="F30" s="11">
        <f>E30</f>
        <v>4000</v>
      </c>
      <c r="G30" s="12">
        <f>F30</f>
        <v>4000</v>
      </c>
      <c r="J30" s="10" t="s">
        <v>1285</v>
      </c>
    </row>
    <row r="31" spans="2:18" hidden="1" x14ac:dyDescent="0.2">
      <c r="B31" s="440" t="s">
        <v>1178</v>
      </c>
      <c r="C31" s="427" t="s">
        <v>1271</v>
      </c>
      <c r="D31" s="447">
        <v>8000</v>
      </c>
      <c r="E31" s="11">
        <v>8000</v>
      </c>
      <c r="F31" s="11">
        <v>8000</v>
      </c>
      <c r="G31" s="12">
        <v>8000</v>
      </c>
      <c r="J31" s="10" t="s">
        <v>1286</v>
      </c>
    </row>
    <row r="32" spans="2:18" x14ac:dyDescent="0.2">
      <c r="B32" s="440" t="s">
        <v>1177</v>
      </c>
      <c r="C32" s="427" t="s">
        <v>1271</v>
      </c>
      <c r="D32" s="447">
        <v>30000</v>
      </c>
      <c r="E32" s="11">
        <v>30000</v>
      </c>
      <c r="F32" s="11">
        <f>E32</f>
        <v>30000</v>
      </c>
      <c r="G32" s="12">
        <f>F32</f>
        <v>30000</v>
      </c>
      <c r="J32" s="10" t="s">
        <v>1287</v>
      </c>
    </row>
    <row r="33" spans="2:16" ht="19" x14ac:dyDescent="0.2">
      <c r="B33" s="440" t="s">
        <v>929</v>
      </c>
      <c r="C33" s="427" t="s">
        <v>981</v>
      </c>
      <c r="D33" s="447">
        <f>0.25*85*('REVENUE MODEL'!S12+'REVENUE MODEL'!S17+'REVENUE MODEL'!S22+'REVENUE MODEL'!S27+'REVENUE MODEL'!S32)/1000</f>
        <v>14354.309215940775</v>
      </c>
      <c r="E33" s="11">
        <f>0.25*85*('REVENUE MODEL'!J12+'REVENUE MODEL'!J17+'REVENUE MODEL'!J22+'REVENUE MODEL'!J27+'REVENUE MODEL'!J32)/1000</f>
        <v>14716.800203585157</v>
      </c>
      <c r="F33" s="11">
        <f>0.25*85*('REVENUE MODEL'!K12+'REVENUE MODEL'!K17+'REVENUE MODEL'!K22+'REVENUE MODEL'!K27+'REVENUE MODEL'!K32)/1000</f>
        <v>14902.731714791662</v>
      </c>
      <c r="G33" s="12">
        <f>0.25*85*('REVENUE MODEL'!L12+'REVENUE MODEL'!L17+'REVENUE MODEL'!L22+'REVENUE MODEL'!L27+'REVENUE MODEL'!L32)/1000</f>
        <v>15137.45430384151</v>
      </c>
      <c r="J33" s="10" t="s">
        <v>1505</v>
      </c>
      <c r="M33" s="463" t="s">
        <v>1295</v>
      </c>
      <c r="N33" s="423">
        <v>2025</v>
      </c>
      <c r="O33" s="423">
        <v>2026</v>
      </c>
      <c r="P33" s="424">
        <v>2027</v>
      </c>
    </row>
    <row r="34" spans="2:16" x14ac:dyDescent="0.2">
      <c r="B34" s="440" t="s">
        <v>930</v>
      </c>
      <c r="C34" s="427" t="s">
        <v>981</v>
      </c>
      <c r="D34" s="447">
        <f>0.02*6000*1*0.16*0.001*('REVENUE MODEL'!S12+'REVENUE MODEL'!S17+'REVENUE MODEL'!S22+'REVENUE MODEL'!S27+'REVENUE MODEL'!S32)</f>
        <v>12969.540562167664</v>
      </c>
      <c r="E34" s="11">
        <f>0.02*6000*1*0.16*0.001*('REVENUE MODEL'!J12+'REVENUE MODEL'!J17+'REVENUE MODEL'!J22+'REVENUE MODEL'!J27+'REVENUE MODEL'!J32)</f>
        <v>13297.061831004001</v>
      </c>
      <c r="F34" s="11">
        <f>0.02*6000*1*0.16*0.001*('REVENUE MODEL'!K12+'REVENUE MODEL'!K17+'REVENUE MODEL'!K22+'REVENUE MODEL'!K27+'REVENUE MODEL'!K32)</f>
        <v>13465.056419952934</v>
      </c>
      <c r="G34" s="12">
        <f>0.02*6000*1*0.16*0.001*('REVENUE MODEL'!L12+'REVENUE MODEL'!L17+'REVENUE MODEL'!L22+'REVENUE MODEL'!L27+'REVENUE MODEL'!L32)</f>
        <v>13677.135182765034</v>
      </c>
      <c r="J34" s="10" t="s">
        <v>1506</v>
      </c>
      <c r="M34" s="10" t="s">
        <v>941</v>
      </c>
      <c r="N34" s="134">
        <f>'REVENUE MODEL'!J12+'REVENUE MODEL'!J17+'REVENUE MODEL'!J22+'REVENUE MODEL'!J27+'REVENUE MODEL'!J32</f>
        <v>692555.30369812506</v>
      </c>
      <c r="O34" s="134">
        <f>'REVENUE MODEL'!K12+'REVENUE MODEL'!K17+'REVENUE MODEL'!K22+'REVENUE MODEL'!K27+'REVENUE MODEL'!K32</f>
        <v>701305.02187254874</v>
      </c>
      <c r="P34" s="390">
        <f>'REVENUE MODEL'!L12+'REVENUE MODEL'!L17+'REVENUE MODEL'!L22+'REVENUE MODEL'!L27+'REVENUE MODEL'!L32</f>
        <v>712350.7907690123</v>
      </c>
    </row>
    <row r="35" spans="2:16" x14ac:dyDescent="0.2">
      <c r="B35" s="440" t="s">
        <v>931</v>
      </c>
      <c r="C35" s="427" t="s">
        <v>981</v>
      </c>
      <c r="D35" s="447">
        <f>2.36862669519772E-06*0.262937559*('REVENUE MODEL'!S12+'REVENUE MODEL'!S17+'REVENUE MODEL'!S22+'REVENUE MODEL'!S27+'REVENUE MODEL'!S32)*1000000</f>
        <v>420700.09439999965</v>
      </c>
      <c r="E35" s="11">
        <f>1000000*2.36862669519772E-06*0.312937559*('REVENUE MODEL'!J12+'REVENUE MODEL'!J17+'REVENUE MODEL'!J22+'REVENUE MODEL'!J27+'REVENUE MODEL'!J32)</f>
        <v>513344.33028779365</v>
      </c>
      <c r="F35" s="11">
        <f>1000000*2.36862669519772E-06*0.352937559*('REVENUE MODEL'!K12+'REVENUE MODEL'!K17+'REVENUE MODEL'!K22+'REVENUE MODEL'!K27+'REVENUE MODEL'!K32)</f>
        <v>586275.0954824799</v>
      </c>
      <c r="G35" s="12">
        <f>1000000*2.36862669519772E-06*0.372937559*('REVENUE MODEL'!L12+'REVENUE MODEL'!L17+'REVENUE MODEL'!L22+'REVENUE MODEL'!L27+'REVENUE MODEL'!L32)</f>
        <v>629254.96979311947</v>
      </c>
      <c r="J35" s="10" t="s">
        <v>1507</v>
      </c>
      <c r="M35" s="10" t="s">
        <v>946</v>
      </c>
      <c r="N35" s="11">
        <f>'REVENUE MODEL'!J11*('REVENUE MODEL'!J13/'REVENUE MODEL'!J34)+'REVENUE MODEL'!J16*('REVENUE MODEL'!J18/'REVENUE MODEL'!J34)+'REVENUE MODEL'!J21*('REVENUE MODEL'!J23/'REVENUE MODEL'!J34)+'REVENUE MODEL'!J26*('REVENUE MODEL'!J28/'REVENUE MODEL'!J34)+'REVENUE MODEL'!J31*('REVENUE MODEL'!J33/'REVENUE MODEL'!J34)</f>
        <v>32.672190449014977</v>
      </c>
      <c r="O35" s="11">
        <f>'REVENUE MODEL'!K11*('REVENUE MODEL'!K13/'REVENUE MODEL'!K34)+'REVENUE MODEL'!K16*('REVENUE MODEL'!K18/'REVENUE MODEL'!K34)+'REVENUE MODEL'!K21*('REVENUE MODEL'!K23/'REVENUE MODEL'!K34)+'REVENUE MODEL'!K26*('REVENUE MODEL'!K28/'REVENUE MODEL'!K34)+'REVENUE MODEL'!K31*('REVENUE MODEL'!K33/'REVENUE MODEL'!K34)</f>
        <v>33.707527440334196</v>
      </c>
      <c r="P35" s="12">
        <f>'REVENUE MODEL'!L11*('REVENUE MODEL'!L13/'REVENUE MODEL'!L34)+'REVENUE MODEL'!L16*('REVENUE MODEL'!L18/'REVENUE MODEL'!L34)+'REVENUE MODEL'!L21*('REVENUE MODEL'!L23/'REVENUE MODEL'!L34)+'REVENUE MODEL'!L26*('REVENUE MODEL'!L28/'REVENUE MODEL'!L34)+'REVENUE MODEL'!L31*('REVENUE MODEL'!L33/'REVENUE MODEL'!L34)</f>
        <v>34.682917704377289</v>
      </c>
    </row>
    <row r="36" spans="2:16" hidden="1" x14ac:dyDescent="0.2">
      <c r="B36" s="440" t="s">
        <v>1200</v>
      </c>
      <c r="C36" s="427" t="s">
        <v>1271</v>
      </c>
      <c r="D36" s="447">
        <v>44123.94</v>
      </c>
      <c r="E36" s="11"/>
      <c r="F36" s="11"/>
      <c r="G36" s="12"/>
      <c r="J36" s="453" t="s">
        <v>1288</v>
      </c>
      <c r="M36" s="10" t="s">
        <v>942</v>
      </c>
      <c r="N36" s="11">
        <f>N10/('REVENUE MODEL'!J12+'REVENUE MODEL'!J17+'REVENUE MODEL'!J22+'REVENUE MODEL'!J27+'REVENUE MODEL'!J32)</f>
        <v>24.511747300460883</v>
      </c>
      <c r="O36" s="11">
        <f>O10/('REVENUE MODEL'!K12+'REVENUE MODEL'!K17+'REVENUE MODEL'!K22+'REVENUE MODEL'!K27+'REVENUE MODEL'!K32)</f>
        <v>25.135304892975167</v>
      </c>
      <c r="P36" s="12">
        <f>P10/('REVENUE MODEL'!L12+'REVENUE MODEL'!L17+'REVENUE MODEL'!L22+'REVENUE MODEL'!L27+'REVENUE MODEL'!L32)</f>
        <v>25.647188966348711</v>
      </c>
    </row>
    <row r="37" spans="2:16" x14ac:dyDescent="0.2">
      <c r="B37" s="440" t="s">
        <v>928</v>
      </c>
      <c r="C37" s="427" t="s">
        <v>1271</v>
      </c>
      <c r="D37" s="447">
        <v>20000</v>
      </c>
      <c r="E37" s="11">
        <f>D37</f>
        <v>20000</v>
      </c>
      <c r="F37" s="11">
        <f>E37</f>
        <v>20000</v>
      </c>
      <c r="G37" s="12">
        <f>F37</f>
        <v>20000</v>
      </c>
      <c r="J37" s="10" t="s">
        <v>1508</v>
      </c>
      <c r="M37" s="461" t="s">
        <v>943</v>
      </c>
      <c r="N37" s="473">
        <f>N35-N36</f>
        <v>8.1604431485540943</v>
      </c>
      <c r="O37" s="473">
        <f t="shared" ref="O37:P37" si="8">O35-O36</f>
        <v>8.5722225473590292</v>
      </c>
      <c r="P37" s="474">
        <f t="shared" si="8"/>
        <v>9.0357287380285776</v>
      </c>
    </row>
    <row r="38" spans="2:16" x14ac:dyDescent="0.2">
      <c r="B38" s="439" t="s">
        <v>299</v>
      </c>
      <c r="C38" s="431"/>
      <c r="D38" s="442">
        <f>SUM(D23:D37)</f>
        <v>2075326.0041781082</v>
      </c>
      <c r="E38" s="432">
        <f>SUM(E23:E37)</f>
        <v>2171610.2518423828</v>
      </c>
      <c r="F38" s="432">
        <f>SUM(F23:F37)</f>
        <v>2298581.1935523287</v>
      </c>
      <c r="G38" s="433">
        <f>SUM(G23:G37)</f>
        <v>2400080.4394205464</v>
      </c>
      <c r="J38" s="10"/>
      <c r="M38" s="10"/>
      <c r="P38" s="135"/>
    </row>
    <row r="39" spans="2:16" x14ac:dyDescent="0.2">
      <c r="B39" s="434" t="s">
        <v>900</v>
      </c>
      <c r="C39" s="435"/>
      <c r="D39" s="445">
        <f>D21+D38</f>
        <v>2422226.0041781082</v>
      </c>
      <c r="E39" s="418">
        <f>E38+E21</f>
        <v>2522210.2518423828</v>
      </c>
      <c r="F39" s="418">
        <f>F38+F21</f>
        <v>2651181.1935523287</v>
      </c>
      <c r="G39" s="436">
        <f>G38+G21</f>
        <v>2754680.4394205464</v>
      </c>
      <c r="J39" s="10"/>
      <c r="M39" s="462" t="s">
        <v>944</v>
      </c>
      <c r="N39" s="475">
        <f>N19/N37</f>
        <v>409856.60864224448</v>
      </c>
      <c r="O39" s="475">
        <f>O19/O37</f>
        <v>391626.67208759248</v>
      </c>
      <c r="P39" s="476">
        <f>P19/P37</f>
        <v>380002.47151143703</v>
      </c>
    </row>
    <row r="40" spans="2:16" x14ac:dyDescent="0.2">
      <c r="B40" s="128"/>
      <c r="C40" s="427"/>
      <c r="D40" s="447"/>
      <c r="E40" s="11"/>
      <c r="F40" s="11"/>
      <c r="G40" s="12"/>
      <c r="J40" s="10"/>
    </row>
    <row r="41" spans="2:16" hidden="1" x14ac:dyDescent="0.2">
      <c r="B41" s="434" t="s">
        <v>902</v>
      </c>
      <c r="C41" s="435" t="s">
        <v>1271</v>
      </c>
      <c r="D41" s="445">
        <v>117380</v>
      </c>
      <c r="E41" s="418">
        <f>D41*1.05</f>
        <v>123249</v>
      </c>
      <c r="F41" s="418">
        <f t="shared" ref="F41:G41" si="9">E41*1.05</f>
        <v>129411.45000000001</v>
      </c>
      <c r="G41" s="436">
        <f t="shared" si="9"/>
        <v>135882.02250000002</v>
      </c>
      <c r="J41" s="10"/>
    </row>
    <row r="42" spans="2:16" x14ac:dyDescent="0.2">
      <c r="B42" s="438"/>
      <c r="C42" s="428"/>
      <c r="D42" s="443"/>
      <c r="E42" s="8"/>
      <c r="F42" s="8"/>
      <c r="G42" s="9"/>
      <c r="J42" s="10"/>
    </row>
    <row r="43" spans="2:16" ht="19" x14ac:dyDescent="0.2">
      <c r="B43" s="438" t="s">
        <v>1081</v>
      </c>
      <c r="C43" s="427" t="s">
        <v>1271</v>
      </c>
      <c r="D43" s="447">
        <f>50*12</f>
        <v>600</v>
      </c>
      <c r="E43" s="11">
        <f>D43</f>
        <v>600</v>
      </c>
      <c r="F43" s="11">
        <f>E43</f>
        <v>600</v>
      </c>
      <c r="G43" s="12">
        <f>F43</f>
        <v>600</v>
      </c>
      <c r="J43" s="10" t="s">
        <v>1509</v>
      </c>
      <c r="M43" s="463" t="s">
        <v>1296</v>
      </c>
      <c r="N43" s="423">
        <v>2025</v>
      </c>
      <c r="O43" s="423">
        <v>2026</v>
      </c>
      <c r="P43" s="424">
        <v>2027</v>
      </c>
    </row>
    <row r="44" spans="2:16" x14ac:dyDescent="0.2">
      <c r="B44" s="438" t="s">
        <v>1180</v>
      </c>
      <c r="C44" s="427" t="s">
        <v>1271</v>
      </c>
      <c r="D44" s="447">
        <f>52056-(D43+D45)</f>
        <v>27886</v>
      </c>
      <c r="E44" s="11">
        <f>D44*1.0447</f>
        <v>29132.504199999999</v>
      </c>
      <c r="F44" s="11">
        <f>1.0447*E44</f>
        <v>30434.727137739999</v>
      </c>
      <c r="G44" s="12">
        <f>1.0447*F44</f>
        <v>31795.159440796975</v>
      </c>
      <c r="J44" s="10" t="s">
        <v>1289</v>
      </c>
      <c r="M44" s="7" t="s">
        <v>948</v>
      </c>
      <c r="P44" s="135"/>
    </row>
    <row r="45" spans="2:16" x14ac:dyDescent="0.2">
      <c r="B45" s="438" t="s">
        <v>927</v>
      </c>
      <c r="C45" s="427" t="s">
        <v>1271</v>
      </c>
      <c r="D45" s="447">
        <f>6000+6000+(119*30)+8000</f>
        <v>23570</v>
      </c>
      <c r="E45" s="11">
        <f>D45*1.05</f>
        <v>24748.5</v>
      </c>
      <c r="F45" s="11">
        <f t="shared" ref="F45:G45" si="10">E45*1.05</f>
        <v>25985.925000000003</v>
      </c>
      <c r="G45" s="12">
        <f t="shared" si="10"/>
        <v>27285.221250000006</v>
      </c>
      <c r="J45" s="10" t="s">
        <v>1290</v>
      </c>
      <c r="M45" s="469" t="s">
        <v>949</v>
      </c>
      <c r="N45" s="11">
        <f>'REVENUE MODEL'!J34</f>
        <v>22422792.041299999</v>
      </c>
      <c r="O45" s="11">
        <f>'REVENUE MODEL'!K34</f>
        <v>23425090.845546108</v>
      </c>
      <c r="P45" s="12">
        <f>'REVENUE MODEL'!L34</f>
        <v>24472192.406342018</v>
      </c>
    </row>
    <row r="46" spans="2:16" x14ac:dyDescent="0.2">
      <c r="B46" s="434" t="s">
        <v>300</v>
      </c>
      <c r="C46" s="435" t="s">
        <v>1271</v>
      </c>
      <c r="D46" s="445">
        <f>SUM(D43:D45)</f>
        <v>52056</v>
      </c>
      <c r="E46" s="418">
        <f>SUM(E43:E45)</f>
        <v>54481.004199999996</v>
      </c>
      <c r="F46" s="418">
        <f>SUM(F43:F45)</f>
        <v>57020.652137740006</v>
      </c>
      <c r="G46" s="436">
        <f>SUM(G43:G45)</f>
        <v>59680.380690796985</v>
      </c>
      <c r="J46" s="10"/>
      <c r="M46" s="469" t="s">
        <v>950</v>
      </c>
      <c r="N46" s="11">
        <f>N21</f>
        <v>13768096.388040381</v>
      </c>
      <c r="O46" s="11">
        <f>O21</f>
        <v>13564399.916754061</v>
      </c>
      <c r="P46" s="12">
        <f>P21</f>
        <v>13547617.262679616</v>
      </c>
    </row>
    <row r="47" spans="2:16" x14ac:dyDescent="0.2">
      <c r="B47" s="438"/>
      <c r="C47" s="427"/>
      <c r="D47" s="443"/>
      <c r="E47" s="11"/>
      <c r="F47" s="11"/>
      <c r="G47" s="12"/>
      <c r="J47" s="10"/>
      <c r="M47" s="470" t="s">
        <v>947</v>
      </c>
      <c r="N47" s="432">
        <f>N45-N46</f>
        <v>8654695.6532596182</v>
      </c>
      <c r="O47" s="432">
        <f t="shared" ref="O47:P47" si="11">O45-O46</f>
        <v>9860690.9287920464</v>
      </c>
      <c r="P47" s="433">
        <f t="shared" si="11"/>
        <v>10924575.143662402</v>
      </c>
    </row>
    <row r="48" spans="2:16" x14ac:dyDescent="0.2">
      <c r="B48" s="438" t="s">
        <v>901</v>
      </c>
      <c r="C48" s="427" t="s">
        <v>1271</v>
      </c>
      <c r="D48" s="447">
        <v>0</v>
      </c>
      <c r="E48" s="11">
        <f>D48</f>
        <v>0</v>
      </c>
      <c r="F48" s="11">
        <f t="shared" ref="F48:G48" si="12">E48</f>
        <v>0</v>
      </c>
      <c r="G48" s="12">
        <f t="shared" si="12"/>
        <v>0</v>
      </c>
      <c r="J48" s="10" t="s">
        <v>1291</v>
      </c>
      <c r="M48" s="10"/>
      <c r="P48" s="135"/>
    </row>
    <row r="49" spans="2:16" x14ac:dyDescent="0.2">
      <c r="B49" s="438" t="s">
        <v>301</v>
      </c>
      <c r="C49" s="427" t="s">
        <v>1271</v>
      </c>
      <c r="D49" s="447">
        <v>0</v>
      </c>
      <c r="E49" s="11">
        <f>D49</f>
        <v>0</v>
      </c>
      <c r="F49" s="11">
        <f t="shared" ref="F49:G49" si="13">E49</f>
        <v>0</v>
      </c>
      <c r="G49" s="12">
        <f t="shared" si="13"/>
        <v>0</v>
      </c>
      <c r="J49" s="10" t="s">
        <v>1291</v>
      </c>
      <c r="M49" s="7" t="s">
        <v>951</v>
      </c>
      <c r="P49" s="135"/>
    </row>
    <row r="50" spans="2:16" x14ac:dyDescent="0.2">
      <c r="B50" s="434" t="s">
        <v>1272</v>
      </c>
      <c r="C50" s="435" t="s">
        <v>1271</v>
      </c>
      <c r="D50" s="445">
        <f>SUM(D48:D49)</f>
        <v>0</v>
      </c>
      <c r="E50" s="418">
        <f>SUM(E48:E49)</f>
        <v>0</v>
      </c>
      <c r="F50" s="418">
        <f t="shared" ref="F50:G50" si="14">SUM(F48:F49)</f>
        <v>0</v>
      </c>
      <c r="G50" s="436">
        <f t="shared" si="14"/>
        <v>0</v>
      </c>
      <c r="J50" s="10" t="s">
        <v>1291</v>
      </c>
      <c r="M50" s="471" t="s">
        <v>947</v>
      </c>
      <c r="N50" s="11">
        <f>N47</f>
        <v>8654695.6532596182</v>
      </c>
      <c r="O50" s="11">
        <f t="shared" ref="O50:P50" si="15">O47</f>
        <v>9860690.9287920464</v>
      </c>
      <c r="P50" s="12">
        <f t="shared" si="15"/>
        <v>10924575.143662402</v>
      </c>
    </row>
    <row r="51" spans="2:16" x14ac:dyDescent="0.2">
      <c r="B51" s="128"/>
      <c r="C51" s="429"/>
      <c r="D51" s="447"/>
      <c r="E51" s="11"/>
      <c r="F51" s="11"/>
      <c r="G51" s="12"/>
      <c r="J51" s="10"/>
      <c r="L51" s="11"/>
      <c r="M51" s="471" t="s">
        <v>305</v>
      </c>
      <c r="N51" s="11">
        <f>N45</f>
        <v>22422792.041299999</v>
      </c>
      <c r="O51" s="11">
        <f t="shared" ref="O51:P51" si="16">O45</f>
        <v>23425090.845546108</v>
      </c>
      <c r="P51" s="12">
        <f t="shared" si="16"/>
        <v>24472192.406342018</v>
      </c>
    </row>
    <row r="52" spans="2:16" ht="17" x14ac:dyDescent="0.2">
      <c r="B52" s="448" t="s">
        <v>1270</v>
      </c>
      <c r="C52" s="449"/>
      <c r="D52" s="450">
        <f>D50+D46+D41+D39+D16+D11</f>
        <v>19221247.004178107</v>
      </c>
      <c r="E52" s="451">
        <f>E50+E46+E41+E39+E16+E11</f>
        <v>19521055.887319855</v>
      </c>
      <c r="F52" s="451">
        <f>F50+F46+F41+F39+F16+F11</f>
        <v>20234938.045567289</v>
      </c>
      <c r="G52" s="452">
        <f>G50+G46+G41+G39+G16+G11</f>
        <v>20973153.350323591</v>
      </c>
      <c r="J52" s="158" t="s">
        <v>147</v>
      </c>
      <c r="L52" s="11"/>
      <c r="M52" s="472" t="s">
        <v>952</v>
      </c>
      <c r="N52" s="467">
        <f>N50/N51</f>
        <v>0.38597760873484194</v>
      </c>
      <c r="O52" s="467">
        <f t="shared" ref="O52:P52" si="17">O50/O51</f>
        <v>0.42094568570976931</v>
      </c>
      <c r="P52" s="468">
        <f t="shared" si="17"/>
        <v>0.44640770071876668</v>
      </c>
    </row>
    <row r="54" spans="2:16" ht="95" customHeight="1" x14ac:dyDescent="0.2"/>
    <row r="56" spans="2:16" ht="19" hidden="1" x14ac:dyDescent="0.2">
      <c r="B56" s="646" t="s">
        <v>1423</v>
      </c>
      <c r="C56" s="648"/>
      <c r="D56" s="446">
        <v>2024</v>
      </c>
      <c r="E56" s="423">
        <v>2025</v>
      </c>
      <c r="F56" s="423">
        <v>2026</v>
      </c>
      <c r="G56" s="424">
        <v>2027</v>
      </c>
    </row>
    <row r="57" spans="2:16" hidden="1" x14ac:dyDescent="0.2">
      <c r="B57" s="128" t="s">
        <v>1426</v>
      </c>
      <c r="C57" s="135"/>
      <c r="D57" s="723">
        <f>D10</f>
        <v>431532</v>
      </c>
      <c r="E57" s="206">
        <f>E58*360/ANALISI!D24</f>
        <v>446721.92640000005</v>
      </c>
      <c r="F57" s="206">
        <f>F58*360/ANALISI!E24</f>
        <v>462446.53820928012</v>
      </c>
      <c r="G57" s="207">
        <f>G58*360/ANALISI!F24</f>
        <v>478724.65635424672</v>
      </c>
    </row>
    <row r="58" spans="2:16" hidden="1" x14ac:dyDescent="0.2">
      <c r="B58" s="128" t="s">
        <v>1427</v>
      </c>
      <c r="D58" s="45">
        <f>D10/360*ANALISI!C24</f>
        <v>133266.5868019613</v>
      </c>
      <c r="E58" s="557">
        <f>E59*E60</f>
        <v>137957.57065739034</v>
      </c>
      <c r="F58" s="557">
        <f t="shared" ref="F58:G58" si="18">F59*F60</f>
        <v>142813.67714453049</v>
      </c>
      <c r="G58" s="561">
        <f t="shared" si="18"/>
        <v>147840.71858001797</v>
      </c>
    </row>
    <row r="59" spans="2:16" hidden="1" x14ac:dyDescent="0.2">
      <c r="B59" s="128" t="s">
        <v>1424</v>
      </c>
      <c r="C59" s="135"/>
      <c r="D59" s="45">
        <f>D9</f>
        <v>14699595</v>
      </c>
      <c r="E59" s="11">
        <f t="shared" ref="E59:G59" si="19">E9</f>
        <v>15217020.744000001</v>
      </c>
      <c r="F59" s="11">
        <f t="shared" si="19"/>
        <v>15752659.874188801</v>
      </c>
      <c r="G59" s="12">
        <f t="shared" si="19"/>
        <v>16307153.501760248</v>
      </c>
    </row>
    <row r="60" spans="2:16" hidden="1" x14ac:dyDescent="0.2">
      <c r="B60" s="136" t="s">
        <v>1425</v>
      </c>
      <c r="C60" s="137"/>
      <c r="D60" s="222">
        <f>D58/D59</f>
        <v>9.0660039818757799E-3</v>
      </c>
      <c r="E60" s="156">
        <f>D60</f>
        <v>9.0660039818757799E-3</v>
      </c>
      <c r="F60" s="156">
        <f t="shared" ref="F60:G60" si="20">E60</f>
        <v>9.0660039818757799E-3</v>
      </c>
      <c r="G60" s="157">
        <f t="shared" si="20"/>
        <v>9.0660039818757799E-3</v>
      </c>
    </row>
    <row r="61" spans="2:16" hidden="1" x14ac:dyDescent="0.2">
      <c r="D61" s="11"/>
      <c r="E61" s="11"/>
      <c r="F61" s="11"/>
      <c r="G61" s="11"/>
    </row>
    <row r="62" spans="2:16" hidden="1" x14ac:dyDescent="0.2">
      <c r="D62" s="11"/>
      <c r="E62" s="11"/>
      <c r="F62" s="11"/>
      <c r="G62" s="11"/>
    </row>
    <row r="63" spans="2:16" x14ac:dyDescent="0.2">
      <c r="B63" s="789" t="s">
        <v>1569</v>
      </c>
      <c r="C63" s="790"/>
      <c r="D63" s="790"/>
      <c r="E63" s="793"/>
      <c r="F63" s="790"/>
      <c r="G63" s="792" t="s">
        <v>1264</v>
      </c>
    </row>
    <row r="64" spans="2:16" ht="4" customHeight="1" x14ac:dyDescent="0.2">
      <c r="B64" s="414"/>
      <c r="C64" s="415"/>
      <c r="D64" s="415"/>
      <c r="E64" s="722"/>
      <c r="F64" s="399"/>
      <c r="G64" s="722" t="s">
        <v>1500</v>
      </c>
      <c r="I64" s="399"/>
    </row>
    <row r="65" spans="2:10" ht="36" hidden="1" customHeight="1" x14ac:dyDescent="0.2">
      <c r="B65" s="386" t="s">
        <v>1257</v>
      </c>
      <c r="C65" s="861" t="s">
        <v>1510</v>
      </c>
      <c r="D65" s="861"/>
      <c r="E65" s="861"/>
      <c r="F65" s="861"/>
      <c r="G65" s="861"/>
      <c r="H65" s="861"/>
      <c r="I65" s="861"/>
      <c r="J65" s="861"/>
    </row>
    <row r="66" spans="2:10" ht="8" customHeight="1" x14ac:dyDescent="0.2"/>
    <row r="67" spans="2:10" x14ac:dyDescent="0.2">
      <c r="B67" s="454" t="s">
        <v>1281</v>
      </c>
      <c r="C67" s="455"/>
      <c r="D67" s="455"/>
      <c r="E67" s="455"/>
      <c r="F67" s="455"/>
      <c r="G67" s="456"/>
    </row>
    <row r="68" spans="2:10" x14ac:dyDescent="0.2">
      <c r="B68" s="408" t="s">
        <v>1282</v>
      </c>
      <c r="C68" s="399"/>
      <c r="D68" s="399"/>
      <c r="E68" s="399"/>
      <c r="F68" s="399"/>
      <c r="G68" s="412"/>
    </row>
    <row r="69" spans="2:10" x14ac:dyDescent="0.2">
      <c r="B69" s="128" t="s">
        <v>1573</v>
      </c>
      <c r="C69" s="5" t="s">
        <v>1572</v>
      </c>
      <c r="D69" s="5" t="s">
        <v>1571</v>
      </c>
      <c r="E69" s="5" t="s">
        <v>1570</v>
      </c>
      <c r="G69" s="135"/>
    </row>
    <row r="70" spans="2:10" x14ac:dyDescent="0.2">
      <c r="B70" s="151">
        <f>1930*1.22</f>
        <v>2354.6</v>
      </c>
      <c r="C70" s="11">
        <f>100*1.22</f>
        <v>122</v>
      </c>
      <c r="D70" s="11">
        <f>(200*18*1.22)+450</f>
        <v>4842</v>
      </c>
      <c r="E70" s="11">
        <f>(4500+21+2500+200)*2</f>
        <v>14442</v>
      </c>
      <c r="F70" s="11"/>
      <c r="G70" s="12"/>
      <c r="H70" s="11"/>
      <c r="I70" s="11"/>
      <c r="J70" s="11"/>
    </row>
    <row r="71" spans="2:10" x14ac:dyDescent="0.2">
      <c r="B71" s="151"/>
      <c r="C71" s="11"/>
      <c r="D71" s="11"/>
      <c r="E71" s="11"/>
      <c r="F71" s="11"/>
      <c r="G71" s="12"/>
      <c r="H71" s="11"/>
      <c r="I71" s="11"/>
    </row>
    <row r="72" spans="2:10" x14ac:dyDescent="0.2">
      <c r="B72" s="151" t="s">
        <v>1577</v>
      </c>
      <c r="C72" s="11" t="s">
        <v>1576</v>
      </c>
      <c r="D72" s="11" t="s">
        <v>1578</v>
      </c>
      <c r="E72" s="11" t="s">
        <v>1579</v>
      </c>
      <c r="F72" s="11" t="s">
        <v>1575</v>
      </c>
      <c r="G72" s="12" t="s">
        <v>1574</v>
      </c>
      <c r="H72" s="11"/>
      <c r="I72" s="11"/>
    </row>
    <row r="73" spans="2:10" x14ac:dyDescent="0.2">
      <c r="B73" s="151">
        <f>B70</f>
        <v>2354.6</v>
      </c>
      <c r="C73" s="11">
        <v>4842</v>
      </c>
      <c r="D73" s="11">
        <v>5000</v>
      </c>
      <c r="E73" s="11">
        <v>2000</v>
      </c>
      <c r="F73" s="11">
        <f>2450*1.22</f>
        <v>2989</v>
      </c>
      <c r="G73" s="12">
        <f>6800*1.03*1.22+1100+500*1.22</f>
        <v>10254.879999999999</v>
      </c>
      <c r="H73" s="11">
        <f>5000*1.22+80*1.22</f>
        <v>6197.6</v>
      </c>
      <c r="I73" s="11"/>
      <c r="J73" s="11"/>
    </row>
    <row r="74" spans="2:10" x14ac:dyDescent="0.2">
      <c r="B74" s="151"/>
      <c r="C74" s="11"/>
      <c r="D74" s="11"/>
      <c r="E74" s="11"/>
      <c r="F74" s="11"/>
      <c r="G74" s="12"/>
      <c r="H74" s="11"/>
      <c r="I74" s="11"/>
    </row>
    <row r="75" spans="2:10" x14ac:dyDescent="0.2">
      <c r="B75" s="151" t="s">
        <v>1584</v>
      </c>
      <c r="C75" s="11" t="s">
        <v>1583</v>
      </c>
      <c r="D75" s="11" t="s">
        <v>1582</v>
      </c>
      <c r="E75" s="11" t="s">
        <v>1575</v>
      </c>
      <c r="F75" s="11" t="s">
        <v>1581</v>
      </c>
      <c r="G75" s="12" t="s">
        <v>1580</v>
      </c>
      <c r="H75" s="11"/>
      <c r="I75" s="11"/>
    </row>
    <row r="76" spans="2:10" x14ac:dyDescent="0.2">
      <c r="B76" s="151">
        <f>B73</f>
        <v>2354.6</v>
      </c>
      <c r="C76" s="11">
        <v>4842</v>
      </c>
      <c r="D76" s="11">
        <f>4500*1.22</f>
        <v>5490</v>
      </c>
      <c r="E76" s="11">
        <v>2989</v>
      </c>
      <c r="F76" s="11">
        <v>4000</v>
      </c>
      <c r="G76" s="12">
        <f>15000*1.22+300</f>
        <v>18600</v>
      </c>
      <c r="H76" s="11">
        <f>8040*1.22+940+250+1120+690*3</f>
        <v>14188.8</v>
      </c>
      <c r="I76" s="11"/>
      <c r="J76" s="11"/>
    </row>
    <row r="77" spans="2:10" x14ac:dyDescent="0.2">
      <c r="B77" s="151"/>
      <c r="C77" s="11"/>
      <c r="D77" s="11"/>
      <c r="E77" s="11"/>
      <c r="F77" s="11"/>
      <c r="G77" s="12"/>
      <c r="H77" s="11"/>
      <c r="I77" s="11"/>
    </row>
    <row r="78" spans="2:10" x14ac:dyDescent="0.2">
      <c r="B78" s="151" t="s">
        <v>1589</v>
      </c>
      <c r="C78" s="11" t="s">
        <v>1586</v>
      </c>
      <c r="D78" s="11" t="s">
        <v>1587</v>
      </c>
      <c r="E78" s="11" t="s">
        <v>1574</v>
      </c>
      <c r="F78" s="11" t="s">
        <v>1588</v>
      </c>
      <c r="G78" s="12" t="s">
        <v>1585</v>
      </c>
      <c r="H78" s="11"/>
      <c r="I78" s="11"/>
    </row>
    <row r="79" spans="2:10" x14ac:dyDescent="0.2">
      <c r="B79" s="146">
        <f>B76</f>
        <v>2354.6</v>
      </c>
      <c r="C79" s="145">
        <v>4842</v>
      </c>
      <c r="D79" s="145">
        <f>290*18*1.22+3000</f>
        <v>9368.4</v>
      </c>
      <c r="E79" s="145">
        <v>10254.879999999999</v>
      </c>
      <c r="F79" s="145">
        <f>375*20*1.22*1.2</f>
        <v>10980</v>
      </c>
      <c r="G79" s="147">
        <v>14188.8</v>
      </c>
      <c r="H79" s="11"/>
      <c r="I79" s="11"/>
      <c r="J79" s="11"/>
    </row>
    <row r="80" spans="2:10" x14ac:dyDescent="0.2">
      <c r="B80" s="11"/>
      <c r="C80" s="11"/>
      <c r="D80" s="11"/>
      <c r="E80" s="11"/>
      <c r="F80" s="11"/>
      <c r="G80" s="11"/>
      <c r="H80" s="11"/>
      <c r="I80" s="11"/>
    </row>
    <row r="88" spans="2:7" x14ac:dyDescent="0.2">
      <c r="C88" s="161"/>
      <c r="D88" s="161"/>
      <c r="E88" s="161"/>
      <c r="F88" s="161"/>
      <c r="G88" s="161"/>
    </row>
    <row r="89" spans="2:7" x14ac:dyDescent="0.2">
      <c r="C89" s="162"/>
      <c r="D89" s="162"/>
      <c r="E89" s="162"/>
      <c r="F89" s="162"/>
      <c r="G89" s="162"/>
    </row>
    <row r="90" spans="2:7" x14ac:dyDescent="0.2">
      <c r="B90" s="163"/>
      <c r="C90" s="161"/>
      <c r="D90" s="161"/>
      <c r="E90" s="161"/>
      <c r="F90" s="161"/>
      <c r="G90" s="161"/>
    </row>
    <row r="91" spans="2:7" x14ac:dyDescent="0.2">
      <c r="B91" s="163"/>
      <c r="C91" s="11"/>
    </row>
    <row r="92" spans="2:7" x14ac:dyDescent="0.2">
      <c r="C92" s="11"/>
    </row>
    <row r="93" spans="2:7" x14ac:dyDescent="0.2">
      <c r="C93" s="161"/>
      <c r="D93" s="161"/>
      <c r="E93" s="161"/>
      <c r="F93" s="161"/>
      <c r="G93" s="161"/>
    </row>
    <row r="94" spans="2:7" x14ac:dyDescent="0.2">
      <c r="C94" s="161"/>
      <c r="D94" s="161"/>
      <c r="E94" s="161"/>
      <c r="F94" s="161"/>
      <c r="G94" s="161"/>
    </row>
    <row r="95" spans="2:7" x14ac:dyDescent="0.2">
      <c r="C95" s="161"/>
      <c r="D95" s="161"/>
      <c r="E95" s="161"/>
      <c r="F95" s="161"/>
      <c r="G95" s="161"/>
    </row>
    <row r="96" spans="2:7" x14ac:dyDescent="0.2">
      <c r="C96" s="161"/>
      <c r="D96" s="161"/>
      <c r="E96" s="161"/>
      <c r="F96" s="161"/>
      <c r="G96" s="161"/>
    </row>
    <row r="97" spans="2:7" x14ac:dyDescent="0.2">
      <c r="C97" s="161"/>
      <c r="D97" s="161"/>
      <c r="E97" s="161"/>
      <c r="F97" s="161"/>
      <c r="G97" s="161"/>
    </row>
    <row r="98" spans="2:7" x14ac:dyDescent="0.2">
      <c r="C98" s="161"/>
      <c r="D98" s="161"/>
      <c r="E98" s="161"/>
      <c r="F98" s="161"/>
      <c r="G98" s="161"/>
    </row>
    <row r="100" spans="2:7" x14ac:dyDescent="0.2">
      <c r="C100" s="161"/>
      <c r="D100" s="161"/>
      <c r="E100" s="161"/>
      <c r="F100" s="161"/>
      <c r="G100" s="161"/>
    </row>
    <row r="101" spans="2:7" x14ac:dyDescent="0.2">
      <c r="C101" s="161"/>
      <c r="D101" s="161"/>
      <c r="E101" s="161"/>
      <c r="F101" s="161"/>
      <c r="G101" s="161"/>
    </row>
    <row r="102" spans="2:7" x14ac:dyDescent="0.2">
      <c r="C102" s="161"/>
      <c r="D102" s="161"/>
      <c r="E102" s="161"/>
      <c r="F102" s="161"/>
      <c r="G102" s="161"/>
    </row>
    <row r="103" spans="2:7" x14ac:dyDescent="0.2">
      <c r="C103" s="161"/>
      <c r="D103" s="161"/>
      <c r="E103" s="161"/>
      <c r="F103" s="161"/>
      <c r="G103" s="161"/>
    </row>
    <row r="104" spans="2:7" x14ac:dyDescent="0.2">
      <c r="B104" s="163"/>
      <c r="C104" s="11"/>
    </row>
  </sheetData>
  <mergeCells count="3">
    <mergeCell ref="C65:J65"/>
    <mergeCell ref="C4:J4"/>
    <mergeCell ref="N4:R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7074-ED15-234F-B97B-7C6E11A0D62D}">
  <sheetPr>
    <tabColor rgb="FF92D050"/>
  </sheetPr>
  <dimension ref="B2:Y546"/>
  <sheetViews>
    <sheetView showGridLines="0" workbookViewId="0"/>
  </sheetViews>
  <sheetFormatPr baseColWidth="10" defaultRowHeight="16" x14ac:dyDescent="0.2"/>
  <cols>
    <col min="1" max="1" width="8.6640625" style="5" customWidth="1"/>
    <col min="2" max="2" width="60.5" style="5" customWidth="1"/>
    <col min="3" max="3" width="18" style="5" customWidth="1"/>
    <col min="4" max="4" width="3.83203125" style="5" bestFit="1" customWidth="1"/>
    <col min="5" max="24" width="19.33203125" style="5" customWidth="1"/>
    <col min="25" max="16384" width="10.83203125" style="5"/>
  </cols>
  <sheetData>
    <row r="2" spans="2:24" ht="16" customHeight="1" x14ac:dyDescent="0.2">
      <c r="B2" s="789" t="s">
        <v>1309</v>
      </c>
      <c r="C2" s="791"/>
      <c r="D2" s="791"/>
      <c r="E2" s="793"/>
      <c r="F2" s="790"/>
      <c r="G2" s="790"/>
      <c r="H2" s="792" t="s">
        <v>1264</v>
      </c>
      <c r="L2" s="789" t="s">
        <v>1312</v>
      </c>
      <c r="M2" s="790"/>
      <c r="N2" s="790"/>
      <c r="O2" s="790"/>
      <c r="P2" s="793"/>
      <c r="Q2" s="793" t="s">
        <v>1264</v>
      </c>
    </row>
    <row r="3" spans="2:24" ht="4" customHeight="1" x14ac:dyDescent="0.2">
      <c r="B3" s="414"/>
      <c r="C3" s="415"/>
      <c r="D3" s="415"/>
      <c r="E3" s="416"/>
      <c r="F3" s="399"/>
      <c r="G3" s="399"/>
      <c r="H3" s="400" t="s">
        <v>1500</v>
      </c>
      <c r="L3" s="414"/>
      <c r="M3" s="399"/>
      <c r="N3" s="399"/>
      <c r="O3" s="399"/>
      <c r="P3" s="416"/>
      <c r="Q3" s="400" t="s">
        <v>1500</v>
      </c>
    </row>
    <row r="4" spans="2:24" ht="35" hidden="1" customHeight="1" x14ac:dyDescent="0.2">
      <c r="B4" s="386" t="s">
        <v>1257</v>
      </c>
      <c r="C4" s="861" t="s">
        <v>1310</v>
      </c>
      <c r="D4" s="861"/>
      <c r="E4" s="861"/>
      <c r="F4" s="861"/>
      <c r="G4" s="861"/>
      <c r="H4" s="861"/>
      <c r="I4" s="861"/>
      <c r="J4" s="861"/>
      <c r="L4" s="386" t="s">
        <v>1257</v>
      </c>
      <c r="M4" s="861" t="s">
        <v>1311</v>
      </c>
      <c r="N4" s="861"/>
      <c r="O4" s="861"/>
      <c r="P4" s="861"/>
      <c r="Q4" s="861"/>
      <c r="S4" s="387"/>
      <c r="T4" s="387"/>
      <c r="U4" s="387"/>
      <c r="V4" s="387"/>
      <c r="W4" s="387"/>
      <c r="X4" s="387"/>
    </row>
    <row r="5" spans="2:24" ht="8" customHeight="1" x14ac:dyDescent="0.2"/>
    <row r="6" spans="2:24" ht="19" x14ac:dyDescent="0.2">
      <c r="B6" s="887" t="s">
        <v>1299</v>
      </c>
      <c r="C6" s="888"/>
      <c r="D6" s="491" t="s">
        <v>907</v>
      </c>
      <c r="E6" s="483">
        <v>2024</v>
      </c>
      <c r="F6" s="423">
        <v>2025</v>
      </c>
      <c r="G6" s="423">
        <v>2026</v>
      </c>
      <c r="H6" s="424">
        <v>2027</v>
      </c>
      <c r="L6" s="887" t="s">
        <v>1300</v>
      </c>
      <c r="M6" s="888"/>
      <c r="N6" s="888"/>
      <c r="O6" s="441">
        <v>2024</v>
      </c>
      <c r="P6" s="423">
        <v>2025</v>
      </c>
      <c r="Q6" s="423">
        <v>2026</v>
      </c>
      <c r="R6" s="424">
        <v>2027</v>
      </c>
    </row>
    <row r="7" spans="2:24" x14ac:dyDescent="0.2">
      <c r="B7" s="128" t="str">
        <f>E122</f>
        <v>Responsabile di pianificazione</v>
      </c>
      <c r="D7" s="148">
        <f>D122</f>
        <v>1</v>
      </c>
      <c r="E7" s="45"/>
      <c r="F7" s="164">
        <f>F129</f>
        <v>39840</v>
      </c>
      <c r="G7" s="164">
        <f>K129</f>
        <v>40812</v>
      </c>
      <c r="H7" s="165">
        <f>P129</f>
        <v>41412</v>
      </c>
      <c r="L7" s="889" t="s">
        <v>294</v>
      </c>
      <c r="M7" s="890"/>
      <c r="N7" s="890"/>
      <c r="O7" s="447">
        <v>304319</v>
      </c>
      <c r="P7" s="178">
        <f t="shared" ref="P7:R8" si="0">O20</f>
        <v>330903.90748800006</v>
      </c>
      <c r="Q7" s="178">
        <f t="shared" si="0"/>
        <v>339272.9683200001</v>
      </c>
      <c r="R7" s="484">
        <f t="shared" si="0"/>
        <v>353938.34995200002</v>
      </c>
    </row>
    <row r="8" spans="2:24" x14ac:dyDescent="0.2">
      <c r="B8" s="128" t="str">
        <f>E123</f>
        <v>Responsabile alimentare</v>
      </c>
      <c r="D8" s="148">
        <f>D123</f>
        <v>1</v>
      </c>
      <c r="E8" s="45"/>
      <c r="F8" s="164">
        <f>H129</f>
        <v>27780</v>
      </c>
      <c r="G8" s="164">
        <f>M129</f>
        <v>28548</v>
      </c>
      <c r="H8" s="165">
        <f>R129</f>
        <v>29040</v>
      </c>
      <c r="L8" s="891" t="s">
        <v>295</v>
      </c>
      <c r="M8" s="892"/>
      <c r="N8" s="892"/>
      <c r="O8" s="487">
        <v>34063</v>
      </c>
      <c r="P8" s="485">
        <f t="shared" si="0"/>
        <v>78592.035789473681</v>
      </c>
      <c r="Q8" s="485">
        <f t="shared" si="0"/>
        <v>80579.747368421042</v>
      </c>
      <c r="R8" s="486">
        <f t="shared" si="0"/>
        <v>84062.88</v>
      </c>
    </row>
    <row r="9" spans="2:24" x14ac:dyDescent="0.2">
      <c r="B9" s="128" t="str">
        <f>E387</f>
        <v>Responsabile commerciale</v>
      </c>
      <c r="D9" s="148">
        <f>D387</f>
        <v>1</v>
      </c>
      <c r="E9" s="45"/>
      <c r="F9" s="164">
        <f>H393</f>
        <v>61560</v>
      </c>
      <c r="G9" s="164">
        <f>M393</f>
        <v>63312</v>
      </c>
      <c r="H9" s="165">
        <f>R393</f>
        <v>64440</v>
      </c>
    </row>
    <row r="10" spans="2:24" x14ac:dyDescent="0.2">
      <c r="B10" s="128" t="str">
        <f>E430</f>
        <v>Responsabile finanziario</v>
      </c>
      <c r="D10" s="148">
        <f>D430</f>
        <v>1</v>
      </c>
      <c r="E10" s="45"/>
      <c r="F10" s="164">
        <f>F441</f>
        <v>55776</v>
      </c>
      <c r="G10" s="164">
        <f>I441</f>
        <v>57136.799999999996</v>
      </c>
      <c r="H10" s="165">
        <f>L441</f>
        <v>57976.799999999996</v>
      </c>
    </row>
    <row r="11" spans="2:24" x14ac:dyDescent="0.2">
      <c r="B11" s="128" t="str">
        <f>E474</f>
        <v>Responsabile esecutivo</v>
      </c>
      <c r="D11" s="148">
        <f>D474</f>
        <v>1</v>
      </c>
      <c r="E11" s="45"/>
      <c r="F11" s="164">
        <f>F485</f>
        <v>56767.199999999997</v>
      </c>
      <c r="G11" s="164">
        <f>I485</f>
        <v>58447.199999999997</v>
      </c>
      <c r="H11" s="165">
        <f>L485</f>
        <v>59555.999999999993</v>
      </c>
      <c r="L11" s="169"/>
      <c r="M11" s="169"/>
      <c r="N11" s="169"/>
    </row>
    <row r="12" spans="2:24" x14ac:dyDescent="0.2">
      <c r="B12" s="128" t="str">
        <f>E166</f>
        <v>Operaio</v>
      </c>
      <c r="D12" s="148">
        <f>D166</f>
        <v>11</v>
      </c>
      <c r="E12" s="45"/>
      <c r="F12" s="164">
        <f>F173</f>
        <v>247896</v>
      </c>
      <c r="G12" s="164">
        <f>K173</f>
        <v>254100</v>
      </c>
      <c r="H12" s="165">
        <f>P173</f>
        <v>258324</v>
      </c>
    </row>
    <row r="13" spans="2:24" x14ac:dyDescent="0.2">
      <c r="B13" s="128" t="str">
        <f>E167</f>
        <v xml:space="preserve">Operai con uso di strumenti tecnici </v>
      </c>
      <c r="D13" s="148">
        <f>D167</f>
        <v>5</v>
      </c>
      <c r="E13" s="45"/>
      <c r="F13" s="164">
        <f>H173</f>
        <v>127680</v>
      </c>
      <c r="G13" s="164">
        <f>M173</f>
        <v>131040</v>
      </c>
      <c r="H13" s="165">
        <f>R173</f>
        <v>133320</v>
      </c>
    </row>
    <row r="14" spans="2:24" x14ac:dyDescent="0.2">
      <c r="B14" s="128" t="str">
        <f>E210</f>
        <v>Addetto al magazzino</v>
      </c>
      <c r="D14" s="148">
        <f>D210</f>
        <v>4</v>
      </c>
      <c r="E14" s="45"/>
      <c r="F14" s="164">
        <f>F217</f>
        <v>89184</v>
      </c>
      <c r="G14" s="164">
        <f>K217</f>
        <v>91008</v>
      </c>
      <c r="H14" s="165">
        <f>P217</f>
        <v>106656</v>
      </c>
    </row>
    <row r="15" spans="2:24" x14ac:dyDescent="0.2">
      <c r="B15" s="128" t="str">
        <f>E211</f>
        <v>Camionisti</v>
      </c>
      <c r="D15" s="148">
        <f>D211</f>
        <v>2</v>
      </c>
      <c r="E15" s="45"/>
      <c r="F15" s="164">
        <f>H217</f>
        <v>46056</v>
      </c>
      <c r="G15" s="164">
        <f>M217</f>
        <v>46992</v>
      </c>
      <c r="H15" s="165">
        <f>R217</f>
        <v>58080</v>
      </c>
    </row>
    <row r="16" spans="2:24" x14ac:dyDescent="0.2">
      <c r="B16" s="128" t="str">
        <f>E254</f>
        <v>Impiegato tecnico</v>
      </c>
      <c r="D16" s="148">
        <f>D254</f>
        <v>2</v>
      </c>
      <c r="E16" s="45"/>
      <c r="F16" s="164">
        <f>G261</f>
        <v>51072</v>
      </c>
      <c r="G16" s="164">
        <f>J261</f>
        <v>52416</v>
      </c>
      <c r="H16" s="165">
        <f>M261</f>
        <v>53328</v>
      </c>
    </row>
    <row r="17" spans="2:17" x14ac:dyDescent="0.2">
      <c r="B17" s="128" t="str">
        <f>E298</f>
        <v>Impiegato tecnico-informatico</v>
      </c>
      <c r="D17" s="148">
        <f>D298</f>
        <v>1</v>
      </c>
      <c r="E17" s="45"/>
      <c r="F17" s="164">
        <f>G305</f>
        <v>27780</v>
      </c>
      <c r="G17" s="164">
        <f>J305</f>
        <v>28548</v>
      </c>
      <c r="H17" s="165">
        <f>M305</f>
        <v>29040</v>
      </c>
      <c r="M17" s="11"/>
      <c r="O17" s="11"/>
    </row>
    <row r="18" spans="2:17" ht="17" customHeight="1" x14ac:dyDescent="0.2">
      <c r="B18" s="128" t="str">
        <f>E342</f>
        <v>Impiegato amministrativo-contabile</v>
      </c>
      <c r="D18" s="148">
        <f>D342</f>
        <v>2</v>
      </c>
      <c r="E18" s="45"/>
      <c r="F18" s="164">
        <f>G349</f>
        <v>48072</v>
      </c>
      <c r="G18" s="164">
        <f>J349</f>
        <v>49320</v>
      </c>
      <c r="H18" s="165">
        <f>M349</f>
        <v>50160</v>
      </c>
      <c r="L18" s="908" t="s">
        <v>1301</v>
      </c>
      <c r="M18" s="909"/>
      <c r="N18" s="910"/>
      <c r="O18" s="420">
        <v>2025</v>
      </c>
      <c r="P18" s="420">
        <v>2026</v>
      </c>
      <c r="Q18" s="421">
        <v>2027</v>
      </c>
    </row>
    <row r="19" spans="2:17" x14ac:dyDescent="0.2">
      <c r="B19" s="128" t="str">
        <f>E386</f>
        <v>Agente commerciale</v>
      </c>
      <c r="D19" s="148">
        <f>D386</f>
        <v>1</v>
      </c>
      <c r="E19" s="45"/>
      <c r="F19" s="164">
        <f>F393</f>
        <v>25536</v>
      </c>
      <c r="G19" s="164">
        <f>K393</f>
        <v>26208</v>
      </c>
      <c r="H19" s="165">
        <f>P393</f>
        <v>26664</v>
      </c>
      <c r="L19" s="901" t="s">
        <v>1129</v>
      </c>
      <c r="M19" s="856"/>
      <c r="N19" s="902"/>
      <c r="O19" s="164">
        <f>(I129+I173+I217+G261+G305+G349+I393+F441+F485)*N27</f>
        <v>1194598.9439999999</v>
      </c>
      <c r="P19" s="164">
        <f>(N129+N173+N217+J261+J305+J349+N393+I441+I485)*N27</f>
        <v>1224812.1600000001</v>
      </c>
      <c r="Q19" s="165">
        <f>(S129+S173+S217+M261+M305+M349+S393+L441+L485)*N27</f>
        <v>1277755.7760000001</v>
      </c>
    </row>
    <row r="20" spans="2:17" x14ac:dyDescent="0.2">
      <c r="B20" s="430" t="s">
        <v>302</v>
      </c>
      <c r="C20" s="414"/>
      <c r="D20" s="482">
        <f>SUM(D7:D19)</f>
        <v>33</v>
      </c>
      <c r="E20" s="442">
        <f>H67</f>
        <v>1114481</v>
      </c>
      <c r="F20" s="477">
        <f>SUM(F7:F19)*N27</f>
        <v>1194598.9439999999</v>
      </c>
      <c r="G20" s="477">
        <f>SUM(G7:G19)*N27</f>
        <v>1224812.1600000001</v>
      </c>
      <c r="H20" s="478">
        <f>SUM(H7:H19)*N27</f>
        <v>1277755.7760000001</v>
      </c>
      <c r="L20" s="901" t="s">
        <v>1090</v>
      </c>
      <c r="M20" s="856"/>
      <c r="N20" s="902"/>
      <c r="O20" s="164">
        <f>(I130+I174+I218+G262+G306+G350+I394+G438+G482)*N27</f>
        <v>330903.90748800006</v>
      </c>
      <c r="P20" s="164">
        <f>(N130+N174+N218+J262+J306+J350+N394+J438+J482)*N27</f>
        <v>339272.9683200001</v>
      </c>
      <c r="Q20" s="165">
        <f>(S130+S174+S218+M262+M306+M350+S394+M438+M482)*N27</f>
        <v>353938.34995200002</v>
      </c>
    </row>
    <row r="21" spans="2:17" x14ac:dyDescent="0.2">
      <c r="B21" s="128"/>
      <c r="D21" s="148"/>
      <c r="E21" s="10"/>
      <c r="F21" s="11"/>
      <c r="G21" s="11"/>
      <c r="H21" s="12"/>
      <c r="L21" s="901" t="s">
        <v>295</v>
      </c>
      <c r="M21" s="856"/>
      <c r="N21" s="902"/>
      <c r="O21" s="164">
        <f>(I131+I175+I219+G263+G307+G351+I395+G439+G483)*N27</f>
        <v>78592.035789473681</v>
      </c>
      <c r="P21" s="164">
        <f>(N131+N175+N219+J263+J307+J351+N395+J439+J483)*N27</f>
        <v>80579.747368421042</v>
      </c>
      <c r="Q21" s="165">
        <f>(S131+S175+S219+M263+M307+M351+S395+M439+M483)*N27</f>
        <v>84062.88</v>
      </c>
    </row>
    <row r="22" spans="2:17" x14ac:dyDescent="0.2">
      <c r="B22" s="128" t="s">
        <v>914</v>
      </c>
      <c r="D22" s="148">
        <v>1</v>
      </c>
      <c r="E22" s="45">
        <f>D22*200*1.22*12*1.5</f>
        <v>4392</v>
      </c>
      <c r="F22" s="11">
        <f t="shared" ref="F22:H24" si="1">E22</f>
        <v>4392</v>
      </c>
      <c r="G22" s="11">
        <f t="shared" si="1"/>
        <v>4392</v>
      </c>
      <c r="H22" s="12">
        <f t="shared" si="1"/>
        <v>4392</v>
      </c>
      <c r="L22" s="903" t="s">
        <v>1091</v>
      </c>
      <c r="M22" s="855"/>
      <c r="N22" s="904"/>
      <c r="O22" s="164">
        <f>(I132+I176+I220+G264+G308+G352+I396+G440+G484)*N27</f>
        <v>5972.9947200000015</v>
      </c>
      <c r="P22" s="164">
        <f>(N132+N176+N220+J264+J308+J352+N396+J440+J484)*N27</f>
        <v>6124.0608000000002</v>
      </c>
      <c r="Q22" s="165">
        <f>(S132+S176+S220+M264+M308+M352+S396+M440+M484)*N27</f>
        <v>6388.7788799999998</v>
      </c>
    </row>
    <row r="23" spans="2:17" x14ac:dyDescent="0.2">
      <c r="B23" s="128" t="s">
        <v>917</v>
      </c>
      <c r="D23" s="148">
        <v>1</v>
      </c>
      <c r="E23" s="45">
        <f>600*1.22*12*1.5</f>
        <v>13176</v>
      </c>
      <c r="F23" s="11">
        <f t="shared" si="1"/>
        <v>13176</v>
      </c>
      <c r="G23" s="11">
        <f t="shared" si="1"/>
        <v>13176</v>
      </c>
      <c r="H23" s="12">
        <f t="shared" si="1"/>
        <v>13176</v>
      </c>
      <c r="L23" s="905" t="s">
        <v>147</v>
      </c>
      <c r="M23" s="906"/>
      <c r="N23" s="907"/>
      <c r="O23" s="488">
        <f>SUM(O19:O22)</f>
        <v>1610067.8819974738</v>
      </c>
      <c r="P23" s="488">
        <f>SUM(P19:P22)</f>
        <v>1650788.9364884212</v>
      </c>
      <c r="Q23" s="489">
        <f>SUM(Q19:Q22)</f>
        <v>1722145.7848320003</v>
      </c>
    </row>
    <row r="24" spans="2:17" x14ac:dyDescent="0.2">
      <c r="B24" s="128" t="s">
        <v>915</v>
      </c>
      <c r="D24" s="148">
        <v>1</v>
      </c>
      <c r="E24" s="45">
        <f>D24*(450*1.22*12*1.5)</f>
        <v>9882</v>
      </c>
      <c r="F24" s="11">
        <f t="shared" si="1"/>
        <v>9882</v>
      </c>
      <c r="G24" s="11">
        <f t="shared" si="1"/>
        <v>9882</v>
      </c>
      <c r="H24" s="12">
        <f t="shared" si="1"/>
        <v>9882</v>
      </c>
    </row>
    <row r="25" spans="2:17" x14ac:dyDescent="0.2">
      <c r="B25" s="128" t="s">
        <v>1176</v>
      </c>
      <c r="D25" s="148">
        <v>1</v>
      </c>
      <c r="E25" s="45">
        <f>10000*1.22*D25*1.5</f>
        <v>18300</v>
      </c>
      <c r="F25" s="11">
        <v>20000</v>
      </c>
      <c r="G25" s="11">
        <f>F25</f>
        <v>20000</v>
      </c>
      <c r="H25" s="12">
        <f>G25</f>
        <v>20000</v>
      </c>
      <c r="L25" s="646" t="s">
        <v>1406</v>
      </c>
      <c r="M25" s="647"/>
      <c r="N25" s="648"/>
      <c r="O25" s="649">
        <f>TAX!M33</f>
        <v>166339.49884799999</v>
      </c>
      <c r="P25" s="649">
        <f>TAX!N33</f>
        <v>165911.10518399999</v>
      </c>
      <c r="Q25" s="650">
        <f>TAX!O33</f>
        <v>174286.36618800001</v>
      </c>
    </row>
    <row r="26" spans="2:17" x14ac:dyDescent="0.2">
      <c r="B26" s="128" t="s">
        <v>1175</v>
      </c>
      <c r="D26" s="148">
        <v>1</v>
      </c>
      <c r="E26" s="45">
        <f>5000*1.22*1.5</f>
        <v>9150</v>
      </c>
      <c r="F26" s="11">
        <f>E26</f>
        <v>9150</v>
      </c>
      <c r="G26" s="11">
        <f>F26</f>
        <v>9150</v>
      </c>
      <c r="H26" s="12">
        <f>G26</f>
        <v>9150</v>
      </c>
      <c r="L26" s="136" t="s">
        <v>1419</v>
      </c>
      <c r="M26" s="181"/>
      <c r="N26" s="181"/>
      <c r="O26" s="145">
        <f>(1/12)*O25</f>
        <v>13861.624903999998</v>
      </c>
      <c r="P26" s="145">
        <f t="shared" ref="P26:Q26" si="2">(1/12)*P25</f>
        <v>13825.925431999998</v>
      </c>
      <c r="Q26" s="147">
        <f t="shared" si="2"/>
        <v>14523.863849000001</v>
      </c>
    </row>
    <row r="27" spans="2:17" x14ac:dyDescent="0.2">
      <c r="B27" s="430" t="s">
        <v>303</v>
      </c>
      <c r="C27" s="414"/>
      <c r="D27" s="482">
        <f>SUM(D22:D26)</f>
        <v>5</v>
      </c>
      <c r="E27" s="442">
        <f>SUM(E22:E26)</f>
        <v>54900</v>
      </c>
      <c r="F27" s="432">
        <f>SUM(F22:F26)</f>
        <v>56600</v>
      </c>
      <c r="G27" s="432">
        <f>SUM(G22:G26)</f>
        <v>56600</v>
      </c>
      <c r="H27" s="433">
        <f>SUM(H22:H26)</f>
        <v>56600</v>
      </c>
      <c r="K27" s="11"/>
      <c r="L27" s="5" t="s">
        <v>1173</v>
      </c>
      <c r="M27" s="11"/>
      <c r="N27" s="5">
        <v>1.32</v>
      </c>
    </row>
    <row r="28" spans="2:17" x14ac:dyDescent="0.2">
      <c r="B28" s="128"/>
      <c r="D28" s="148"/>
      <c r="E28" s="10"/>
      <c r="F28" s="11"/>
      <c r="G28" s="11"/>
      <c r="H28" s="12"/>
      <c r="K28" s="11"/>
      <c r="L28" s="11" t="s">
        <v>1174</v>
      </c>
    </row>
    <row r="29" spans="2:17" x14ac:dyDescent="0.2">
      <c r="B29" s="128" t="s">
        <v>920</v>
      </c>
      <c r="D29" s="148">
        <v>1</v>
      </c>
      <c r="E29" s="45">
        <f>12*D29*E51+20000</f>
        <v>20000</v>
      </c>
      <c r="F29" s="11">
        <f>E29+2000</f>
        <v>22000</v>
      </c>
      <c r="G29" s="11">
        <f t="shared" ref="G29:H29" si="3">F29+2000</f>
        <v>24000</v>
      </c>
      <c r="H29" s="12">
        <f t="shared" si="3"/>
        <v>26000</v>
      </c>
      <c r="K29" s="11"/>
      <c r="L29" s="11"/>
      <c r="M29" s="11"/>
      <c r="N29" s="11"/>
    </row>
    <row r="30" spans="2:17" x14ac:dyDescent="0.2">
      <c r="B30" s="128" t="s">
        <v>910</v>
      </c>
      <c r="D30" s="148">
        <v>5</v>
      </c>
      <c r="E30" s="45">
        <f>D30*30000</f>
        <v>150000</v>
      </c>
      <c r="F30" s="11">
        <f>E30</f>
        <v>150000</v>
      </c>
      <c r="G30" s="11">
        <f t="shared" ref="G30:H30" si="4">F30</f>
        <v>150000</v>
      </c>
      <c r="H30" s="12">
        <f t="shared" si="4"/>
        <v>150000</v>
      </c>
      <c r="K30" s="11"/>
      <c r="L30" s="5" t="s">
        <v>1598</v>
      </c>
      <c r="M30" s="11"/>
      <c r="N30" s="11"/>
    </row>
    <row r="31" spans="2:17" x14ac:dyDescent="0.2">
      <c r="B31" s="128" t="s">
        <v>911</v>
      </c>
      <c r="D31" s="148">
        <v>1</v>
      </c>
      <c r="E31" s="45">
        <v>26000</v>
      </c>
      <c r="F31" s="11">
        <f>E31</f>
        <v>26000</v>
      </c>
      <c r="G31" s="11">
        <f t="shared" ref="G31:H31" si="5">F31</f>
        <v>26000</v>
      </c>
      <c r="H31" s="12">
        <f t="shared" si="5"/>
        <v>26000</v>
      </c>
      <c r="J31" s="174"/>
    </row>
    <row r="32" spans="2:17" x14ac:dyDescent="0.2">
      <c r="B32" s="128" t="s">
        <v>912</v>
      </c>
      <c r="D32" s="148">
        <v>4</v>
      </c>
      <c r="E32" s="45">
        <f>D32*24000</f>
        <v>96000</v>
      </c>
      <c r="F32" s="11">
        <f>E32</f>
        <v>96000</v>
      </c>
      <c r="G32" s="11">
        <f t="shared" ref="G32:H32" si="6">F32</f>
        <v>96000</v>
      </c>
      <c r="H32" s="12">
        <f t="shared" si="6"/>
        <v>96000</v>
      </c>
    </row>
    <row r="33" spans="2:9" x14ac:dyDescent="0.2">
      <c r="B33" s="430" t="s">
        <v>909</v>
      </c>
      <c r="C33" s="414"/>
      <c r="D33" s="482">
        <f>SUM(D29:D32)</f>
        <v>11</v>
      </c>
      <c r="E33" s="442">
        <f>SUM(E29:E32)</f>
        <v>292000</v>
      </c>
      <c r="F33" s="432">
        <f>SUM(F29:F32)</f>
        <v>294000</v>
      </c>
      <c r="G33" s="432">
        <f t="shared" ref="G33:H33" si="7">SUM(G29:G32)</f>
        <v>296000</v>
      </c>
      <c r="H33" s="433">
        <f t="shared" si="7"/>
        <v>298000</v>
      </c>
    </row>
    <row r="34" spans="2:9" x14ac:dyDescent="0.2">
      <c r="B34" s="646" t="s">
        <v>147</v>
      </c>
      <c r="C34" s="628"/>
      <c r="D34" s="769">
        <f>D33+D27+D20</f>
        <v>49</v>
      </c>
      <c r="E34" s="770">
        <f>E33+E27+E20</f>
        <v>1461381</v>
      </c>
      <c r="F34" s="771">
        <f>F33+F27+F20</f>
        <v>1545198.9439999999</v>
      </c>
      <c r="G34" s="771">
        <f t="shared" ref="G34:H34" si="8">G33+G27+G20</f>
        <v>1577412.1600000001</v>
      </c>
      <c r="H34" s="772">
        <f t="shared" si="8"/>
        <v>1632355.7760000001</v>
      </c>
    </row>
    <row r="37" spans="2:9" x14ac:dyDescent="0.2">
      <c r="B37" s="600" t="s">
        <v>1305</v>
      </c>
      <c r="C37" s="767"/>
      <c r="D37" s="767"/>
      <c r="E37" s="767"/>
      <c r="F37" s="767"/>
      <c r="G37" s="369"/>
      <c r="H37" s="768"/>
      <c r="I37" s="11"/>
    </row>
    <row r="38" spans="2:9" x14ac:dyDescent="0.2">
      <c r="B38" s="128" t="s">
        <v>1303</v>
      </c>
      <c r="E38" s="5" t="s">
        <v>1304</v>
      </c>
      <c r="H38" s="135"/>
    </row>
    <row r="39" spans="2:9" x14ac:dyDescent="0.2">
      <c r="B39" s="128" t="s">
        <v>1171</v>
      </c>
      <c r="E39" s="5" t="s">
        <v>1511</v>
      </c>
      <c r="H39" s="135"/>
    </row>
    <row r="40" spans="2:9" x14ac:dyDescent="0.2">
      <c r="B40" s="128" t="s">
        <v>904</v>
      </c>
      <c r="E40" s="5" t="s">
        <v>906</v>
      </c>
      <c r="H40" s="135"/>
    </row>
    <row r="41" spans="2:9" x14ac:dyDescent="0.2">
      <c r="B41" s="136" t="s">
        <v>905</v>
      </c>
      <c r="C41" s="181"/>
      <c r="D41" s="181"/>
      <c r="E41" s="181" t="s">
        <v>906</v>
      </c>
      <c r="F41" s="181"/>
      <c r="G41" s="181"/>
      <c r="H41" s="137"/>
    </row>
    <row r="43" spans="2:9" ht="16" customHeight="1" x14ac:dyDescent="0.2">
      <c r="B43" s="872" t="s">
        <v>908</v>
      </c>
      <c r="C43" s="872"/>
      <c r="D43" s="872"/>
      <c r="E43" s="872"/>
      <c r="F43" s="872"/>
    </row>
    <row r="44" spans="2:9" x14ac:dyDescent="0.2">
      <c r="B44" s="872"/>
      <c r="C44" s="872"/>
      <c r="D44" s="872"/>
      <c r="E44" s="872"/>
      <c r="F44" s="872"/>
    </row>
    <row r="45" spans="2:9" x14ac:dyDescent="0.2">
      <c r="B45" s="872"/>
      <c r="C45" s="872"/>
      <c r="D45" s="872"/>
      <c r="E45" s="872"/>
      <c r="F45" s="872"/>
    </row>
    <row r="46" spans="2:9" x14ac:dyDescent="0.2">
      <c r="B46" s="490"/>
      <c r="C46" s="490"/>
      <c r="D46" s="490"/>
      <c r="E46" s="490"/>
      <c r="F46" s="490"/>
    </row>
    <row r="47" spans="2:9" ht="17" customHeight="1" x14ac:dyDescent="0.2">
      <c r="B47" s="490"/>
      <c r="C47" s="490"/>
      <c r="D47" s="490"/>
      <c r="E47" s="490"/>
      <c r="F47" s="490"/>
    </row>
    <row r="48" spans="2:9" s="492" customFormat="1" ht="6" customHeight="1" x14ac:dyDescent="0.2"/>
    <row r="49" spans="2:13" x14ac:dyDescent="0.2">
      <c r="E49" s="11"/>
      <c r="F49" s="11"/>
      <c r="G49" s="11"/>
      <c r="H49" s="11"/>
      <c r="I49" s="11"/>
      <c r="J49" s="11"/>
      <c r="K49" s="11"/>
    </row>
    <row r="50" spans="2:13" x14ac:dyDescent="0.2">
      <c r="B50" s="911" t="s">
        <v>1302</v>
      </c>
      <c r="C50" s="912"/>
      <c r="D50" s="913"/>
      <c r="E50" s="11"/>
      <c r="F50" s="11"/>
      <c r="G50" s="11"/>
      <c r="H50" s="11"/>
      <c r="I50" s="11"/>
      <c r="J50" s="11"/>
      <c r="K50" s="11"/>
    </row>
    <row r="51" spans="2:13" x14ac:dyDescent="0.2">
      <c r="B51" s="914"/>
      <c r="C51" s="915"/>
      <c r="D51" s="916"/>
      <c r="E51" s="11"/>
      <c r="F51" s="11"/>
      <c r="G51" s="11"/>
      <c r="H51" s="11"/>
      <c r="I51" s="11"/>
      <c r="J51" s="11"/>
      <c r="K51" s="11"/>
    </row>
    <row r="52" spans="2:13" x14ac:dyDescent="0.2">
      <c r="B52" s="126" t="s">
        <v>914</v>
      </c>
      <c r="C52" s="159" t="s">
        <v>916</v>
      </c>
      <c r="D52" s="159"/>
      <c r="E52" s="40">
        <f>E22</f>
        <v>4392</v>
      </c>
    </row>
    <row r="53" spans="2:13" x14ac:dyDescent="0.2">
      <c r="B53" s="128" t="s">
        <v>917</v>
      </c>
      <c r="C53" s="5" t="s">
        <v>919</v>
      </c>
      <c r="E53" s="12">
        <f>E23</f>
        <v>13176</v>
      </c>
    </row>
    <row r="54" spans="2:13" x14ac:dyDescent="0.2">
      <c r="B54" s="136" t="s">
        <v>1512</v>
      </c>
      <c r="C54" s="181" t="s">
        <v>918</v>
      </c>
      <c r="D54" s="181"/>
      <c r="E54" s="147">
        <f>E24</f>
        <v>9882</v>
      </c>
    </row>
    <row r="55" spans="2:13" x14ac:dyDescent="0.2">
      <c r="E55" s="11"/>
    </row>
    <row r="56" spans="2:13" x14ac:dyDescent="0.2">
      <c r="E56" s="11"/>
    </row>
    <row r="58" spans="2:13" s="492" customFormat="1" ht="6" customHeight="1" x14ac:dyDescent="0.2"/>
    <row r="60" spans="2:13" x14ac:dyDescent="0.2">
      <c r="B60" s="893" t="s">
        <v>1083</v>
      </c>
      <c r="C60" s="894"/>
      <c r="D60" s="895"/>
    </row>
    <row r="61" spans="2:13" x14ac:dyDescent="0.2">
      <c r="B61" s="896"/>
      <c r="C61" s="897"/>
      <c r="D61" s="898"/>
      <c r="F61" s="26" t="s">
        <v>1513</v>
      </c>
    </row>
    <row r="63" spans="2:13" x14ac:dyDescent="0.2">
      <c r="B63" s="4" t="s">
        <v>1084</v>
      </c>
      <c r="C63" s="4"/>
      <c r="F63" s="4"/>
      <c r="M63" s="175"/>
    </row>
    <row r="64" spans="2:13" x14ac:dyDescent="0.2">
      <c r="B64" s="169" t="s">
        <v>1590</v>
      </c>
      <c r="E64" s="163" t="s">
        <v>290</v>
      </c>
      <c r="F64" s="5" t="s">
        <v>290</v>
      </c>
    </row>
    <row r="65" spans="2:15" x14ac:dyDescent="0.2">
      <c r="B65" s="169"/>
      <c r="E65" s="163"/>
      <c r="M65" s="917" t="s">
        <v>1306</v>
      </c>
      <c r="N65" s="918"/>
      <c r="O65" s="919"/>
    </row>
    <row r="66" spans="2:15" x14ac:dyDescent="0.2">
      <c r="B66" s="26" t="s">
        <v>1591</v>
      </c>
      <c r="C66" s="26"/>
      <c r="F66" s="497" t="s">
        <v>1594</v>
      </c>
      <c r="G66" s="493">
        <v>2023</v>
      </c>
      <c r="H66" s="495">
        <v>2024</v>
      </c>
      <c r="I66" s="899" t="s">
        <v>1095</v>
      </c>
      <c r="J66" s="900"/>
      <c r="K66" s="899" t="s">
        <v>1094</v>
      </c>
      <c r="L66" s="900"/>
      <c r="M66" s="493">
        <v>2025</v>
      </c>
      <c r="N66" s="494">
        <v>2026</v>
      </c>
      <c r="O66" s="495">
        <v>2027</v>
      </c>
    </row>
    <row r="67" spans="2:15" x14ac:dyDescent="0.2">
      <c r="B67" s="42" t="s">
        <v>1085</v>
      </c>
      <c r="F67" s="10" t="s">
        <v>1170</v>
      </c>
      <c r="G67" s="151">
        <v>1153603</v>
      </c>
      <c r="H67" s="12">
        <v>1114481</v>
      </c>
      <c r="I67" s="151">
        <f>G67</f>
        <v>1153603</v>
      </c>
      <c r="J67" s="12">
        <f>H67</f>
        <v>1114481</v>
      </c>
      <c r="K67" s="78">
        <f>G67</f>
        <v>1153603</v>
      </c>
      <c r="L67" s="44">
        <f>H67</f>
        <v>1114481</v>
      </c>
      <c r="M67" s="168">
        <f t="shared" ref="M67:O69" si="9">O19</f>
        <v>1194598.9439999999</v>
      </c>
      <c r="N67" s="164">
        <f t="shared" si="9"/>
        <v>1224812.1600000001</v>
      </c>
      <c r="O67" s="165">
        <f t="shared" si="9"/>
        <v>1277755.7760000001</v>
      </c>
    </row>
    <row r="68" spans="2:15" x14ac:dyDescent="0.2">
      <c r="B68" s="160" t="s">
        <v>1086</v>
      </c>
      <c r="C68" s="163"/>
      <c r="F68" s="10" t="s">
        <v>1090</v>
      </c>
      <c r="G68" s="151">
        <v>320564</v>
      </c>
      <c r="H68" s="12">
        <v>304319</v>
      </c>
      <c r="I68" s="502">
        <f>G68/I67</f>
        <v>0.27788069205783966</v>
      </c>
      <c r="J68" s="503">
        <f>H68/J67</f>
        <v>0.27305893954226229</v>
      </c>
      <c r="K68" s="78">
        <f>0.35*K67</f>
        <v>403761.05</v>
      </c>
      <c r="L68" s="44">
        <f>L67*0.35</f>
        <v>390068.35</v>
      </c>
      <c r="M68" s="168">
        <f t="shared" si="9"/>
        <v>330903.90748800006</v>
      </c>
      <c r="N68" s="164">
        <f t="shared" si="9"/>
        <v>339272.9683200001</v>
      </c>
      <c r="O68" s="165">
        <f t="shared" si="9"/>
        <v>353938.34995200002</v>
      </c>
    </row>
    <row r="69" spans="2:15" x14ac:dyDescent="0.2">
      <c r="B69" s="160" t="s">
        <v>1087</v>
      </c>
      <c r="C69" s="163"/>
      <c r="F69" s="10" t="s">
        <v>295</v>
      </c>
      <c r="G69" s="151">
        <v>69740</v>
      </c>
      <c r="H69" s="12">
        <v>34063</v>
      </c>
      <c r="I69" s="502">
        <f>I67/SUM(G69:G70)</f>
        <v>15.275463453389831</v>
      </c>
      <c r="J69" s="503">
        <f>J67/SUM(H69:H70)</f>
        <v>15.122269261038291</v>
      </c>
      <c r="K69" s="78">
        <f>K67/13.5</f>
        <v>85452.074074074073</v>
      </c>
      <c r="L69" s="44">
        <f>L67/13.5</f>
        <v>82554.148148148146</v>
      </c>
      <c r="M69" s="168">
        <f t="shared" si="9"/>
        <v>78592.035789473681</v>
      </c>
      <c r="N69" s="164">
        <f t="shared" si="9"/>
        <v>80579.747368421042</v>
      </c>
      <c r="O69" s="165">
        <f t="shared" si="9"/>
        <v>84062.88</v>
      </c>
    </row>
    <row r="70" spans="2:15" x14ac:dyDescent="0.2">
      <c r="B70" s="160" t="s">
        <v>1093</v>
      </c>
      <c r="C70" s="163"/>
      <c r="F70" s="10" t="s">
        <v>1092</v>
      </c>
      <c r="G70" s="151">
        <v>5780</v>
      </c>
      <c r="H70" s="12">
        <v>39635</v>
      </c>
      <c r="I70" s="130"/>
      <c r="J70" s="244"/>
      <c r="K70" s="78">
        <v>0</v>
      </c>
      <c r="L70" s="44">
        <v>0</v>
      </c>
      <c r="M70" s="151">
        <v>0</v>
      </c>
      <c r="N70" s="11">
        <v>0</v>
      </c>
      <c r="O70" s="12">
        <v>0</v>
      </c>
    </row>
    <row r="71" spans="2:15" x14ac:dyDescent="0.2">
      <c r="B71" s="160" t="s">
        <v>1088</v>
      </c>
      <c r="C71" s="163"/>
      <c r="F71" s="160" t="s">
        <v>1091</v>
      </c>
      <c r="G71" s="176">
        <v>6380</v>
      </c>
      <c r="H71" s="12">
        <v>5960</v>
      </c>
      <c r="I71" s="502">
        <f>G71/I67</f>
        <v>5.5304987937791423E-3</v>
      </c>
      <c r="J71" s="503">
        <f>H71/J67</f>
        <v>5.3477807158668475E-3</v>
      </c>
      <c r="K71" s="78">
        <f>G71</f>
        <v>6380</v>
      </c>
      <c r="L71" s="44">
        <f>H71</f>
        <v>5960</v>
      </c>
      <c r="M71" s="168">
        <f>O22</f>
        <v>5972.9947200000015</v>
      </c>
      <c r="N71" s="164">
        <f>P22</f>
        <v>6124.0608000000002</v>
      </c>
      <c r="O71" s="165">
        <f>Q22</f>
        <v>6388.7788799999998</v>
      </c>
    </row>
    <row r="72" spans="2:15" x14ac:dyDescent="0.2">
      <c r="B72" s="177" t="s">
        <v>1089</v>
      </c>
      <c r="F72" s="462" t="s">
        <v>147</v>
      </c>
      <c r="G72" s="501">
        <f>SUM(G67:G71)</f>
        <v>1556067</v>
      </c>
      <c r="H72" s="458">
        <f>SUM(H67:H71)</f>
        <v>1498458</v>
      </c>
      <c r="I72" s="501"/>
      <c r="J72" s="458"/>
      <c r="K72" s="501">
        <f>SUM(K67:K71)</f>
        <v>1649196.1240740742</v>
      </c>
      <c r="L72" s="458">
        <f>SUM(L67:L71)</f>
        <v>1593063.4981481482</v>
      </c>
      <c r="M72" s="498">
        <f>SUM(M67:M71)</f>
        <v>1610067.8819974738</v>
      </c>
      <c r="N72" s="499">
        <f t="shared" ref="N72:O72" si="10">SUM(N67:N71)</f>
        <v>1650788.9364884212</v>
      </c>
      <c r="O72" s="500">
        <f t="shared" si="10"/>
        <v>1722145.7848320003</v>
      </c>
    </row>
    <row r="73" spans="2:15" x14ac:dyDescent="0.2">
      <c r="G73" s="4"/>
    </row>
    <row r="75" spans="2:15" x14ac:dyDescent="0.2">
      <c r="B75" s="26" t="s">
        <v>1592</v>
      </c>
      <c r="C75" s="26"/>
      <c r="E75" s="4" t="s">
        <v>1593</v>
      </c>
      <c r="I75" s="11"/>
      <c r="M75" s="164"/>
    </row>
    <row r="76" spans="2:15" x14ac:dyDescent="0.2">
      <c r="B76" s="42" t="s">
        <v>1085</v>
      </c>
      <c r="E76" s="125">
        <v>1</v>
      </c>
    </row>
    <row r="77" spans="2:15" x14ac:dyDescent="0.2">
      <c r="B77" s="160" t="s">
        <v>1097</v>
      </c>
      <c r="C77" s="163"/>
      <c r="E77" s="148">
        <v>0.27700000000000002</v>
      </c>
    </row>
    <row r="78" spans="2:15" x14ac:dyDescent="0.2">
      <c r="B78" s="160" t="s">
        <v>1096</v>
      </c>
      <c r="C78" s="163"/>
      <c r="E78" s="881">
        <v>15.2</v>
      </c>
    </row>
    <row r="79" spans="2:15" x14ac:dyDescent="0.2">
      <c r="B79" s="160" t="s">
        <v>1093</v>
      </c>
      <c r="C79" s="163"/>
      <c r="E79" s="881"/>
    </row>
    <row r="80" spans="2:15" x14ac:dyDescent="0.2">
      <c r="B80" s="160" t="s">
        <v>1088</v>
      </c>
      <c r="C80" s="163"/>
      <c r="E80" s="144">
        <v>5.0000000000000001E-3</v>
      </c>
    </row>
    <row r="81" spans="2:25" x14ac:dyDescent="0.2">
      <c r="B81" s="177" t="s">
        <v>1089</v>
      </c>
    </row>
    <row r="86" spans="2:25" s="492" customFormat="1" ht="6" customHeight="1" x14ac:dyDescent="0.2"/>
    <row r="88" spans="2:25" x14ac:dyDescent="0.2">
      <c r="B88" s="893" t="s">
        <v>1307</v>
      </c>
      <c r="C88" s="894"/>
      <c r="D88" s="895"/>
    </row>
    <row r="89" spans="2:25" x14ac:dyDescent="0.2">
      <c r="B89" s="896"/>
      <c r="C89" s="897"/>
      <c r="D89" s="898"/>
    </row>
    <row r="90" spans="2:25" x14ac:dyDescent="0.2">
      <c r="B90" s="26" t="s">
        <v>1595</v>
      </c>
    </row>
    <row r="91" spans="2:25" x14ac:dyDescent="0.2">
      <c r="B91" s="26" t="s">
        <v>1596</v>
      </c>
    </row>
    <row r="92" spans="2:25" x14ac:dyDescent="0.2">
      <c r="B92" s="26" t="s">
        <v>1597</v>
      </c>
    </row>
    <row r="93" spans="2:25" x14ac:dyDescent="0.2">
      <c r="B93" s="4"/>
      <c r="C93" s="4"/>
    </row>
    <row r="94" spans="2:25" x14ac:dyDescent="0.2">
      <c r="B94" s="74"/>
      <c r="C94" s="91"/>
      <c r="D94" s="159"/>
      <c r="E94" s="159"/>
      <c r="F94" s="159"/>
      <c r="G94" s="159"/>
      <c r="H94" s="159"/>
      <c r="I94" s="159"/>
      <c r="J94" s="159"/>
      <c r="K94" s="159"/>
      <c r="L94" s="159"/>
      <c r="M94" s="159"/>
      <c r="N94" s="159"/>
      <c r="O94" s="159"/>
      <c r="P94" s="159"/>
      <c r="Q94" s="159"/>
      <c r="R94" s="159"/>
      <c r="S94" s="159"/>
      <c r="T94" s="159"/>
      <c r="U94" s="159"/>
      <c r="V94" s="159"/>
      <c r="W94" s="159"/>
      <c r="X94" s="159"/>
      <c r="Y94" s="127"/>
    </row>
    <row r="95" spans="2:25" x14ac:dyDescent="0.2">
      <c r="B95" s="128"/>
      <c r="C95" s="87" t="s">
        <v>1098</v>
      </c>
      <c r="D95" s="4"/>
      <c r="E95" s="87" t="s">
        <v>1099</v>
      </c>
      <c r="Y95" s="135"/>
    </row>
    <row r="96" spans="2:25" x14ac:dyDescent="0.2">
      <c r="B96" s="128"/>
      <c r="C96" s="142" t="s">
        <v>1100</v>
      </c>
      <c r="E96" s="169">
        <v>2</v>
      </c>
      <c r="Y96" s="135"/>
    </row>
    <row r="97" spans="2:25" x14ac:dyDescent="0.2">
      <c r="B97" s="128"/>
      <c r="C97" s="142" t="s">
        <v>1101</v>
      </c>
      <c r="E97" s="169" t="s">
        <v>1103</v>
      </c>
      <c r="Y97" s="135"/>
    </row>
    <row r="98" spans="2:25" x14ac:dyDescent="0.2">
      <c r="B98" s="128"/>
      <c r="C98" s="142" t="s">
        <v>1102</v>
      </c>
      <c r="E98" s="169" t="s">
        <v>1104</v>
      </c>
      <c r="Y98" s="135"/>
    </row>
    <row r="99" spans="2:25" x14ac:dyDescent="0.2">
      <c r="B99" s="128"/>
      <c r="E99" s="5" t="s">
        <v>1122</v>
      </c>
      <c r="Y99" s="135"/>
    </row>
    <row r="100" spans="2:25" x14ac:dyDescent="0.2">
      <c r="B100" s="128"/>
      <c r="Y100" s="135"/>
    </row>
    <row r="101" spans="2:25" x14ac:dyDescent="0.2">
      <c r="B101" s="128"/>
      <c r="C101" s="142" t="s">
        <v>1123</v>
      </c>
      <c r="E101" s="169">
        <v>14</v>
      </c>
      <c r="Y101" s="135"/>
    </row>
    <row r="102" spans="2:25" x14ac:dyDescent="0.2">
      <c r="B102" s="128"/>
      <c r="C102" s="142" t="s">
        <v>1105</v>
      </c>
      <c r="E102" s="5" t="s">
        <v>1106</v>
      </c>
      <c r="Y102" s="135"/>
    </row>
    <row r="103" spans="2:25" x14ac:dyDescent="0.2">
      <c r="B103" s="128"/>
      <c r="C103" s="142" t="s">
        <v>1107</v>
      </c>
      <c r="E103" s="169">
        <v>173</v>
      </c>
      <c r="Y103" s="135"/>
    </row>
    <row r="104" spans="2:25" x14ac:dyDescent="0.2">
      <c r="B104" s="128"/>
      <c r="C104" s="142"/>
      <c r="Y104" s="135"/>
    </row>
    <row r="105" spans="2:25" x14ac:dyDescent="0.2">
      <c r="B105" s="128"/>
      <c r="Y105" s="135"/>
    </row>
    <row r="106" spans="2:25" x14ac:dyDescent="0.2">
      <c r="B106" s="128"/>
      <c r="E106" s="5" t="s">
        <v>1108</v>
      </c>
      <c r="Y106" s="135"/>
    </row>
    <row r="107" spans="2:25" x14ac:dyDescent="0.2">
      <c r="B107" s="128"/>
      <c r="Y107" s="135"/>
    </row>
    <row r="108" spans="2:25" x14ac:dyDescent="0.2">
      <c r="B108" s="128"/>
      <c r="E108" s="5" t="s">
        <v>881</v>
      </c>
      <c r="F108" s="5" t="s">
        <v>1109</v>
      </c>
      <c r="G108" s="5" t="s">
        <v>1109</v>
      </c>
      <c r="H108" s="5" t="s">
        <v>1109</v>
      </c>
      <c r="Y108" s="135"/>
    </row>
    <row r="109" spans="2:25" x14ac:dyDescent="0.2">
      <c r="B109" s="128"/>
      <c r="F109" s="5" t="s">
        <v>1110</v>
      </c>
      <c r="G109" s="5" t="s">
        <v>1111</v>
      </c>
      <c r="H109" s="5" t="s">
        <v>1112</v>
      </c>
      <c r="Y109" s="135"/>
    </row>
    <row r="110" spans="2:25" x14ac:dyDescent="0.2">
      <c r="B110" s="128"/>
      <c r="E110" s="5" t="s">
        <v>1113</v>
      </c>
      <c r="F110" s="164">
        <v>3379</v>
      </c>
      <c r="G110" s="164">
        <v>3479</v>
      </c>
      <c r="H110" s="164">
        <v>3545</v>
      </c>
      <c r="K110" s="164"/>
      <c r="L110" s="164"/>
      <c r="M110" s="164"/>
      <c r="N110" s="164"/>
      <c r="Y110" s="135"/>
    </row>
    <row r="111" spans="2:25" x14ac:dyDescent="0.2">
      <c r="B111" s="128"/>
      <c r="E111" s="762" t="s">
        <v>1114</v>
      </c>
      <c r="F111" s="763">
        <v>3320</v>
      </c>
      <c r="G111" s="764">
        <v>3401</v>
      </c>
      <c r="H111" s="765">
        <v>3451</v>
      </c>
      <c r="K111" s="164"/>
      <c r="L111" s="164"/>
      <c r="M111" s="164"/>
      <c r="N111" s="164"/>
      <c r="Y111" s="135"/>
    </row>
    <row r="112" spans="2:25" x14ac:dyDescent="0.2">
      <c r="B112" s="128"/>
      <c r="E112" s="5" t="s">
        <v>1115</v>
      </c>
      <c r="F112" s="164">
        <v>3003</v>
      </c>
      <c r="G112" s="164">
        <v>3091</v>
      </c>
      <c r="H112" s="164">
        <v>3148</v>
      </c>
      <c r="K112" s="164"/>
      <c r="L112" s="164"/>
      <c r="M112" s="164"/>
      <c r="N112" s="164"/>
      <c r="Y112" s="135"/>
    </row>
    <row r="113" spans="2:25" x14ac:dyDescent="0.2">
      <c r="B113" s="128"/>
      <c r="E113" s="5" t="s">
        <v>1116</v>
      </c>
      <c r="F113" s="164">
        <v>2565</v>
      </c>
      <c r="G113" s="164">
        <v>2638</v>
      </c>
      <c r="H113" s="164">
        <v>2685</v>
      </c>
      <c r="K113" s="164"/>
      <c r="L113" s="164"/>
      <c r="M113" s="164"/>
      <c r="N113" s="164"/>
      <c r="Y113" s="135"/>
    </row>
    <row r="114" spans="2:25" x14ac:dyDescent="0.2">
      <c r="B114" s="128"/>
      <c r="E114" s="762" t="s">
        <v>1117</v>
      </c>
      <c r="F114" s="763">
        <v>2315</v>
      </c>
      <c r="G114" s="764">
        <v>2379</v>
      </c>
      <c r="H114" s="765">
        <v>2420</v>
      </c>
      <c r="K114" s="164"/>
      <c r="L114" s="164"/>
      <c r="M114" s="164"/>
      <c r="N114" s="164"/>
      <c r="Y114" s="135"/>
    </row>
    <row r="115" spans="2:25" x14ac:dyDescent="0.2">
      <c r="B115" s="128"/>
      <c r="E115" s="5" t="s">
        <v>1118</v>
      </c>
      <c r="F115" s="164">
        <v>2128</v>
      </c>
      <c r="G115" s="164">
        <v>2184</v>
      </c>
      <c r="H115" s="164">
        <v>2222</v>
      </c>
      <c r="K115" s="164"/>
      <c r="L115" s="164"/>
      <c r="M115" s="164"/>
      <c r="N115" s="164"/>
      <c r="Y115" s="135"/>
    </row>
    <row r="116" spans="2:25" x14ac:dyDescent="0.2">
      <c r="B116" s="128"/>
      <c r="E116" s="5" t="s">
        <v>1119</v>
      </c>
      <c r="F116" s="164">
        <v>2003</v>
      </c>
      <c r="G116" s="164">
        <v>2055</v>
      </c>
      <c r="H116" s="164">
        <v>2090</v>
      </c>
      <c r="K116" s="164"/>
      <c r="L116" s="164"/>
      <c r="M116" s="164"/>
      <c r="N116" s="164"/>
      <c r="Y116" s="135"/>
    </row>
    <row r="117" spans="2:25" x14ac:dyDescent="0.2">
      <c r="B117" s="128"/>
      <c r="E117" s="5" t="s">
        <v>1120</v>
      </c>
      <c r="F117" s="164">
        <v>1878</v>
      </c>
      <c r="G117" s="164">
        <v>1925</v>
      </c>
      <c r="H117" s="164">
        <v>1957</v>
      </c>
      <c r="Y117" s="135"/>
    </row>
    <row r="118" spans="2:25" x14ac:dyDescent="0.2">
      <c r="B118" s="128"/>
      <c r="E118" s="5" t="s">
        <v>1121</v>
      </c>
      <c r="F118" s="164">
        <v>1753</v>
      </c>
      <c r="G118" s="164">
        <v>1797</v>
      </c>
      <c r="H118" s="164">
        <v>1825</v>
      </c>
      <c r="Y118" s="135"/>
    </row>
    <row r="119" spans="2:25" x14ac:dyDescent="0.2">
      <c r="B119" s="128"/>
      <c r="Y119" s="135"/>
    </row>
    <row r="120" spans="2:25" x14ac:dyDescent="0.2">
      <c r="B120" s="128"/>
      <c r="Y120" s="135"/>
    </row>
    <row r="121" spans="2:25" x14ac:dyDescent="0.2">
      <c r="B121" s="128"/>
      <c r="F121" s="5" t="s">
        <v>881</v>
      </c>
      <c r="Y121" s="135"/>
    </row>
    <row r="122" spans="2:25" x14ac:dyDescent="0.2">
      <c r="B122" s="128"/>
      <c r="C122" s="169" t="s">
        <v>1131</v>
      </c>
      <c r="D122" s="5">
        <v>1</v>
      </c>
      <c r="E122" s="5" t="s">
        <v>1126</v>
      </c>
      <c r="F122" s="5" t="s">
        <v>1138</v>
      </c>
      <c r="G122" s="5" t="s">
        <v>1606</v>
      </c>
      <c r="H122" s="5" t="s">
        <v>1607</v>
      </c>
      <c r="Y122" s="135"/>
    </row>
    <row r="123" spans="2:25" x14ac:dyDescent="0.2">
      <c r="B123" s="128"/>
      <c r="D123" s="5">
        <v>1</v>
      </c>
      <c r="E123" s="5" t="s">
        <v>1127</v>
      </c>
      <c r="F123" s="5" t="s">
        <v>1139</v>
      </c>
      <c r="Y123" s="135"/>
    </row>
    <row r="124" spans="2:25" x14ac:dyDescent="0.2">
      <c r="B124" s="128"/>
      <c r="Y124" s="135"/>
    </row>
    <row r="125" spans="2:25" x14ac:dyDescent="0.2">
      <c r="B125" s="128"/>
      <c r="Y125" s="135"/>
    </row>
    <row r="126" spans="2:25" x14ac:dyDescent="0.2">
      <c r="B126" s="128"/>
      <c r="C126" s="87" t="s">
        <v>1124</v>
      </c>
      <c r="E126" s="880">
        <v>2025</v>
      </c>
      <c r="F126" s="873"/>
      <c r="G126" s="873"/>
      <c r="H126" s="873"/>
      <c r="I126" s="874"/>
      <c r="J126" s="880">
        <v>2026</v>
      </c>
      <c r="K126" s="873"/>
      <c r="L126" s="873"/>
      <c r="M126" s="873"/>
      <c r="N126" s="873"/>
      <c r="O126" s="880">
        <v>2027</v>
      </c>
      <c r="P126" s="873"/>
      <c r="Q126" s="873"/>
      <c r="R126" s="873"/>
      <c r="S126" s="874"/>
      <c r="T126" s="873">
        <v>2027</v>
      </c>
      <c r="U126" s="873"/>
      <c r="V126" s="873"/>
      <c r="W126" s="873"/>
      <c r="X126" s="874"/>
      <c r="Y126" s="135"/>
    </row>
    <row r="127" spans="2:25" x14ac:dyDescent="0.2">
      <c r="B127" s="128"/>
      <c r="C127" s="179" t="s">
        <v>1125</v>
      </c>
      <c r="D127" s="159"/>
      <c r="E127" s="878" t="s">
        <v>1126</v>
      </c>
      <c r="F127" s="879"/>
      <c r="G127" s="875" t="s">
        <v>1127</v>
      </c>
      <c r="H127" s="875"/>
      <c r="I127" s="876" t="s">
        <v>147</v>
      </c>
      <c r="J127" s="878" t="s">
        <v>1126</v>
      </c>
      <c r="K127" s="875"/>
      <c r="L127" s="878" t="s">
        <v>1127</v>
      </c>
      <c r="M127" s="879"/>
      <c r="N127" s="876" t="s">
        <v>147</v>
      </c>
      <c r="O127" s="875" t="s">
        <v>1126</v>
      </c>
      <c r="P127" s="875"/>
      <c r="Q127" s="878" t="s">
        <v>1127</v>
      </c>
      <c r="R127" s="879"/>
      <c r="S127" s="876" t="s">
        <v>147</v>
      </c>
      <c r="T127" s="875" t="s">
        <v>1126</v>
      </c>
      <c r="U127" s="875"/>
      <c r="V127" s="878" t="s">
        <v>1127</v>
      </c>
      <c r="W127" s="879"/>
      <c r="X127" s="876" t="s">
        <v>147</v>
      </c>
      <c r="Y127" s="135"/>
    </row>
    <row r="128" spans="2:25" x14ac:dyDescent="0.2">
      <c r="B128" s="128"/>
      <c r="C128" s="180" t="s">
        <v>1132</v>
      </c>
      <c r="D128" s="181"/>
      <c r="E128" s="182" t="s">
        <v>1128</v>
      </c>
      <c r="F128" s="183" t="s">
        <v>148</v>
      </c>
      <c r="G128" s="184" t="s">
        <v>1128</v>
      </c>
      <c r="H128" s="184" t="s">
        <v>148</v>
      </c>
      <c r="I128" s="877"/>
      <c r="J128" s="182" t="s">
        <v>1128</v>
      </c>
      <c r="K128" s="184" t="s">
        <v>148</v>
      </c>
      <c r="L128" s="182" t="s">
        <v>1128</v>
      </c>
      <c r="M128" s="183" t="s">
        <v>148</v>
      </c>
      <c r="N128" s="877"/>
      <c r="O128" s="184" t="s">
        <v>1128</v>
      </c>
      <c r="P128" s="184" t="s">
        <v>148</v>
      </c>
      <c r="Q128" s="182" t="s">
        <v>1128</v>
      </c>
      <c r="R128" s="183" t="s">
        <v>148</v>
      </c>
      <c r="S128" s="877"/>
      <c r="T128" s="184" t="s">
        <v>1128</v>
      </c>
      <c r="U128" s="184" t="s">
        <v>148</v>
      </c>
      <c r="V128" s="182" t="s">
        <v>1128</v>
      </c>
      <c r="W128" s="183" t="s">
        <v>148</v>
      </c>
      <c r="X128" s="877"/>
      <c r="Y128" s="135"/>
    </row>
    <row r="129" spans="2:25" x14ac:dyDescent="0.2">
      <c r="B129" s="128"/>
      <c r="C129" s="89" t="s">
        <v>1129</v>
      </c>
      <c r="E129" s="168">
        <f>F111*12</f>
        <v>39840</v>
      </c>
      <c r="F129" s="165">
        <f>E129*$D$122</f>
        <v>39840</v>
      </c>
      <c r="G129" s="164">
        <f>F114*12</f>
        <v>27780</v>
      </c>
      <c r="H129" s="164">
        <f>G129*$D$123</f>
        <v>27780</v>
      </c>
      <c r="I129" s="185">
        <f>H129+F129</f>
        <v>67620</v>
      </c>
      <c r="J129" s="168">
        <f>G111*12</f>
        <v>40812</v>
      </c>
      <c r="K129" s="164">
        <f>J129*$D$122</f>
        <v>40812</v>
      </c>
      <c r="L129" s="168">
        <f>G114*12</f>
        <v>28548</v>
      </c>
      <c r="M129" s="165">
        <f>L129*$D$123</f>
        <v>28548</v>
      </c>
      <c r="N129" s="185">
        <f>M129+K129</f>
        <v>69360</v>
      </c>
      <c r="O129" s="164">
        <f>H111*12</f>
        <v>41412</v>
      </c>
      <c r="P129" s="164">
        <f>O129*$D$122</f>
        <v>41412</v>
      </c>
      <c r="Q129" s="168">
        <f>H114*12</f>
        <v>29040</v>
      </c>
      <c r="R129" s="165">
        <f>Q129*$D$123</f>
        <v>29040</v>
      </c>
      <c r="S129" s="185">
        <f>R129+P129</f>
        <v>70452</v>
      </c>
      <c r="T129" s="164">
        <f>H111*12</f>
        <v>41412</v>
      </c>
      <c r="U129" s="164">
        <f>T129*$D$122</f>
        <v>41412</v>
      </c>
      <c r="V129" s="168">
        <f>H114*12</f>
        <v>29040</v>
      </c>
      <c r="W129" s="165">
        <f>V129*$D$123</f>
        <v>29040</v>
      </c>
      <c r="X129" s="185">
        <f>W129+U129</f>
        <v>70452</v>
      </c>
      <c r="Y129" s="135"/>
    </row>
    <row r="130" spans="2:25" x14ac:dyDescent="0.2">
      <c r="B130" s="128"/>
      <c r="C130" s="89" t="s">
        <v>1130</v>
      </c>
      <c r="E130" s="168">
        <f>E129*$E$77</f>
        <v>11035.68</v>
      </c>
      <c r="F130" s="165">
        <f t="shared" ref="F130:F132" si="11">E130*$D$122</f>
        <v>11035.68</v>
      </c>
      <c r="G130" s="164">
        <f>G129*$E$77</f>
        <v>7695.06</v>
      </c>
      <c r="H130" s="164">
        <f t="shared" ref="H130:H132" si="12">G130*$D$123</f>
        <v>7695.06</v>
      </c>
      <c r="I130" s="185">
        <f t="shared" ref="I130:I132" si="13">H130+F130</f>
        <v>18730.740000000002</v>
      </c>
      <c r="J130" s="168">
        <f>J129*$E$77</f>
        <v>11304.924000000001</v>
      </c>
      <c r="K130" s="164">
        <f t="shared" ref="K130:K132" si="14">J130*$D$122</f>
        <v>11304.924000000001</v>
      </c>
      <c r="L130" s="168">
        <f>L129*$E$77</f>
        <v>7907.7960000000003</v>
      </c>
      <c r="M130" s="165">
        <f t="shared" ref="M130:M132" si="15">L130*$D$123</f>
        <v>7907.7960000000003</v>
      </c>
      <c r="N130" s="185">
        <f t="shared" ref="N130:N132" si="16">M130+K130</f>
        <v>19212.72</v>
      </c>
      <c r="O130" s="164">
        <f>O129*$E$77</f>
        <v>11471.124000000002</v>
      </c>
      <c r="P130" s="164">
        <f t="shared" ref="P130:P132" si="17">O130*$D$122</f>
        <v>11471.124000000002</v>
      </c>
      <c r="Q130" s="168">
        <f>Q129*$E$77</f>
        <v>8044.0800000000008</v>
      </c>
      <c r="R130" s="165">
        <f t="shared" ref="R130:R132" si="18">Q130*$D$123</f>
        <v>8044.0800000000008</v>
      </c>
      <c r="S130" s="185">
        <f t="shared" ref="S130:S132" si="19">R130+P130</f>
        <v>19515.204000000002</v>
      </c>
      <c r="T130" s="164">
        <f>T129*$E$77</f>
        <v>11471.124000000002</v>
      </c>
      <c r="U130" s="164">
        <f t="shared" ref="U130:U132" si="20">T130*$D$122</f>
        <v>11471.124000000002</v>
      </c>
      <c r="V130" s="168">
        <f>V129*$E$77</f>
        <v>8044.0800000000008</v>
      </c>
      <c r="W130" s="165">
        <f t="shared" ref="W130:W132" si="21">V130*$D$123</f>
        <v>8044.0800000000008</v>
      </c>
      <c r="X130" s="185">
        <f t="shared" ref="X130:X132" si="22">W130+U130</f>
        <v>19515.204000000002</v>
      </c>
      <c r="Y130" s="135"/>
    </row>
    <row r="131" spans="2:25" x14ac:dyDescent="0.2">
      <c r="B131" s="128"/>
      <c r="C131" s="89" t="s">
        <v>295</v>
      </c>
      <c r="E131" s="168">
        <f>E129/$E$78</f>
        <v>2621.0526315789475</v>
      </c>
      <c r="F131" s="165">
        <f t="shared" si="11"/>
        <v>2621.0526315789475</v>
      </c>
      <c r="G131" s="164">
        <f>G129/$E$78</f>
        <v>1827.6315789473686</v>
      </c>
      <c r="H131" s="164">
        <f t="shared" si="12"/>
        <v>1827.6315789473686</v>
      </c>
      <c r="I131" s="185">
        <f t="shared" si="13"/>
        <v>4448.6842105263158</v>
      </c>
      <c r="J131" s="168">
        <f>J129/$E$78</f>
        <v>2685</v>
      </c>
      <c r="K131" s="164">
        <f t="shared" si="14"/>
        <v>2685</v>
      </c>
      <c r="L131" s="168">
        <f>L129/$E$78</f>
        <v>1878.1578947368421</v>
      </c>
      <c r="M131" s="165">
        <f t="shared" si="15"/>
        <v>1878.1578947368421</v>
      </c>
      <c r="N131" s="185">
        <f t="shared" si="16"/>
        <v>4563.1578947368416</v>
      </c>
      <c r="O131" s="164">
        <f>O129/$E$78</f>
        <v>2724.4736842105262</v>
      </c>
      <c r="P131" s="164">
        <f t="shared" si="17"/>
        <v>2724.4736842105262</v>
      </c>
      <c r="Q131" s="168">
        <f>Q129/$E$78</f>
        <v>1910.5263157894738</v>
      </c>
      <c r="R131" s="165">
        <f t="shared" si="18"/>
        <v>1910.5263157894738</v>
      </c>
      <c r="S131" s="185">
        <f t="shared" si="19"/>
        <v>4635</v>
      </c>
      <c r="T131" s="164">
        <f>T129/$E$78</f>
        <v>2724.4736842105262</v>
      </c>
      <c r="U131" s="164">
        <f t="shared" si="20"/>
        <v>2724.4736842105262</v>
      </c>
      <c r="V131" s="168">
        <f>V129/$E$78</f>
        <v>1910.5263157894738</v>
      </c>
      <c r="W131" s="165">
        <f t="shared" si="21"/>
        <v>1910.5263157894738</v>
      </c>
      <c r="X131" s="185">
        <f t="shared" si="22"/>
        <v>4635</v>
      </c>
      <c r="Y131" s="135"/>
    </row>
    <row r="132" spans="2:25" x14ac:dyDescent="0.2">
      <c r="B132" s="128"/>
      <c r="C132" s="90" t="s">
        <v>1091</v>
      </c>
      <c r="D132" s="181"/>
      <c r="E132" s="173">
        <f>E129*$E$80</f>
        <v>199.20000000000002</v>
      </c>
      <c r="F132" s="167">
        <f t="shared" si="11"/>
        <v>199.20000000000002</v>
      </c>
      <c r="G132" s="166">
        <f>G129*$E$80</f>
        <v>138.9</v>
      </c>
      <c r="H132" s="166">
        <f t="shared" si="12"/>
        <v>138.9</v>
      </c>
      <c r="I132" s="186">
        <f t="shared" si="13"/>
        <v>338.1</v>
      </c>
      <c r="J132" s="173">
        <f>J129*$E$80</f>
        <v>204.06</v>
      </c>
      <c r="K132" s="166">
        <f t="shared" si="14"/>
        <v>204.06</v>
      </c>
      <c r="L132" s="173">
        <f>L129*$E$80</f>
        <v>142.74</v>
      </c>
      <c r="M132" s="167">
        <f t="shared" si="15"/>
        <v>142.74</v>
      </c>
      <c r="N132" s="186">
        <f t="shared" si="16"/>
        <v>346.8</v>
      </c>
      <c r="O132" s="166">
        <f>O129*$E$80</f>
        <v>207.06</v>
      </c>
      <c r="P132" s="166">
        <f t="shared" si="17"/>
        <v>207.06</v>
      </c>
      <c r="Q132" s="173">
        <f>Q129*$E$80</f>
        <v>145.20000000000002</v>
      </c>
      <c r="R132" s="167">
        <f t="shared" si="18"/>
        <v>145.20000000000002</v>
      </c>
      <c r="S132" s="186">
        <f t="shared" si="19"/>
        <v>352.26</v>
      </c>
      <c r="T132" s="166">
        <f>T129*$E$80</f>
        <v>207.06</v>
      </c>
      <c r="U132" s="166">
        <f t="shared" si="20"/>
        <v>207.06</v>
      </c>
      <c r="V132" s="173">
        <f>V129*$E$80</f>
        <v>145.20000000000002</v>
      </c>
      <c r="W132" s="167">
        <f t="shared" si="21"/>
        <v>145.20000000000002</v>
      </c>
      <c r="X132" s="186">
        <f t="shared" si="22"/>
        <v>352.26</v>
      </c>
      <c r="Y132" s="135"/>
    </row>
    <row r="133" spans="2:25" x14ac:dyDescent="0.2">
      <c r="B133" s="128"/>
      <c r="I133" s="88">
        <f>SUM(I129:I132)</f>
        <v>91137.524210526331</v>
      </c>
      <c r="N133" s="88">
        <f>SUM(N129:N132)</f>
        <v>93482.677894736844</v>
      </c>
      <c r="S133" s="88">
        <f>SUM(S129:S132)</f>
        <v>94954.463999999993</v>
      </c>
      <c r="X133" s="88">
        <f>SUM(X129:X132)</f>
        <v>94954.463999999993</v>
      </c>
      <c r="Y133" s="135"/>
    </row>
    <row r="134" spans="2:25" x14ac:dyDescent="0.2">
      <c r="B134" s="128"/>
      <c r="Y134" s="135"/>
    </row>
    <row r="135" spans="2:25" x14ac:dyDescent="0.2">
      <c r="B135" s="136"/>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37"/>
    </row>
    <row r="138" spans="2:25" x14ac:dyDescent="0.2">
      <c r="B138" s="74"/>
      <c r="C138" s="91"/>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27"/>
    </row>
    <row r="139" spans="2:25" x14ac:dyDescent="0.2">
      <c r="B139" s="128"/>
      <c r="C139" s="87" t="s">
        <v>1098</v>
      </c>
      <c r="D139" s="4"/>
      <c r="E139" s="87" t="s">
        <v>1155</v>
      </c>
      <c r="Y139" s="135"/>
    </row>
    <row r="140" spans="2:25" x14ac:dyDescent="0.2">
      <c r="B140" s="128"/>
      <c r="C140" s="142" t="s">
        <v>1100</v>
      </c>
      <c r="E140" s="169">
        <f>D166+D167</f>
        <v>16</v>
      </c>
      <c r="Y140" s="135"/>
    </row>
    <row r="141" spans="2:25" x14ac:dyDescent="0.2">
      <c r="B141" s="128"/>
      <c r="C141" s="142" t="s">
        <v>1101</v>
      </c>
      <c r="E141" s="169" t="s">
        <v>1103</v>
      </c>
      <c r="Y141" s="135"/>
    </row>
    <row r="142" spans="2:25" x14ac:dyDescent="0.2">
      <c r="B142" s="128"/>
      <c r="C142" s="142" t="s">
        <v>1102</v>
      </c>
      <c r="E142" s="169" t="s">
        <v>1104</v>
      </c>
      <c r="Y142" s="135"/>
    </row>
    <row r="143" spans="2:25" x14ac:dyDescent="0.2">
      <c r="B143" s="128"/>
      <c r="E143" s="5" t="s">
        <v>1122</v>
      </c>
      <c r="Y143" s="135"/>
    </row>
    <row r="144" spans="2:25" x14ac:dyDescent="0.2">
      <c r="B144" s="128"/>
      <c r="Y144" s="135"/>
    </row>
    <row r="145" spans="2:25" x14ac:dyDescent="0.2">
      <c r="B145" s="128"/>
      <c r="C145" s="142" t="s">
        <v>1123</v>
      </c>
      <c r="E145" s="169">
        <v>14</v>
      </c>
      <c r="Y145" s="135"/>
    </row>
    <row r="146" spans="2:25" x14ac:dyDescent="0.2">
      <c r="B146" s="128"/>
      <c r="C146" s="142" t="s">
        <v>1105</v>
      </c>
      <c r="E146" s="5" t="s">
        <v>1106</v>
      </c>
      <c r="Y146" s="135"/>
    </row>
    <row r="147" spans="2:25" x14ac:dyDescent="0.2">
      <c r="B147" s="128"/>
      <c r="C147" s="142" t="s">
        <v>1107</v>
      </c>
      <c r="E147" s="169">
        <v>173</v>
      </c>
      <c r="Y147" s="135"/>
    </row>
    <row r="148" spans="2:25" x14ac:dyDescent="0.2">
      <c r="B148" s="128"/>
      <c r="C148" s="142"/>
      <c r="Y148" s="135"/>
    </row>
    <row r="149" spans="2:25" x14ac:dyDescent="0.2">
      <c r="B149" s="128"/>
      <c r="Y149" s="135"/>
    </row>
    <row r="150" spans="2:25" x14ac:dyDescent="0.2">
      <c r="B150" s="128"/>
      <c r="E150" s="5" t="s">
        <v>1108</v>
      </c>
      <c r="Y150" s="135"/>
    </row>
    <row r="151" spans="2:25" x14ac:dyDescent="0.2">
      <c r="B151" s="128"/>
      <c r="Y151" s="135"/>
    </row>
    <row r="152" spans="2:25" x14ac:dyDescent="0.2">
      <c r="B152" s="128"/>
      <c r="E152" s="5" t="s">
        <v>881</v>
      </c>
      <c r="F152" s="5" t="s">
        <v>1109</v>
      </c>
      <c r="G152" s="5" t="s">
        <v>1109</v>
      </c>
      <c r="H152" s="5" t="s">
        <v>1109</v>
      </c>
      <c r="Y152" s="135"/>
    </row>
    <row r="153" spans="2:25" x14ac:dyDescent="0.2">
      <c r="B153" s="128"/>
      <c r="F153" s="5" t="s">
        <v>1110</v>
      </c>
      <c r="G153" s="5" t="s">
        <v>1111</v>
      </c>
      <c r="H153" s="5" t="s">
        <v>1112</v>
      </c>
      <c r="Y153" s="135"/>
    </row>
    <row r="154" spans="2:25" x14ac:dyDescent="0.2">
      <c r="B154" s="128"/>
      <c r="E154" s="5" t="s">
        <v>1113</v>
      </c>
      <c r="F154" s="164">
        <v>3379</v>
      </c>
      <c r="G154" s="164">
        <v>3479</v>
      </c>
      <c r="H154" s="164">
        <v>3545</v>
      </c>
      <c r="K154" s="164"/>
      <c r="L154" s="164"/>
      <c r="M154" s="164"/>
      <c r="N154" s="164"/>
      <c r="Y154" s="135"/>
    </row>
    <row r="155" spans="2:25" x14ac:dyDescent="0.2">
      <c r="B155" s="128"/>
      <c r="E155" s="5" t="s">
        <v>1114</v>
      </c>
      <c r="F155" s="164">
        <v>3320</v>
      </c>
      <c r="G155" s="164">
        <v>3401</v>
      </c>
      <c r="H155" s="164">
        <v>3451</v>
      </c>
      <c r="K155" s="164"/>
      <c r="L155" s="164"/>
      <c r="M155" s="164"/>
      <c r="N155" s="164"/>
      <c r="Y155" s="135"/>
    </row>
    <row r="156" spans="2:25" x14ac:dyDescent="0.2">
      <c r="B156" s="128"/>
      <c r="E156" s="5" t="s">
        <v>1115</v>
      </c>
      <c r="F156" s="164">
        <v>3003</v>
      </c>
      <c r="G156" s="164">
        <v>3091</v>
      </c>
      <c r="H156" s="164">
        <v>3148</v>
      </c>
      <c r="K156" s="164"/>
      <c r="L156" s="164"/>
      <c r="M156" s="164"/>
      <c r="N156" s="164"/>
      <c r="Y156" s="135"/>
    </row>
    <row r="157" spans="2:25" x14ac:dyDescent="0.2">
      <c r="B157" s="128"/>
      <c r="E157" s="5" t="s">
        <v>1116</v>
      </c>
      <c r="F157" s="164">
        <v>2565</v>
      </c>
      <c r="G157" s="164">
        <v>2638</v>
      </c>
      <c r="H157" s="164">
        <v>2685</v>
      </c>
      <c r="K157" s="164"/>
      <c r="L157" s="164"/>
      <c r="M157" s="164"/>
      <c r="N157" s="164"/>
      <c r="Y157" s="135"/>
    </row>
    <row r="158" spans="2:25" x14ac:dyDescent="0.2">
      <c r="B158" s="128"/>
      <c r="E158" s="5" t="s">
        <v>1117</v>
      </c>
      <c r="F158" s="164">
        <v>2315</v>
      </c>
      <c r="G158" s="164">
        <v>2379</v>
      </c>
      <c r="H158" s="164">
        <v>2420</v>
      </c>
      <c r="K158" s="164"/>
      <c r="L158" s="164"/>
      <c r="M158" s="164"/>
      <c r="N158" s="164"/>
      <c r="Y158" s="135"/>
    </row>
    <row r="159" spans="2:25" x14ac:dyDescent="0.2">
      <c r="B159" s="128"/>
      <c r="E159" s="762" t="s">
        <v>1118</v>
      </c>
      <c r="F159" s="766">
        <v>2128</v>
      </c>
      <c r="G159" s="764">
        <v>2184</v>
      </c>
      <c r="H159" s="765">
        <v>2222</v>
      </c>
      <c r="K159" s="164"/>
      <c r="L159" s="164"/>
      <c r="M159" s="164"/>
      <c r="N159" s="164"/>
      <c r="Y159" s="135"/>
    </row>
    <row r="160" spans="2:25" x14ac:dyDescent="0.2">
      <c r="B160" s="128"/>
      <c r="E160" s="5" t="s">
        <v>1119</v>
      </c>
      <c r="F160" s="164">
        <v>2003</v>
      </c>
      <c r="G160" s="164">
        <v>2055</v>
      </c>
      <c r="H160" s="164">
        <v>2090</v>
      </c>
      <c r="K160" s="164"/>
      <c r="L160" s="164"/>
      <c r="M160" s="164"/>
      <c r="N160" s="164"/>
      <c r="Y160" s="135"/>
    </row>
    <row r="161" spans="2:25" x14ac:dyDescent="0.2">
      <c r="B161" s="128"/>
      <c r="E161" s="762" t="s">
        <v>1120</v>
      </c>
      <c r="F161" s="766">
        <v>1878</v>
      </c>
      <c r="G161" s="764">
        <v>1925</v>
      </c>
      <c r="H161" s="765">
        <v>1957</v>
      </c>
      <c r="Y161" s="135"/>
    </row>
    <row r="162" spans="2:25" x14ac:dyDescent="0.2">
      <c r="B162" s="128"/>
      <c r="E162" s="5" t="s">
        <v>1121</v>
      </c>
      <c r="F162" s="164">
        <v>1753</v>
      </c>
      <c r="G162" s="164">
        <v>1797</v>
      </c>
      <c r="H162" s="164">
        <v>1825</v>
      </c>
      <c r="Y162" s="135"/>
    </row>
    <row r="163" spans="2:25" x14ac:dyDescent="0.2">
      <c r="B163" s="128"/>
      <c r="Y163" s="135"/>
    </row>
    <row r="164" spans="2:25" x14ac:dyDescent="0.2">
      <c r="B164" s="128"/>
      <c r="Y164" s="135"/>
    </row>
    <row r="165" spans="2:25" x14ac:dyDescent="0.2">
      <c r="B165" s="128"/>
      <c r="F165" s="5" t="s">
        <v>881</v>
      </c>
      <c r="Y165" s="135"/>
    </row>
    <row r="166" spans="2:25" x14ac:dyDescent="0.2">
      <c r="B166" s="128"/>
      <c r="C166" s="169" t="s">
        <v>1131</v>
      </c>
      <c r="D166" s="5">
        <v>11</v>
      </c>
      <c r="E166" s="5" t="s">
        <v>1133</v>
      </c>
      <c r="F166" s="5" t="s">
        <v>1134</v>
      </c>
      <c r="Y166" s="135"/>
    </row>
    <row r="167" spans="2:25" x14ac:dyDescent="0.2">
      <c r="B167" s="128"/>
      <c r="D167" s="5">
        <v>5</v>
      </c>
      <c r="E167" s="5" t="s">
        <v>1136</v>
      </c>
      <c r="F167" s="5" t="s">
        <v>1135</v>
      </c>
      <c r="Y167" s="135"/>
    </row>
    <row r="168" spans="2:25" x14ac:dyDescent="0.2">
      <c r="B168" s="128"/>
      <c r="Y168" s="135"/>
    </row>
    <row r="169" spans="2:25" x14ac:dyDescent="0.2">
      <c r="B169" s="128"/>
      <c r="Y169" s="135"/>
    </row>
    <row r="170" spans="2:25" x14ac:dyDescent="0.2">
      <c r="B170" s="128"/>
      <c r="C170" s="87" t="s">
        <v>1124</v>
      </c>
      <c r="E170" s="880">
        <v>2025</v>
      </c>
      <c r="F170" s="873"/>
      <c r="G170" s="873"/>
      <c r="H170" s="873"/>
      <c r="I170" s="874"/>
      <c r="J170" s="880">
        <v>2026</v>
      </c>
      <c r="K170" s="873"/>
      <c r="L170" s="873"/>
      <c r="M170" s="873"/>
      <c r="N170" s="873"/>
      <c r="O170" s="880">
        <v>2027</v>
      </c>
      <c r="P170" s="873"/>
      <c r="Q170" s="873"/>
      <c r="R170" s="873"/>
      <c r="S170" s="874"/>
      <c r="T170" s="873">
        <v>2027</v>
      </c>
      <c r="U170" s="873"/>
      <c r="V170" s="873"/>
      <c r="W170" s="873"/>
      <c r="X170" s="874"/>
      <c r="Y170" s="135"/>
    </row>
    <row r="171" spans="2:25" x14ac:dyDescent="0.2">
      <c r="B171" s="128"/>
      <c r="C171" s="179" t="s">
        <v>1125</v>
      </c>
      <c r="D171" s="159"/>
      <c r="E171" s="878" t="str">
        <f>E166</f>
        <v>Operaio</v>
      </c>
      <c r="F171" s="879"/>
      <c r="G171" s="875" t="s">
        <v>1137</v>
      </c>
      <c r="H171" s="875"/>
      <c r="I171" s="876" t="s">
        <v>147</v>
      </c>
      <c r="J171" s="878" t="str">
        <f>E171</f>
        <v>Operaio</v>
      </c>
      <c r="K171" s="875"/>
      <c r="L171" s="878" t="str">
        <f>G171</f>
        <v>Operai con spec.</v>
      </c>
      <c r="M171" s="879"/>
      <c r="N171" s="876" t="s">
        <v>147</v>
      </c>
      <c r="O171" s="875" t="str">
        <f>J171</f>
        <v>Operaio</v>
      </c>
      <c r="P171" s="875"/>
      <c r="Q171" s="878" t="str">
        <f>L171</f>
        <v>Operai con spec.</v>
      </c>
      <c r="R171" s="879"/>
      <c r="S171" s="876" t="s">
        <v>147</v>
      </c>
      <c r="T171" s="875" t="str">
        <f>O171</f>
        <v>Operaio</v>
      </c>
      <c r="U171" s="875"/>
      <c r="V171" s="878" t="str">
        <f>Q171</f>
        <v>Operai con spec.</v>
      </c>
      <c r="W171" s="879"/>
      <c r="X171" s="876" t="s">
        <v>147</v>
      </c>
      <c r="Y171" s="135"/>
    </row>
    <row r="172" spans="2:25" x14ac:dyDescent="0.2">
      <c r="B172" s="128"/>
      <c r="C172" s="180" t="s">
        <v>1132</v>
      </c>
      <c r="D172" s="181"/>
      <c r="E172" s="182" t="s">
        <v>1128</v>
      </c>
      <c r="F172" s="183" t="s">
        <v>148</v>
      </c>
      <c r="G172" s="184" t="s">
        <v>1128</v>
      </c>
      <c r="H172" s="184" t="s">
        <v>148</v>
      </c>
      <c r="I172" s="877"/>
      <c r="J172" s="182" t="s">
        <v>1128</v>
      </c>
      <c r="K172" s="184" t="s">
        <v>148</v>
      </c>
      <c r="L172" s="182" t="s">
        <v>1128</v>
      </c>
      <c r="M172" s="183" t="s">
        <v>148</v>
      </c>
      <c r="N172" s="877"/>
      <c r="O172" s="184" t="s">
        <v>1128</v>
      </c>
      <c r="P172" s="184" t="s">
        <v>148</v>
      </c>
      <c r="Q172" s="182" t="s">
        <v>1128</v>
      </c>
      <c r="R172" s="183" t="s">
        <v>148</v>
      </c>
      <c r="S172" s="877"/>
      <c r="T172" s="184" t="s">
        <v>1128</v>
      </c>
      <c r="U172" s="184" t="s">
        <v>148</v>
      </c>
      <c r="V172" s="182" t="s">
        <v>1128</v>
      </c>
      <c r="W172" s="183" t="s">
        <v>148</v>
      </c>
      <c r="X172" s="877"/>
      <c r="Y172" s="135"/>
    </row>
    <row r="173" spans="2:25" x14ac:dyDescent="0.2">
      <c r="B173" s="128"/>
      <c r="C173" s="89" t="s">
        <v>1129</v>
      </c>
      <c r="E173" s="168">
        <f>F161*12</f>
        <v>22536</v>
      </c>
      <c r="F173" s="165">
        <f>E173*$D$166</f>
        <v>247896</v>
      </c>
      <c r="G173" s="164">
        <f>F159*12</f>
        <v>25536</v>
      </c>
      <c r="H173" s="164">
        <f>G173*$D$167</f>
        <v>127680</v>
      </c>
      <c r="I173" s="185">
        <f>H173+F173</f>
        <v>375576</v>
      </c>
      <c r="J173" s="168">
        <f>G161*12</f>
        <v>23100</v>
      </c>
      <c r="K173" s="164">
        <f>J173*$D$166</f>
        <v>254100</v>
      </c>
      <c r="L173" s="168">
        <f>G159*12</f>
        <v>26208</v>
      </c>
      <c r="M173" s="165">
        <f>L173*$D$167</f>
        <v>131040</v>
      </c>
      <c r="N173" s="185">
        <f>M173+K173</f>
        <v>385140</v>
      </c>
      <c r="O173" s="164">
        <f>H161*12</f>
        <v>23484</v>
      </c>
      <c r="P173" s="164">
        <f>O173*$D$166</f>
        <v>258324</v>
      </c>
      <c r="Q173" s="168">
        <f>H159*12</f>
        <v>26664</v>
      </c>
      <c r="R173" s="165">
        <f>Q173*$D$167</f>
        <v>133320</v>
      </c>
      <c r="S173" s="185">
        <f>R173+P173</f>
        <v>391644</v>
      </c>
      <c r="T173" s="164">
        <f>O173</f>
        <v>23484</v>
      </c>
      <c r="U173" s="164">
        <f>T173*$D$166</f>
        <v>258324</v>
      </c>
      <c r="V173" s="168">
        <f>Q173</f>
        <v>26664</v>
      </c>
      <c r="W173" s="165">
        <f>V173*$D$167</f>
        <v>133320</v>
      </c>
      <c r="X173" s="185">
        <f>W173+U173</f>
        <v>391644</v>
      </c>
      <c r="Y173" s="135"/>
    </row>
    <row r="174" spans="2:25" x14ac:dyDescent="0.2">
      <c r="B174" s="128"/>
      <c r="C174" s="89" t="s">
        <v>1130</v>
      </c>
      <c r="E174" s="168">
        <f>E173*$E$77</f>
        <v>6242.4720000000007</v>
      </c>
      <c r="F174" s="165">
        <f t="shared" ref="F174:F176" si="23">E174*$D$166</f>
        <v>68667.19200000001</v>
      </c>
      <c r="G174" s="164">
        <f>G173*$E$77</f>
        <v>7073.4720000000007</v>
      </c>
      <c r="H174" s="164">
        <f t="shared" ref="H174:H176" si="24">G174*$D$167</f>
        <v>35367.360000000001</v>
      </c>
      <c r="I174" s="185">
        <f t="shared" ref="I174:I176" si="25">H174+F174</f>
        <v>104034.55200000001</v>
      </c>
      <c r="J174" s="168">
        <f>J173*$E$77</f>
        <v>6398.7000000000007</v>
      </c>
      <c r="K174" s="164">
        <f t="shared" ref="K174:K176" si="26">J174*$D$166</f>
        <v>70385.700000000012</v>
      </c>
      <c r="L174" s="168">
        <f>L173*$E$77</f>
        <v>7259.6160000000009</v>
      </c>
      <c r="M174" s="165">
        <f t="shared" ref="M174:M176" si="27">L174*$D$167</f>
        <v>36298.080000000002</v>
      </c>
      <c r="N174" s="185">
        <f t="shared" ref="N174:N176" si="28">M174+K174</f>
        <v>106683.78000000001</v>
      </c>
      <c r="O174" s="164">
        <f>O173*$E$77</f>
        <v>6505.0680000000002</v>
      </c>
      <c r="P174" s="164">
        <f t="shared" ref="P174:P176" si="29">O174*$D$166</f>
        <v>71555.748000000007</v>
      </c>
      <c r="Q174" s="168">
        <f>Q173*$E$77</f>
        <v>7385.9280000000008</v>
      </c>
      <c r="R174" s="165">
        <f t="shared" ref="R174:R176" si="30">Q174*$D$167</f>
        <v>36929.640000000007</v>
      </c>
      <c r="S174" s="185">
        <f t="shared" ref="S174:S176" si="31">R174+P174</f>
        <v>108485.38800000001</v>
      </c>
      <c r="T174" s="164">
        <f>T173*$E$77</f>
        <v>6505.0680000000002</v>
      </c>
      <c r="U174" s="164">
        <f>T174*$D$166</f>
        <v>71555.748000000007</v>
      </c>
      <c r="V174" s="168">
        <f>V173*$E$77</f>
        <v>7385.9280000000008</v>
      </c>
      <c r="W174" s="165">
        <f t="shared" ref="W174:W176" si="32">V174*$D$167</f>
        <v>36929.640000000007</v>
      </c>
      <c r="X174" s="185">
        <f t="shared" ref="X174:X176" si="33">W174+U174</f>
        <v>108485.38800000001</v>
      </c>
      <c r="Y174" s="135"/>
    </row>
    <row r="175" spans="2:25" x14ac:dyDescent="0.2">
      <c r="B175" s="128"/>
      <c r="C175" s="89" t="s">
        <v>295</v>
      </c>
      <c r="E175" s="168">
        <f>E173/$E$78</f>
        <v>1482.6315789473686</v>
      </c>
      <c r="F175" s="165">
        <f t="shared" si="23"/>
        <v>16308.947368421053</v>
      </c>
      <c r="G175" s="164">
        <f>G173/$E$78</f>
        <v>1680</v>
      </c>
      <c r="H175" s="164">
        <f t="shared" si="24"/>
        <v>8400</v>
      </c>
      <c r="I175" s="185">
        <f t="shared" si="25"/>
        <v>24708.947368421053</v>
      </c>
      <c r="J175" s="168">
        <f>J173/$E$78</f>
        <v>1519.7368421052631</v>
      </c>
      <c r="K175" s="164">
        <f t="shared" si="26"/>
        <v>16717.105263157893</v>
      </c>
      <c r="L175" s="168">
        <f>L173/$E$78</f>
        <v>1724.2105263157896</v>
      </c>
      <c r="M175" s="165">
        <f t="shared" si="27"/>
        <v>8621.0526315789484</v>
      </c>
      <c r="N175" s="185">
        <f t="shared" si="28"/>
        <v>25338.15789473684</v>
      </c>
      <c r="O175" s="164">
        <f>O173/$E$78</f>
        <v>1545</v>
      </c>
      <c r="P175" s="164">
        <f t="shared" si="29"/>
        <v>16995</v>
      </c>
      <c r="Q175" s="168">
        <f>Q173/$E$78</f>
        <v>1754.2105263157896</v>
      </c>
      <c r="R175" s="165">
        <f t="shared" si="30"/>
        <v>8771.0526315789484</v>
      </c>
      <c r="S175" s="185">
        <f t="shared" si="31"/>
        <v>25766.052631578947</v>
      </c>
      <c r="T175" s="164">
        <f>T173/$E$78</f>
        <v>1545</v>
      </c>
      <c r="U175" s="164">
        <f t="shared" ref="U175:U176" si="34">T175*$D$166</f>
        <v>16995</v>
      </c>
      <c r="V175" s="168">
        <f>V173/$E$78</f>
        <v>1754.2105263157896</v>
      </c>
      <c r="W175" s="165">
        <f>V175*$D$167</f>
        <v>8771.0526315789484</v>
      </c>
      <c r="X175" s="185">
        <f t="shared" si="33"/>
        <v>25766.052631578947</v>
      </c>
      <c r="Y175" s="135"/>
    </row>
    <row r="176" spans="2:25" x14ac:dyDescent="0.2">
      <c r="B176" s="128"/>
      <c r="C176" s="90" t="s">
        <v>1091</v>
      </c>
      <c r="D176" s="181"/>
      <c r="E176" s="173">
        <f>E173*$E$80</f>
        <v>112.68</v>
      </c>
      <c r="F176" s="167">
        <f t="shared" si="23"/>
        <v>1239.48</v>
      </c>
      <c r="G176" s="166">
        <f>G173*$E$80</f>
        <v>127.68</v>
      </c>
      <c r="H176" s="166">
        <f t="shared" si="24"/>
        <v>638.40000000000009</v>
      </c>
      <c r="I176" s="186">
        <f t="shared" si="25"/>
        <v>1877.88</v>
      </c>
      <c r="J176" s="173">
        <f>J173*$E$80</f>
        <v>115.5</v>
      </c>
      <c r="K176" s="166">
        <f t="shared" si="26"/>
        <v>1270.5</v>
      </c>
      <c r="L176" s="173">
        <f>L173*$E$80</f>
        <v>131.04</v>
      </c>
      <c r="M176" s="167">
        <f t="shared" si="27"/>
        <v>655.19999999999993</v>
      </c>
      <c r="N176" s="186">
        <f t="shared" si="28"/>
        <v>1925.6999999999998</v>
      </c>
      <c r="O176" s="166">
        <f>O173*$E$80</f>
        <v>117.42</v>
      </c>
      <c r="P176" s="166">
        <f t="shared" si="29"/>
        <v>1291.6200000000001</v>
      </c>
      <c r="Q176" s="173">
        <f>Q173*$E$80</f>
        <v>133.32</v>
      </c>
      <c r="R176" s="167">
        <f t="shared" si="30"/>
        <v>666.59999999999991</v>
      </c>
      <c r="S176" s="186">
        <f t="shared" si="31"/>
        <v>1958.22</v>
      </c>
      <c r="T176" s="166">
        <f>T173*$E$80</f>
        <v>117.42</v>
      </c>
      <c r="U176" s="166">
        <f t="shared" si="34"/>
        <v>1291.6200000000001</v>
      </c>
      <c r="V176" s="173">
        <f>V173*$E$80</f>
        <v>133.32</v>
      </c>
      <c r="W176" s="167">
        <f t="shared" si="32"/>
        <v>666.59999999999991</v>
      </c>
      <c r="X176" s="186">
        <f t="shared" si="33"/>
        <v>1958.22</v>
      </c>
      <c r="Y176" s="135"/>
    </row>
    <row r="177" spans="2:25" x14ac:dyDescent="0.2">
      <c r="B177" s="128"/>
      <c r="I177" s="88">
        <f>SUM(I173:I176)</f>
        <v>506197.3793684211</v>
      </c>
      <c r="N177" s="88">
        <f>SUM(N173:N176)</f>
        <v>519087.63789473689</v>
      </c>
      <c r="S177" s="88">
        <f>SUM(S173:S176)</f>
        <v>527853.660631579</v>
      </c>
      <c r="X177" s="88">
        <f>SUM(X173:X176)</f>
        <v>527853.660631579</v>
      </c>
      <c r="Y177" s="135"/>
    </row>
    <row r="178" spans="2:25" x14ac:dyDescent="0.2">
      <c r="B178" s="128"/>
      <c r="Y178" s="135"/>
    </row>
    <row r="179" spans="2:25" x14ac:dyDescent="0.2">
      <c r="B179" s="136"/>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37"/>
    </row>
    <row r="182" spans="2:25" x14ac:dyDescent="0.2">
      <c r="B182" s="74"/>
      <c r="C182" s="91"/>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27"/>
    </row>
    <row r="183" spans="2:25" x14ac:dyDescent="0.2">
      <c r="B183" s="128"/>
      <c r="C183" s="87" t="s">
        <v>1098</v>
      </c>
      <c r="D183" s="4"/>
      <c r="E183" s="87" t="s">
        <v>1140</v>
      </c>
      <c r="Y183" s="135"/>
    </row>
    <row r="184" spans="2:25" x14ac:dyDescent="0.2">
      <c r="B184" s="128"/>
      <c r="C184" s="142" t="s">
        <v>1100</v>
      </c>
      <c r="E184" s="169">
        <v>6</v>
      </c>
      <c r="Y184" s="135"/>
    </row>
    <row r="185" spans="2:25" x14ac:dyDescent="0.2">
      <c r="B185" s="128"/>
      <c r="C185" s="142" t="s">
        <v>1101</v>
      </c>
      <c r="E185" s="169" t="s">
        <v>1143</v>
      </c>
      <c r="Y185" s="135"/>
    </row>
    <row r="186" spans="2:25" x14ac:dyDescent="0.2">
      <c r="B186" s="128"/>
      <c r="C186" s="142" t="s">
        <v>1102</v>
      </c>
      <c r="E186" s="169" t="s">
        <v>913</v>
      </c>
      <c r="Y186" s="135"/>
    </row>
    <row r="187" spans="2:25" x14ac:dyDescent="0.2">
      <c r="B187" s="128"/>
      <c r="E187" s="5" t="s">
        <v>1142</v>
      </c>
      <c r="Y187" s="135"/>
    </row>
    <row r="188" spans="2:25" x14ac:dyDescent="0.2">
      <c r="B188" s="128"/>
      <c r="Y188" s="135"/>
    </row>
    <row r="189" spans="2:25" x14ac:dyDescent="0.2">
      <c r="B189" s="128"/>
      <c r="C189" s="142" t="s">
        <v>1123</v>
      </c>
      <c r="E189" s="169">
        <v>14</v>
      </c>
      <c r="Y189" s="135"/>
    </row>
    <row r="190" spans="2:25" x14ac:dyDescent="0.2">
      <c r="B190" s="128"/>
      <c r="C190" s="142" t="s">
        <v>1105</v>
      </c>
      <c r="E190" s="5" t="s">
        <v>1106</v>
      </c>
      <c r="Y190" s="135"/>
    </row>
    <row r="191" spans="2:25" x14ac:dyDescent="0.2">
      <c r="B191" s="128"/>
      <c r="C191" s="142" t="s">
        <v>1107</v>
      </c>
      <c r="E191" s="169">
        <v>173</v>
      </c>
      <c r="Y191" s="135"/>
    </row>
    <row r="192" spans="2:25" x14ac:dyDescent="0.2">
      <c r="B192" s="128"/>
      <c r="C192" s="142"/>
      <c r="Y192" s="135"/>
    </row>
    <row r="193" spans="2:25" x14ac:dyDescent="0.2">
      <c r="B193" s="128"/>
      <c r="Y193" s="135"/>
    </row>
    <row r="194" spans="2:25" x14ac:dyDescent="0.2">
      <c r="B194" s="128"/>
      <c r="E194" s="5" t="s">
        <v>1145</v>
      </c>
      <c r="Y194" s="135"/>
    </row>
    <row r="195" spans="2:25" x14ac:dyDescent="0.2">
      <c r="B195" s="128"/>
      <c r="Y195" s="135"/>
    </row>
    <row r="196" spans="2:25" x14ac:dyDescent="0.2">
      <c r="B196" s="128"/>
      <c r="E196" s="5" t="s">
        <v>1146</v>
      </c>
      <c r="F196" s="5" t="s">
        <v>1147</v>
      </c>
      <c r="G196" s="5" t="s">
        <v>1147</v>
      </c>
      <c r="H196" s="5" t="s">
        <v>1109</v>
      </c>
      <c r="Y196" s="135"/>
    </row>
    <row r="197" spans="2:25" x14ac:dyDescent="0.2">
      <c r="B197" s="128"/>
      <c r="F197" s="187">
        <v>45931</v>
      </c>
      <c r="G197" s="187">
        <v>46023</v>
      </c>
      <c r="H197" s="169" t="s">
        <v>1112</v>
      </c>
      <c r="Y197" s="135"/>
    </row>
    <row r="198" spans="2:25" x14ac:dyDescent="0.2">
      <c r="B198" s="128"/>
      <c r="E198" s="5" t="s">
        <v>1113</v>
      </c>
      <c r="F198" s="164">
        <v>2537</v>
      </c>
      <c r="G198" s="164">
        <v>2589</v>
      </c>
      <c r="H198" s="164">
        <v>3545</v>
      </c>
      <c r="K198" s="164"/>
      <c r="L198" s="164"/>
      <c r="M198" s="164"/>
      <c r="N198" s="164"/>
      <c r="Y198" s="135"/>
    </row>
    <row r="199" spans="2:25" x14ac:dyDescent="0.2">
      <c r="B199" s="128"/>
      <c r="E199" s="5" t="s">
        <v>1114</v>
      </c>
      <c r="F199" s="164">
        <v>2376</v>
      </c>
      <c r="G199" s="164">
        <v>2425</v>
      </c>
      <c r="H199" s="164">
        <v>3451</v>
      </c>
      <c r="K199" s="164"/>
      <c r="L199" s="164"/>
      <c r="M199" s="164"/>
      <c r="N199" s="164"/>
      <c r="Y199" s="135"/>
    </row>
    <row r="200" spans="2:25" x14ac:dyDescent="0.2">
      <c r="B200" s="128"/>
      <c r="E200" s="5" t="s">
        <v>1115</v>
      </c>
      <c r="F200" s="164">
        <v>2186</v>
      </c>
      <c r="G200" s="164">
        <v>2231</v>
      </c>
      <c r="H200" s="164">
        <v>3148</v>
      </c>
      <c r="K200" s="164"/>
      <c r="L200" s="164"/>
      <c r="M200" s="164"/>
      <c r="N200" s="164"/>
      <c r="Y200" s="135"/>
    </row>
    <row r="201" spans="2:25" x14ac:dyDescent="0.2">
      <c r="B201" s="128"/>
      <c r="E201" s="5" t="s">
        <v>1148</v>
      </c>
      <c r="F201" s="164">
        <v>1992</v>
      </c>
      <c r="G201" s="164">
        <v>2032</v>
      </c>
      <c r="H201" s="164">
        <v>2685</v>
      </c>
      <c r="K201" s="164"/>
      <c r="L201" s="164"/>
      <c r="M201" s="164"/>
      <c r="N201" s="164"/>
      <c r="Y201" s="135"/>
    </row>
    <row r="202" spans="2:25" x14ac:dyDescent="0.2">
      <c r="B202" s="128"/>
      <c r="E202" s="762" t="s">
        <v>1116</v>
      </c>
      <c r="F202" s="766">
        <v>1919</v>
      </c>
      <c r="G202" s="764">
        <v>1958</v>
      </c>
      <c r="H202" s="765">
        <v>2420</v>
      </c>
      <c r="K202" s="164"/>
      <c r="L202" s="164"/>
      <c r="M202" s="164"/>
      <c r="N202" s="164"/>
      <c r="Y202" s="135"/>
    </row>
    <row r="203" spans="2:25" x14ac:dyDescent="0.2">
      <c r="B203" s="128"/>
      <c r="E203" s="762" t="s">
        <v>1117</v>
      </c>
      <c r="F203" s="766">
        <v>1858</v>
      </c>
      <c r="G203" s="764">
        <v>1896</v>
      </c>
      <c r="H203" s="765">
        <v>2222</v>
      </c>
      <c r="K203" s="164"/>
      <c r="L203" s="164"/>
      <c r="M203" s="164"/>
      <c r="N203" s="164"/>
      <c r="Y203" s="135"/>
    </row>
    <row r="204" spans="2:25" x14ac:dyDescent="0.2">
      <c r="B204" s="128"/>
      <c r="E204" s="5" t="s">
        <v>1118</v>
      </c>
      <c r="F204" s="164">
        <v>1736</v>
      </c>
      <c r="G204" s="164">
        <v>1771</v>
      </c>
      <c r="H204" s="164">
        <v>2090</v>
      </c>
      <c r="K204" s="164"/>
      <c r="L204" s="164"/>
      <c r="M204" s="164"/>
      <c r="N204" s="164"/>
      <c r="Y204" s="135"/>
    </row>
    <row r="205" spans="2:25" x14ac:dyDescent="0.2">
      <c r="B205" s="128"/>
      <c r="E205" s="5" t="s">
        <v>1119</v>
      </c>
      <c r="F205" s="164">
        <v>1624</v>
      </c>
      <c r="G205" s="164">
        <v>1657</v>
      </c>
      <c r="H205" s="164">
        <v>1957</v>
      </c>
      <c r="Y205" s="135"/>
    </row>
    <row r="206" spans="2:25" x14ac:dyDescent="0.2">
      <c r="B206" s="128"/>
      <c r="E206" s="5" t="s">
        <v>1120</v>
      </c>
      <c r="F206" s="164">
        <v>1473</v>
      </c>
      <c r="G206" s="188" t="s">
        <v>1149</v>
      </c>
      <c r="H206" s="164">
        <v>1825</v>
      </c>
      <c r="Y206" s="135"/>
    </row>
    <row r="207" spans="2:25" x14ac:dyDescent="0.2">
      <c r="B207" s="128"/>
      <c r="Y207" s="135"/>
    </row>
    <row r="208" spans="2:25" x14ac:dyDescent="0.2">
      <c r="B208" s="128"/>
      <c r="Y208" s="135"/>
    </row>
    <row r="209" spans="2:25" x14ac:dyDescent="0.2">
      <c r="B209" s="128"/>
      <c r="F209" s="5" t="s">
        <v>881</v>
      </c>
      <c r="Y209" s="135"/>
    </row>
    <row r="210" spans="2:25" x14ac:dyDescent="0.2">
      <c r="B210" s="128"/>
      <c r="C210" s="169" t="s">
        <v>1131</v>
      </c>
      <c r="D210" s="5">
        <v>4</v>
      </c>
      <c r="E210" s="5" t="s">
        <v>1141</v>
      </c>
      <c r="F210" s="5" t="s">
        <v>1152</v>
      </c>
      <c r="Y210" s="135"/>
    </row>
    <row r="211" spans="2:25" x14ac:dyDescent="0.2">
      <c r="B211" s="128"/>
      <c r="D211" s="5">
        <v>2</v>
      </c>
      <c r="E211" s="5" t="s">
        <v>1144</v>
      </c>
      <c r="F211" s="5" t="s">
        <v>1151</v>
      </c>
      <c r="Y211" s="135"/>
    </row>
    <row r="212" spans="2:25" x14ac:dyDescent="0.2">
      <c r="B212" s="128"/>
      <c r="Y212" s="135"/>
    </row>
    <row r="213" spans="2:25" x14ac:dyDescent="0.2">
      <c r="B213" s="128"/>
      <c r="Y213" s="135"/>
    </row>
    <row r="214" spans="2:25" x14ac:dyDescent="0.2">
      <c r="B214" s="128"/>
      <c r="C214" s="87" t="s">
        <v>1124</v>
      </c>
      <c r="E214" s="880">
        <v>2025</v>
      </c>
      <c r="F214" s="873"/>
      <c r="G214" s="873"/>
      <c r="H214" s="873"/>
      <c r="I214" s="874"/>
      <c r="J214" s="880">
        <v>2026</v>
      </c>
      <c r="K214" s="873"/>
      <c r="L214" s="873"/>
      <c r="M214" s="873"/>
      <c r="N214" s="873"/>
      <c r="O214" s="880">
        <v>2027</v>
      </c>
      <c r="P214" s="873"/>
      <c r="Q214" s="873"/>
      <c r="R214" s="873"/>
      <c r="S214" s="874"/>
      <c r="T214" s="873">
        <v>2027</v>
      </c>
      <c r="U214" s="873"/>
      <c r="V214" s="873"/>
      <c r="W214" s="873"/>
      <c r="X214" s="874"/>
      <c r="Y214" s="135"/>
    </row>
    <row r="215" spans="2:25" x14ac:dyDescent="0.2">
      <c r="B215" s="128"/>
      <c r="C215" s="179" t="s">
        <v>1125</v>
      </c>
      <c r="D215" s="159"/>
      <c r="E215" s="878" t="str">
        <f>E210</f>
        <v>Addetto al magazzino</v>
      </c>
      <c r="F215" s="879"/>
      <c r="G215" s="875" t="str">
        <f>E211</f>
        <v>Camionisti</v>
      </c>
      <c r="H215" s="875"/>
      <c r="I215" s="876" t="s">
        <v>147</v>
      </c>
      <c r="J215" s="878" t="str">
        <f>E215</f>
        <v>Addetto al magazzino</v>
      </c>
      <c r="K215" s="875"/>
      <c r="L215" s="878" t="str">
        <f>G215</f>
        <v>Camionisti</v>
      </c>
      <c r="M215" s="879"/>
      <c r="N215" s="876" t="s">
        <v>147</v>
      </c>
      <c r="O215" s="875" t="str">
        <f>J215</f>
        <v>Addetto al magazzino</v>
      </c>
      <c r="P215" s="875"/>
      <c r="Q215" s="878" t="str">
        <f>L215</f>
        <v>Camionisti</v>
      </c>
      <c r="R215" s="879"/>
      <c r="S215" s="876" t="s">
        <v>147</v>
      </c>
      <c r="T215" s="875" t="str">
        <f>O215</f>
        <v>Addetto al magazzino</v>
      </c>
      <c r="U215" s="875"/>
      <c r="V215" s="878" t="str">
        <f>Q215</f>
        <v>Camionisti</v>
      </c>
      <c r="W215" s="879"/>
      <c r="X215" s="876" t="s">
        <v>147</v>
      </c>
      <c r="Y215" s="135"/>
    </row>
    <row r="216" spans="2:25" x14ac:dyDescent="0.2">
      <c r="B216" s="128"/>
      <c r="C216" s="180" t="s">
        <v>1132</v>
      </c>
      <c r="D216" s="181"/>
      <c r="E216" s="182" t="s">
        <v>1128</v>
      </c>
      <c r="F216" s="183" t="s">
        <v>148</v>
      </c>
      <c r="G216" s="184" t="s">
        <v>1128</v>
      </c>
      <c r="H216" s="184" t="s">
        <v>148</v>
      </c>
      <c r="I216" s="877"/>
      <c r="J216" s="182" t="s">
        <v>1128</v>
      </c>
      <c r="K216" s="184" t="s">
        <v>148</v>
      </c>
      <c r="L216" s="182" t="s">
        <v>1128</v>
      </c>
      <c r="M216" s="183" t="s">
        <v>148</v>
      </c>
      <c r="N216" s="877"/>
      <c r="O216" s="184" t="s">
        <v>1128</v>
      </c>
      <c r="P216" s="184" t="s">
        <v>148</v>
      </c>
      <c r="Q216" s="182" t="s">
        <v>1128</v>
      </c>
      <c r="R216" s="183" t="s">
        <v>148</v>
      </c>
      <c r="S216" s="877"/>
      <c r="T216" s="184" t="s">
        <v>1128</v>
      </c>
      <c r="U216" s="184" t="s">
        <v>148</v>
      </c>
      <c r="V216" s="182" t="s">
        <v>1128</v>
      </c>
      <c r="W216" s="183" t="s">
        <v>148</v>
      </c>
      <c r="X216" s="877"/>
      <c r="Y216" s="135"/>
    </row>
    <row r="217" spans="2:25" x14ac:dyDescent="0.2">
      <c r="B217" s="128"/>
      <c r="C217" s="89" t="s">
        <v>1129</v>
      </c>
      <c r="E217" s="168">
        <f>F203*12</f>
        <v>22296</v>
      </c>
      <c r="F217" s="165">
        <f>E217*$D$210</f>
        <v>89184</v>
      </c>
      <c r="G217" s="164">
        <f>F202*12</f>
        <v>23028</v>
      </c>
      <c r="H217" s="164">
        <f>G217*$D$211</f>
        <v>46056</v>
      </c>
      <c r="I217" s="185">
        <f>H217+F217</f>
        <v>135240</v>
      </c>
      <c r="J217" s="168">
        <f>G203*12</f>
        <v>22752</v>
      </c>
      <c r="K217" s="164">
        <f>J217*$D$210</f>
        <v>91008</v>
      </c>
      <c r="L217" s="168">
        <f>G202*12</f>
        <v>23496</v>
      </c>
      <c r="M217" s="165">
        <f>L217*$D$211</f>
        <v>46992</v>
      </c>
      <c r="N217" s="185">
        <f>M217+K217</f>
        <v>138000</v>
      </c>
      <c r="O217" s="164">
        <f>H203*12</f>
        <v>26664</v>
      </c>
      <c r="P217" s="164">
        <f>O217*$D$210</f>
        <v>106656</v>
      </c>
      <c r="Q217" s="168">
        <f>H202*12</f>
        <v>29040</v>
      </c>
      <c r="R217" s="165">
        <f>Q217*$D$211</f>
        <v>58080</v>
      </c>
      <c r="S217" s="185">
        <f>R217+P217</f>
        <v>164736</v>
      </c>
      <c r="T217" s="164">
        <f>O217</f>
        <v>26664</v>
      </c>
      <c r="U217" s="164">
        <f>T217*$D$210</f>
        <v>106656</v>
      </c>
      <c r="V217" s="168">
        <f>Q217</f>
        <v>29040</v>
      </c>
      <c r="W217" s="165">
        <f>V217*$D$211</f>
        <v>58080</v>
      </c>
      <c r="X217" s="185">
        <f>W217+U217</f>
        <v>164736</v>
      </c>
      <c r="Y217" s="135"/>
    </row>
    <row r="218" spans="2:25" x14ac:dyDescent="0.2">
      <c r="B218" s="128"/>
      <c r="C218" s="89" t="s">
        <v>1130</v>
      </c>
      <c r="E218" s="168">
        <f>E217*$E$77</f>
        <v>6175.9920000000002</v>
      </c>
      <c r="F218" s="165">
        <f t="shared" ref="F218:F220" si="35">E218*$D$210</f>
        <v>24703.968000000001</v>
      </c>
      <c r="G218" s="164">
        <f>G217*$E$77</f>
        <v>6378.7560000000003</v>
      </c>
      <c r="H218" s="164">
        <f t="shared" ref="H218:H220" si="36">G218*$D$211</f>
        <v>12757.512000000001</v>
      </c>
      <c r="I218" s="185">
        <f t="shared" ref="I218:I220" si="37">H218+F218</f>
        <v>37461.480000000003</v>
      </c>
      <c r="J218" s="168">
        <f>J217*$E$77</f>
        <v>6302.304000000001</v>
      </c>
      <c r="K218" s="164">
        <f t="shared" ref="K218:K220" si="38">J218*$D$210</f>
        <v>25209.216000000004</v>
      </c>
      <c r="L218" s="168">
        <f>L217*$E$77</f>
        <v>6508.3920000000007</v>
      </c>
      <c r="M218" s="165">
        <f t="shared" ref="M218:M220" si="39">L218*$D$211</f>
        <v>13016.784000000001</v>
      </c>
      <c r="N218" s="185">
        <f t="shared" ref="N218:N220" si="40">M218+K218</f>
        <v>38226.000000000007</v>
      </c>
      <c r="O218" s="164">
        <f>O217*$E$77</f>
        <v>7385.9280000000008</v>
      </c>
      <c r="P218" s="164">
        <f t="shared" ref="P218:P220" si="41">O218*$D$210</f>
        <v>29543.712000000003</v>
      </c>
      <c r="Q218" s="168">
        <f>Q217*$E$77</f>
        <v>8044.0800000000008</v>
      </c>
      <c r="R218" s="165">
        <f t="shared" ref="R218:R220" si="42">Q218*$D$211</f>
        <v>16088.160000000002</v>
      </c>
      <c r="S218" s="185">
        <f t="shared" ref="S218:S220" si="43">R218+P218</f>
        <v>45631.872000000003</v>
      </c>
      <c r="T218" s="164">
        <f>T217*$E$77</f>
        <v>7385.9280000000008</v>
      </c>
      <c r="U218" s="164">
        <f t="shared" ref="U218:U220" si="44">T218*$D$210</f>
        <v>29543.712000000003</v>
      </c>
      <c r="V218" s="168">
        <f>V217*$E$77</f>
        <v>8044.0800000000008</v>
      </c>
      <c r="W218" s="165">
        <f t="shared" ref="W218:W220" si="45">V218*$D$211</f>
        <v>16088.160000000002</v>
      </c>
      <c r="X218" s="185">
        <f t="shared" ref="X218:X220" si="46">W218+U218</f>
        <v>45631.872000000003</v>
      </c>
      <c r="Y218" s="135"/>
    </row>
    <row r="219" spans="2:25" x14ac:dyDescent="0.2">
      <c r="B219" s="128"/>
      <c r="C219" s="89" t="s">
        <v>295</v>
      </c>
      <c r="E219" s="168">
        <f>E217/$E$78</f>
        <v>1466.8421052631579</v>
      </c>
      <c r="F219" s="165">
        <f t="shared" si="35"/>
        <v>5867.3684210526317</v>
      </c>
      <c r="G219" s="164">
        <f>G217/$E$78</f>
        <v>1515</v>
      </c>
      <c r="H219" s="164">
        <f t="shared" si="36"/>
        <v>3030</v>
      </c>
      <c r="I219" s="185">
        <f t="shared" si="37"/>
        <v>8897.3684210526317</v>
      </c>
      <c r="J219" s="168">
        <f>J217/$E$78</f>
        <v>1496.8421052631579</v>
      </c>
      <c r="K219" s="164">
        <f t="shared" si="38"/>
        <v>5987.3684210526317</v>
      </c>
      <c r="L219" s="168">
        <f>L217/$E$78</f>
        <v>1545.7894736842106</v>
      </c>
      <c r="M219" s="165">
        <f t="shared" si="39"/>
        <v>3091.5789473684213</v>
      </c>
      <c r="N219" s="185">
        <f t="shared" si="40"/>
        <v>9078.9473684210534</v>
      </c>
      <c r="O219" s="164">
        <f>O217/$E$78</f>
        <v>1754.2105263157896</v>
      </c>
      <c r="P219" s="164">
        <f t="shared" si="41"/>
        <v>7016.8421052631584</v>
      </c>
      <c r="Q219" s="168">
        <f>Q217/$E$78</f>
        <v>1910.5263157894738</v>
      </c>
      <c r="R219" s="165">
        <f t="shared" si="42"/>
        <v>3821.0526315789475</v>
      </c>
      <c r="S219" s="185">
        <f t="shared" si="43"/>
        <v>10837.894736842107</v>
      </c>
      <c r="T219" s="164">
        <f>T217/$E$78</f>
        <v>1754.2105263157896</v>
      </c>
      <c r="U219" s="164">
        <f t="shared" si="44"/>
        <v>7016.8421052631584</v>
      </c>
      <c r="V219" s="168">
        <f>V217/$E$78</f>
        <v>1910.5263157894738</v>
      </c>
      <c r="W219" s="165">
        <f t="shared" si="45"/>
        <v>3821.0526315789475</v>
      </c>
      <c r="X219" s="185">
        <f t="shared" si="46"/>
        <v>10837.894736842107</v>
      </c>
      <c r="Y219" s="135"/>
    </row>
    <row r="220" spans="2:25" x14ac:dyDescent="0.2">
      <c r="B220" s="128"/>
      <c r="C220" s="90" t="s">
        <v>1091</v>
      </c>
      <c r="D220" s="181"/>
      <c r="E220" s="173">
        <f>E217*$E$80</f>
        <v>111.48</v>
      </c>
      <c r="F220" s="167">
        <f t="shared" si="35"/>
        <v>445.92</v>
      </c>
      <c r="G220" s="166">
        <f>G217*$E$80</f>
        <v>115.14</v>
      </c>
      <c r="H220" s="166">
        <f t="shared" si="36"/>
        <v>230.28</v>
      </c>
      <c r="I220" s="186">
        <f t="shared" si="37"/>
        <v>676.2</v>
      </c>
      <c r="J220" s="173">
        <f>J217*$E$80</f>
        <v>113.76</v>
      </c>
      <c r="K220" s="166">
        <f t="shared" si="38"/>
        <v>455.04</v>
      </c>
      <c r="L220" s="173">
        <f>L217*$E$80</f>
        <v>117.48</v>
      </c>
      <c r="M220" s="167">
        <f t="shared" si="39"/>
        <v>234.96</v>
      </c>
      <c r="N220" s="186">
        <f t="shared" si="40"/>
        <v>690</v>
      </c>
      <c r="O220" s="166">
        <f>O217*$E$80</f>
        <v>133.32</v>
      </c>
      <c r="P220" s="166">
        <f t="shared" si="41"/>
        <v>533.28</v>
      </c>
      <c r="Q220" s="173">
        <f>Q217*$E$80</f>
        <v>145.20000000000002</v>
      </c>
      <c r="R220" s="167">
        <f t="shared" si="42"/>
        <v>290.40000000000003</v>
      </c>
      <c r="S220" s="186">
        <f t="shared" si="43"/>
        <v>823.68000000000006</v>
      </c>
      <c r="T220" s="166">
        <f>T217*$E$80</f>
        <v>133.32</v>
      </c>
      <c r="U220" s="166">
        <f t="shared" si="44"/>
        <v>533.28</v>
      </c>
      <c r="V220" s="173">
        <f>V217*$E$80</f>
        <v>145.20000000000002</v>
      </c>
      <c r="W220" s="167">
        <f t="shared" si="45"/>
        <v>290.40000000000003</v>
      </c>
      <c r="X220" s="186">
        <f t="shared" si="46"/>
        <v>823.68000000000006</v>
      </c>
      <c r="Y220" s="135"/>
    </row>
    <row r="221" spans="2:25" x14ac:dyDescent="0.2">
      <c r="B221" s="128"/>
      <c r="I221" s="88">
        <f>SUM(I217:I220)</f>
        <v>182275.04842105266</v>
      </c>
      <c r="N221" s="88">
        <f>SUM(N217:N220)</f>
        <v>185994.94736842107</v>
      </c>
      <c r="S221" s="88">
        <f>SUM(S217:S220)</f>
        <v>222029.4467368421</v>
      </c>
      <c r="X221" s="88">
        <f>SUM(X217:X220)</f>
        <v>222029.4467368421</v>
      </c>
      <c r="Y221" s="135"/>
    </row>
    <row r="222" spans="2:25" x14ac:dyDescent="0.2">
      <c r="B222" s="128"/>
      <c r="Y222" s="135"/>
    </row>
    <row r="223" spans="2:25" x14ac:dyDescent="0.2">
      <c r="B223" s="136"/>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37"/>
    </row>
    <row r="226" spans="2:25" x14ac:dyDescent="0.2">
      <c r="B226" s="74"/>
      <c r="C226" s="91"/>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27"/>
    </row>
    <row r="227" spans="2:25" x14ac:dyDescent="0.2">
      <c r="B227" s="128"/>
      <c r="C227" s="87" t="s">
        <v>1098</v>
      </c>
      <c r="D227" s="4"/>
      <c r="E227" s="87" t="s">
        <v>1154</v>
      </c>
      <c r="Y227" s="135"/>
    </row>
    <row r="228" spans="2:25" x14ac:dyDescent="0.2">
      <c r="B228" s="128"/>
      <c r="C228" s="142" t="s">
        <v>1100</v>
      </c>
      <c r="E228" s="169">
        <v>2</v>
      </c>
      <c r="Y228" s="135"/>
    </row>
    <row r="229" spans="2:25" x14ac:dyDescent="0.2">
      <c r="B229" s="128"/>
      <c r="C229" s="142" t="s">
        <v>1101</v>
      </c>
      <c r="E229" s="169" t="s">
        <v>1103</v>
      </c>
      <c r="Y229" s="135"/>
    </row>
    <row r="230" spans="2:25" x14ac:dyDescent="0.2">
      <c r="B230" s="128"/>
      <c r="C230" s="142" t="s">
        <v>1102</v>
      </c>
      <c r="E230" s="169" t="s">
        <v>1104</v>
      </c>
      <c r="Y230" s="135"/>
    </row>
    <row r="231" spans="2:25" x14ac:dyDescent="0.2">
      <c r="B231" s="128"/>
      <c r="E231" s="5" t="s">
        <v>1122</v>
      </c>
      <c r="Y231" s="135"/>
    </row>
    <row r="232" spans="2:25" x14ac:dyDescent="0.2">
      <c r="B232" s="128"/>
      <c r="Y232" s="135"/>
    </row>
    <row r="233" spans="2:25" x14ac:dyDescent="0.2">
      <c r="B233" s="128"/>
      <c r="C233" s="142" t="s">
        <v>1123</v>
      </c>
      <c r="E233" s="169">
        <v>14</v>
      </c>
      <c r="Y233" s="135"/>
    </row>
    <row r="234" spans="2:25" x14ac:dyDescent="0.2">
      <c r="B234" s="128"/>
      <c r="C234" s="142" t="s">
        <v>1105</v>
      </c>
      <c r="E234" s="5" t="s">
        <v>1106</v>
      </c>
      <c r="Y234" s="135"/>
    </row>
    <row r="235" spans="2:25" x14ac:dyDescent="0.2">
      <c r="B235" s="128"/>
      <c r="C235" s="142" t="s">
        <v>1107</v>
      </c>
      <c r="E235" s="169">
        <v>173</v>
      </c>
      <c r="Y235" s="135"/>
    </row>
    <row r="236" spans="2:25" x14ac:dyDescent="0.2">
      <c r="B236" s="128"/>
      <c r="C236" s="142"/>
      <c r="Y236" s="135"/>
    </row>
    <row r="237" spans="2:25" x14ac:dyDescent="0.2">
      <c r="B237" s="128"/>
      <c r="Y237" s="135"/>
    </row>
    <row r="238" spans="2:25" x14ac:dyDescent="0.2">
      <c r="B238" s="128"/>
      <c r="E238" s="5" t="s">
        <v>1108</v>
      </c>
      <c r="Y238" s="135"/>
    </row>
    <row r="239" spans="2:25" x14ac:dyDescent="0.2">
      <c r="B239" s="128"/>
      <c r="Y239" s="135"/>
    </row>
    <row r="240" spans="2:25" x14ac:dyDescent="0.2">
      <c r="B240" s="128"/>
      <c r="E240" s="5" t="s">
        <v>881</v>
      </c>
      <c r="F240" s="5" t="s">
        <v>1109</v>
      </c>
      <c r="G240" s="5" t="s">
        <v>1109</v>
      </c>
      <c r="H240" s="5" t="s">
        <v>1109</v>
      </c>
      <c r="Y240" s="135"/>
    </row>
    <row r="241" spans="2:25" x14ac:dyDescent="0.2">
      <c r="B241" s="128"/>
      <c r="F241" s="5" t="s">
        <v>1110</v>
      </c>
      <c r="G241" s="5" t="s">
        <v>1111</v>
      </c>
      <c r="H241" s="5" t="s">
        <v>1112</v>
      </c>
      <c r="Y241" s="135"/>
    </row>
    <row r="242" spans="2:25" x14ac:dyDescent="0.2">
      <c r="B242" s="128"/>
      <c r="E242" s="5" t="s">
        <v>1113</v>
      </c>
      <c r="F242" s="164">
        <v>3379</v>
      </c>
      <c r="G242" s="164">
        <v>3479</v>
      </c>
      <c r="H242" s="164">
        <v>3545</v>
      </c>
      <c r="K242" s="164"/>
      <c r="L242" s="164"/>
      <c r="M242" s="164"/>
      <c r="N242" s="164"/>
      <c r="Y242" s="135"/>
    </row>
    <row r="243" spans="2:25" x14ac:dyDescent="0.2">
      <c r="B243" s="128"/>
      <c r="E243" s="5" t="s">
        <v>1114</v>
      </c>
      <c r="F243" s="164">
        <v>3320</v>
      </c>
      <c r="G243" s="164">
        <v>3401</v>
      </c>
      <c r="H243" s="164">
        <v>3451</v>
      </c>
      <c r="K243" s="164"/>
      <c r="L243" s="164"/>
      <c r="M243" s="164"/>
      <c r="N243" s="164"/>
      <c r="Y243" s="135"/>
    </row>
    <row r="244" spans="2:25" x14ac:dyDescent="0.2">
      <c r="B244" s="128"/>
      <c r="E244" s="5" t="s">
        <v>1115</v>
      </c>
      <c r="F244" s="164">
        <v>3003</v>
      </c>
      <c r="G244" s="164">
        <v>3091</v>
      </c>
      <c r="H244" s="164">
        <v>3148</v>
      </c>
      <c r="K244" s="164"/>
      <c r="L244" s="164"/>
      <c r="M244" s="164"/>
      <c r="N244" s="164"/>
      <c r="Y244" s="135"/>
    </row>
    <row r="245" spans="2:25" x14ac:dyDescent="0.2">
      <c r="B245" s="128"/>
      <c r="E245" s="5" t="s">
        <v>1116</v>
      </c>
      <c r="F245" s="164">
        <v>2565</v>
      </c>
      <c r="G245" s="164">
        <v>2638</v>
      </c>
      <c r="H245" s="164">
        <v>2685</v>
      </c>
      <c r="K245" s="164"/>
      <c r="L245" s="164"/>
      <c r="M245" s="164"/>
      <c r="N245" s="164"/>
      <c r="Y245" s="135"/>
    </row>
    <row r="246" spans="2:25" x14ac:dyDescent="0.2">
      <c r="B246" s="128"/>
      <c r="E246" s="5" t="s">
        <v>1117</v>
      </c>
      <c r="F246" s="164">
        <v>2315</v>
      </c>
      <c r="G246" s="164">
        <v>2379</v>
      </c>
      <c r="H246" s="164">
        <v>2420</v>
      </c>
      <c r="K246" s="164"/>
      <c r="L246" s="164"/>
      <c r="M246" s="164"/>
      <c r="N246" s="164"/>
      <c r="Y246" s="135"/>
    </row>
    <row r="247" spans="2:25" x14ac:dyDescent="0.2">
      <c r="B247" s="128"/>
      <c r="E247" s="762" t="s">
        <v>1118</v>
      </c>
      <c r="F247" s="766">
        <v>2128</v>
      </c>
      <c r="G247" s="764">
        <v>2184</v>
      </c>
      <c r="H247" s="765">
        <v>2222</v>
      </c>
      <c r="K247" s="164"/>
      <c r="L247" s="164"/>
      <c r="M247" s="164"/>
      <c r="N247" s="164"/>
      <c r="Y247" s="135"/>
    </row>
    <row r="248" spans="2:25" x14ac:dyDescent="0.2">
      <c r="B248" s="128"/>
      <c r="E248" s="5" t="s">
        <v>1119</v>
      </c>
      <c r="F248" s="164">
        <v>2003</v>
      </c>
      <c r="G248" s="164">
        <v>2055</v>
      </c>
      <c r="H248" s="164">
        <v>2090</v>
      </c>
      <c r="K248" s="164"/>
      <c r="L248" s="164"/>
      <c r="M248" s="164"/>
      <c r="N248" s="164"/>
      <c r="Y248" s="135"/>
    </row>
    <row r="249" spans="2:25" x14ac:dyDescent="0.2">
      <c r="B249" s="128"/>
      <c r="E249" s="5" t="s">
        <v>1120</v>
      </c>
      <c r="F249" s="164">
        <v>1878</v>
      </c>
      <c r="G249" s="164">
        <v>1925</v>
      </c>
      <c r="H249" s="164">
        <v>1957</v>
      </c>
      <c r="Y249" s="135"/>
    </row>
    <row r="250" spans="2:25" x14ac:dyDescent="0.2">
      <c r="B250" s="128"/>
      <c r="E250" s="5" t="s">
        <v>1121</v>
      </c>
      <c r="F250" s="164">
        <v>1753</v>
      </c>
      <c r="G250" s="164">
        <v>1797</v>
      </c>
      <c r="H250" s="164">
        <v>1825</v>
      </c>
      <c r="Y250" s="135"/>
    </row>
    <row r="251" spans="2:25" x14ac:dyDescent="0.2">
      <c r="B251" s="128"/>
      <c r="Y251" s="135"/>
    </row>
    <row r="252" spans="2:25" x14ac:dyDescent="0.2">
      <c r="B252" s="128"/>
      <c r="Y252" s="135"/>
    </row>
    <row r="253" spans="2:25" x14ac:dyDescent="0.2">
      <c r="B253" s="128"/>
      <c r="F253" s="5" t="s">
        <v>881</v>
      </c>
      <c r="Y253" s="135"/>
    </row>
    <row r="254" spans="2:25" x14ac:dyDescent="0.2">
      <c r="B254" s="128"/>
      <c r="C254" s="169" t="s">
        <v>1131</v>
      </c>
      <c r="D254" s="5">
        <v>2</v>
      </c>
      <c r="E254" s="5" t="s">
        <v>1153</v>
      </c>
      <c r="F254" s="5" t="s">
        <v>1135</v>
      </c>
      <c r="Y254" s="135"/>
    </row>
    <row r="255" spans="2:25" x14ac:dyDescent="0.2">
      <c r="B255" s="128"/>
      <c r="Y255" s="135"/>
    </row>
    <row r="256" spans="2:25" x14ac:dyDescent="0.2">
      <c r="B256" s="128"/>
      <c r="Y256" s="135"/>
    </row>
    <row r="257" spans="2:25" x14ac:dyDescent="0.2">
      <c r="B257" s="128"/>
      <c r="Y257" s="135"/>
    </row>
    <row r="258" spans="2:25" x14ac:dyDescent="0.2">
      <c r="B258" s="128"/>
      <c r="C258" s="87" t="s">
        <v>1124</v>
      </c>
      <c r="E258" s="884">
        <v>2025</v>
      </c>
      <c r="F258" s="885"/>
      <c r="G258" s="886"/>
      <c r="H258" s="884">
        <v>2026</v>
      </c>
      <c r="I258" s="885"/>
      <c r="J258" s="886"/>
      <c r="K258" s="884">
        <v>2027</v>
      </c>
      <c r="L258" s="885"/>
      <c r="M258" s="886"/>
      <c r="N258" s="884">
        <v>2028</v>
      </c>
      <c r="O258" s="885"/>
      <c r="P258" s="886"/>
      <c r="Q258"/>
      <c r="R258"/>
      <c r="S258"/>
      <c r="T258"/>
      <c r="U258"/>
      <c r="V258"/>
      <c r="W258"/>
      <c r="X258"/>
      <c r="Y258" s="135"/>
    </row>
    <row r="259" spans="2:25" x14ac:dyDescent="0.2">
      <c r="B259" s="128"/>
      <c r="C259" s="179" t="s">
        <v>1125</v>
      </c>
      <c r="D259" s="159"/>
      <c r="E259" s="882" t="str">
        <f>E254</f>
        <v>Impiegato tecnico</v>
      </c>
      <c r="F259" s="883"/>
      <c r="G259" s="876" t="s">
        <v>147</v>
      </c>
      <c r="H259" s="882" t="str">
        <f>E259</f>
        <v>Impiegato tecnico</v>
      </c>
      <c r="I259" s="883"/>
      <c r="J259" s="876" t="s">
        <v>147</v>
      </c>
      <c r="K259" s="882" t="str">
        <f>H259</f>
        <v>Impiegato tecnico</v>
      </c>
      <c r="L259" s="883"/>
      <c r="M259" s="876" t="s">
        <v>147</v>
      </c>
      <c r="N259" s="882" t="str">
        <f>H259</f>
        <v>Impiegato tecnico</v>
      </c>
      <c r="O259" s="883"/>
      <c r="P259" s="876" t="s">
        <v>147</v>
      </c>
      <c r="Q259"/>
      <c r="R259"/>
      <c r="S259"/>
      <c r="T259"/>
      <c r="U259"/>
      <c r="V259"/>
      <c r="W259"/>
      <c r="X259"/>
      <c r="Y259" s="135"/>
    </row>
    <row r="260" spans="2:25" x14ac:dyDescent="0.2">
      <c r="B260" s="128"/>
      <c r="C260" s="180" t="s">
        <v>1132</v>
      </c>
      <c r="D260" s="181"/>
      <c r="E260" s="189" t="s">
        <v>1128</v>
      </c>
      <c r="F260" s="190" t="s">
        <v>148</v>
      </c>
      <c r="G260" s="881"/>
      <c r="H260" s="189" t="s">
        <v>1128</v>
      </c>
      <c r="I260" s="190" t="s">
        <v>148</v>
      </c>
      <c r="J260" s="881"/>
      <c r="K260" s="189" t="s">
        <v>1128</v>
      </c>
      <c r="L260" s="190" t="s">
        <v>148</v>
      </c>
      <c r="M260" s="881"/>
      <c r="N260" s="189" t="s">
        <v>1128</v>
      </c>
      <c r="O260" s="190" t="s">
        <v>148</v>
      </c>
      <c r="P260" s="881"/>
      <c r="Q260"/>
      <c r="R260"/>
      <c r="S260"/>
      <c r="T260"/>
      <c r="U260"/>
      <c r="V260"/>
      <c r="W260"/>
      <c r="X260"/>
      <c r="Y260" s="135"/>
    </row>
    <row r="261" spans="2:25" x14ac:dyDescent="0.2">
      <c r="B261" s="128"/>
      <c r="C261" s="89" t="s">
        <v>1129</v>
      </c>
      <c r="E261" s="170">
        <f>F247*12</f>
        <v>25536</v>
      </c>
      <c r="F261" s="172">
        <f>E261*$D$254</f>
        <v>51072</v>
      </c>
      <c r="G261" s="191">
        <f>F261</f>
        <v>51072</v>
      </c>
      <c r="H261" s="170">
        <f>G247*12</f>
        <v>26208</v>
      </c>
      <c r="I261" s="172">
        <f>H261*$D$254</f>
        <v>52416</v>
      </c>
      <c r="J261" s="191">
        <f>I261</f>
        <v>52416</v>
      </c>
      <c r="K261" s="170">
        <f>H247*12</f>
        <v>26664</v>
      </c>
      <c r="L261" s="172">
        <f>K261*$D$254</f>
        <v>53328</v>
      </c>
      <c r="M261" s="191">
        <f>L261</f>
        <v>53328</v>
      </c>
      <c r="N261" s="170">
        <f>K261</f>
        <v>26664</v>
      </c>
      <c r="O261" s="172">
        <f>N261*$D$254</f>
        <v>53328</v>
      </c>
      <c r="P261" s="191">
        <f>O261</f>
        <v>53328</v>
      </c>
      <c r="Q261"/>
      <c r="R261"/>
      <c r="S261"/>
      <c r="T261"/>
      <c r="U261"/>
      <c r="V261"/>
      <c r="W261"/>
      <c r="X261"/>
      <c r="Y261" s="135"/>
    </row>
    <row r="262" spans="2:25" x14ac:dyDescent="0.2">
      <c r="B262" s="128"/>
      <c r="C262" s="89" t="s">
        <v>1130</v>
      </c>
      <c r="E262" s="168">
        <f>E261*$E$77</f>
        <v>7073.4720000000007</v>
      </c>
      <c r="F262" s="165">
        <f>E262*$D$254</f>
        <v>14146.944000000001</v>
      </c>
      <c r="G262" s="192">
        <f>F262</f>
        <v>14146.944000000001</v>
      </c>
      <c r="H262" s="168">
        <f>H261*$E$77</f>
        <v>7259.6160000000009</v>
      </c>
      <c r="I262" s="165">
        <f>H262*$D$254</f>
        <v>14519.232000000002</v>
      </c>
      <c r="J262" s="192">
        <f>I262</f>
        <v>14519.232000000002</v>
      </c>
      <c r="K262" s="168">
        <f>K261*$E$77</f>
        <v>7385.9280000000008</v>
      </c>
      <c r="L262" s="165">
        <f>K262*$D$254</f>
        <v>14771.856000000002</v>
      </c>
      <c r="M262" s="192">
        <f>L262</f>
        <v>14771.856000000002</v>
      </c>
      <c r="N262" s="168">
        <f>N261*$E$77</f>
        <v>7385.9280000000008</v>
      </c>
      <c r="O262" s="165">
        <f>N262*$D$254</f>
        <v>14771.856000000002</v>
      </c>
      <c r="P262" s="192">
        <f>O262</f>
        <v>14771.856000000002</v>
      </c>
      <c r="Q262"/>
      <c r="R262"/>
      <c r="S262"/>
      <c r="T262"/>
      <c r="U262"/>
      <c r="V262"/>
      <c r="W262"/>
      <c r="X262"/>
      <c r="Y262" s="135"/>
    </row>
    <row r="263" spans="2:25" x14ac:dyDescent="0.2">
      <c r="B263" s="128"/>
      <c r="C263" s="89" t="s">
        <v>295</v>
      </c>
      <c r="E263" s="168">
        <f>E261/$E$78</f>
        <v>1680</v>
      </c>
      <c r="F263" s="165">
        <f>E263*$D$254</f>
        <v>3360</v>
      </c>
      <c r="G263" s="192">
        <f>F263</f>
        <v>3360</v>
      </c>
      <c r="H263" s="168">
        <f>H261/$E$78</f>
        <v>1724.2105263157896</v>
      </c>
      <c r="I263" s="165">
        <f t="shared" ref="I263:I264" si="47">H263*$D$254</f>
        <v>3448.4210526315792</v>
      </c>
      <c r="J263" s="192">
        <f>I263</f>
        <v>3448.4210526315792</v>
      </c>
      <c r="K263" s="168">
        <f>K261/$E$78</f>
        <v>1754.2105263157896</v>
      </c>
      <c r="L263" s="165">
        <f t="shared" ref="L263:L264" si="48">K263*$D$254</f>
        <v>3508.4210526315792</v>
      </c>
      <c r="M263" s="192">
        <f>L263</f>
        <v>3508.4210526315792</v>
      </c>
      <c r="N263" s="168">
        <f>N261/$E$78</f>
        <v>1754.2105263157896</v>
      </c>
      <c r="O263" s="165">
        <f t="shared" ref="O263:O264" si="49">N263*$D$254</f>
        <v>3508.4210526315792</v>
      </c>
      <c r="P263" s="192">
        <f>O263</f>
        <v>3508.4210526315792</v>
      </c>
      <c r="Q263"/>
      <c r="R263"/>
      <c r="S263"/>
      <c r="T263"/>
      <c r="U263"/>
      <c r="V263"/>
      <c r="W263"/>
      <c r="X263"/>
      <c r="Y263" s="135"/>
    </row>
    <row r="264" spans="2:25" x14ac:dyDescent="0.2">
      <c r="B264" s="128"/>
      <c r="C264" s="90" t="s">
        <v>1091</v>
      </c>
      <c r="D264" s="181"/>
      <c r="E264" s="173">
        <f>E261*$E$80</f>
        <v>127.68</v>
      </c>
      <c r="F264" s="167">
        <f>E264*$D$254</f>
        <v>255.36</v>
      </c>
      <c r="G264" s="193">
        <f>F264</f>
        <v>255.36</v>
      </c>
      <c r="H264" s="173">
        <f>H261*$E$80</f>
        <v>131.04</v>
      </c>
      <c r="I264" s="167">
        <f t="shared" si="47"/>
        <v>262.08</v>
      </c>
      <c r="J264" s="193">
        <f>I264</f>
        <v>262.08</v>
      </c>
      <c r="K264" s="173">
        <f>K261*$E$80</f>
        <v>133.32</v>
      </c>
      <c r="L264" s="167">
        <f t="shared" si="48"/>
        <v>266.64</v>
      </c>
      <c r="M264" s="193">
        <f>L264</f>
        <v>266.64</v>
      </c>
      <c r="N264" s="173">
        <f>N261*$E$80</f>
        <v>133.32</v>
      </c>
      <c r="O264" s="167">
        <f t="shared" si="49"/>
        <v>266.64</v>
      </c>
      <c r="P264" s="193">
        <f>O264</f>
        <v>266.64</v>
      </c>
      <c r="Q264"/>
      <c r="R264"/>
      <c r="S264"/>
      <c r="T264"/>
      <c r="U264"/>
      <c r="V264"/>
      <c r="W264"/>
      <c r="X264"/>
      <c r="Y264" s="135"/>
    </row>
    <row r="265" spans="2:25" x14ac:dyDescent="0.2">
      <c r="B265" s="128"/>
      <c r="G265" s="88">
        <f>SUM(G261:G264)</f>
        <v>68834.304000000004</v>
      </c>
      <c r="J265" s="88">
        <f>SUM(J261:J264)</f>
        <v>70645.733052631578</v>
      </c>
      <c r="M265" s="88">
        <f>SUM(M261:M264)</f>
        <v>71874.917052631572</v>
      </c>
      <c r="P265" s="88">
        <f>SUM(P261:P264)</f>
        <v>71874.917052631572</v>
      </c>
      <c r="Q265"/>
      <c r="R265"/>
      <c r="S265"/>
      <c r="T265"/>
      <c r="U265"/>
      <c r="V265"/>
      <c r="W265"/>
      <c r="X265"/>
      <c r="Y265" s="135"/>
    </row>
    <row r="266" spans="2:25" x14ac:dyDescent="0.2">
      <c r="B266" s="128"/>
      <c r="Y266" s="135"/>
    </row>
    <row r="267" spans="2:25" x14ac:dyDescent="0.2">
      <c r="B267" s="136"/>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37"/>
    </row>
    <row r="270" spans="2:25" x14ac:dyDescent="0.2">
      <c r="B270" s="74"/>
      <c r="C270" s="91"/>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27"/>
    </row>
    <row r="271" spans="2:25" x14ac:dyDescent="0.2">
      <c r="B271" s="128"/>
      <c r="C271" s="87" t="s">
        <v>1098</v>
      </c>
      <c r="D271" s="4"/>
      <c r="E271" s="87" t="s">
        <v>1156</v>
      </c>
      <c r="Y271" s="135"/>
    </row>
    <row r="272" spans="2:25" x14ac:dyDescent="0.2">
      <c r="B272" s="128"/>
      <c r="C272" s="142" t="s">
        <v>1100</v>
      </c>
      <c r="E272" s="169">
        <v>1</v>
      </c>
      <c r="Y272" s="135"/>
    </row>
    <row r="273" spans="2:25" x14ac:dyDescent="0.2">
      <c r="B273" s="128"/>
      <c r="C273" s="142" t="s">
        <v>1101</v>
      </c>
      <c r="E273" s="169" t="s">
        <v>1103</v>
      </c>
      <c r="Y273" s="135"/>
    </row>
    <row r="274" spans="2:25" x14ac:dyDescent="0.2">
      <c r="B274" s="128"/>
      <c r="C274" s="142" t="s">
        <v>1102</v>
      </c>
      <c r="E274" s="169" t="s">
        <v>1104</v>
      </c>
      <c r="Y274" s="135"/>
    </row>
    <row r="275" spans="2:25" x14ac:dyDescent="0.2">
      <c r="B275" s="128"/>
      <c r="E275" s="5" t="s">
        <v>1122</v>
      </c>
      <c r="Y275" s="135"/>
    </row>
    <row r="276" spans="2:25" x14ac:dyDescent="0.2">
      <c r="B276" s="128"/>
      <c r="Y276" s="135"/>
    </row>
    <row r="277" spans="2:25" x14ac:dyDescent="0.2">
      <c r="B277" s="128"/>
      <c r="C277" s="142" t="s">
        <v>1123</v>
      </c>
      <c r="E277" s="169">
        <v>14</v>
      </c>
      <c r="Y277" s="135"/>
    </row>
    <row r="278" spans="2:25" x14ac:dyDescent="0.2">
      <c r="B278" s="128"/>
      <c r="C278" s="142" t="s">
        <v>1105</v>
      </c>
      <c r="E278" s="5" t="s">
        <v>1106</v>
      </c>
      <c r="Y278" s="135"/>
    </row>
    <row r="279" spans="2:25" x14ac:dyDescent="0.2">
      <c r="B279" s="128"/>
      <c r="C279" s="142" t="s">
        <v>1107</v>
      </c>
      <c r="E279" s="169">
        <v>173</v>
      </c>
      <c r="Y279" s="135"/>
    </row>
    <row r="280" spans="2:25" x14ac:dyDescent="0.2">
      <c r="B280" s="128"/>
      <c r="C280" s="142"/>
      <c r="Y280" s="135"/>
    </row>
    <row r="281" spans="2:25" x14ac:dyDescent="0.2">
      <c r="B281" s="128"/>
      <c r="Y281" s="135"/>
    </row>
    <row r="282" spans="2:25" x14ac:dyDescent="0.2">
      <c r="B282" s="128"/>
      <c r="E282" s="5" t="s">
        <v>1108</v>
      </c>
      <c r="Y282" s="135"/>
    </row>
    <row r="283" spans="2:25" x14ac:dyDescent="0.2">
      <c r="B283" s="128"/>
      <c r="Y283" s="135"/>
    </row>
    <row r="284" spans="2:25" x14ac:dyDescent="0.2">
      <c r="B284" s="128"/>
      <c r="E284" s="5" t="s">
        <v>881</v>
      </c>
      <c r="F284" s="5" t="s">
        <v>1109</v>
      </c>
      <c r="G284" s="5" t="s">
        <v>1109</v>
      </c>
      <c r="H284" s="5" t="s">
        <v>1109</v>
      </c>
      <c r="Y284" s="135"/>
    </row>
    <row r="285" spans="2:25" x14ac:dyDescent="0.2">
      <c r="B285" s="128"/>
      <c r="F285" s="5" t="s">
        <v>1110</v>
      </c>
      <c r="G285" s="5" t="s">
        <v>1111</v>
      </c>
      <c r="H285" s="5" t="s">
        <v>1112</v>
      </c>
      <c r="Y285" s="135"/>
    </row>
    <row r="286" spans="2:25" x14ac:dyDescent="0.2">
      <c r="B286" s="128"/>
      <c r="E286" s="5" t="s">
        <v>1113</v>
      </c>
      <c r="F286" s="164">
        <v>3379</v>
      </c>
      <c r="G286" s="164">
        <v>3479</v>
      </c>
      <c r="H286" s="164">
        <v>3545</v>
      </c>
      <c r="K286" s="164"/>
      <c r="L286" s="164"/>
      <c r="M286" s="164"/>
      <c r="N286" s="164"/>
      <c r="Y286" s="135"/>
    </row>
    <row r="287" spans="2:25" x14ac:dyDescent="0.2">
      <c r="B287" s="128"/>
      <c r="E287" s="5" t="s">
        <v>1114</v>
      </c>
      <c r="F287" s="164">
        <v>3320</v>
      </c>
      <c r="G287" s="164">
        <v>3401</v>
      </c>
      <c r="H287" s="164">
        <v>3451</v>
      </c>
      <c r="K287" s="164"/>
      <c r="L287" s="164"/>
      <c r="M287" s="164"/>
      <c r="N287" s="164"/>
      <c r="Y287" s="135"/>
    </row>
    <row r="288" spans="2:25" x14ac:dyDescent="0.2">
      <c r="B288" s="128"/>
      <c r="E288" s="5" t="s">
        <v>1115</v>
      </c>
      <c r="F288" s="164">
        <v>3003</v>
      </c>
      <c r="G288" s="164">
        <v>3091</v>
      </c>
      <c r="H288" s="164">
        <v>3148</v>
      </c>
      <c r="K288" s="164"/>
      <c r="L288" s="164"/>
      <c r="M288" s="164"/>
      <c r="N288" s="164"/>
      <c r="Y288" s="135"/>
    </row>
    <row r="289" spans="2:25" x14ac:dyDescent="0.2">
      <c r="B289" s="128"/>
      <c r="E289" s="5" t="s">
        <v>1116</v>
      </c>
      <c r="F289" s="164">
        <v>2565</v>
      </c>
      <c r="G289" s="164">
        <v>2638</v>
      </c>
      <c r="H289" s="164">
        <v>2685</v>
      </c>
      <c r="K289" s="164"/>
      <c r="L289" s="164"/>
      <c r="M289" s="164"/>
      <c r="N289" s="164"/>
      <c r="Y289" s="135"/>
    </row>
    <row r="290" spans="2:25" x14ac:dyDescent="0.2">
      <c r="B290" s="128"/>
      <c r="E290" s="762" t="s">
        <v>1117</v>
      </c>
      <c r="F290" s="766">
        <v>2315</v>
      </c>
      <c r="G290" s="764">
        <v>2379</v>
      </c>
      <c r="H290" s="765">
        <v>2420</v>
      </c>
      <c r="K290" s="164"/>
      <c r="L290" s="164"/>
      <c r="M290" s="164"/>
      <c r="N290" s="164"/>
      <c r="Y290" s="135"/>
    </row>
    <row r="291" spans="2:25" x14ac:dyDescent="0.2">
      <c r="B291" s="128"/>
      <c r="E291" s="5" t="s">
        <v>1118</v>
      </c>
      <c r="F291" s="164">
        <v>2128</v>
      </c>
      <c r="G291" s="164">
        <v>2184</v>
      </c>
      <c r="H291" s="164">
        <v>2222</v>
      </c>
      <c r="K291" s="164"/>
      <c r="L291" s="164"/>
      <c r="M291" s="164"/>
      <c r="N291" s="164"/>
      <c r="Y291" s="135"/>
    </row>
    <row r="292" spans="2:25" x14ac:dyDescent="0.2">
      <c r="B292" s="128"/>
      <c r="E292" s="5" t="s">
        <v>1119</v>
      </c>
      <c r="F292" s="164">
        <v>2003</v>
      </c>
      <c r="G292" s="164">
        <v>2055</v>
      </c>
      <c r="H292" s="164">
        <v>2090</v>
      </c>
      <c r="K292" s="164"/>
      <c r="L292" s="164"/>
      <c r="M292" s="164"/>
      <c r="N292" s="164"/>
      <c r="Y292" s="135"/>
    </row>
    <row r="293" spans="2:25" x14ac:dyDescent="0.2">
      <c r="B293" s="128"/>
      <c r="E293" s="5" t="s">
        <v>1120</v>
      </c>
      <c r="F293" s="164">
        <v>1878</v>
      </c>
      <c r="G293" s="164">
        <v>1925</v>
      </c>
      <c r="H293" s="164">
        <v>1957</v>
      </c>
      <c r="Y293" s="135"/>
    </row>
    <row r="294" spans="2:25" x14ac:dyDescent="0.2">
      <c r="B294" s="128"/>
      <c r="E294" s="5" t="s">
        <v>1121</v>
      </c>
      <c r="F294" s="164">
        <v>1753</v>
      </c>
      <c r="G294" s="164">
        <v>1797</v>
      </c>
      <c r="H294" s="164">
        <v>1825</v>
      </c>
      <c r="Y294" s="135"/>
    </row>
    <row r="295" spans="2:25" x14ac:dyDescent="0.2">
      <c r="B295" s="128"/>
      <c r="Y295" s="135"/>
    </row>
    <row r="296" spans="2:25" x14ac:dyDescent="0.2">
      <c r="B296" s="128"/>
      <c r="Y296" s="135"/>
    </row>
    <row r="297" spans="2:25" x14ac:dyDescent="0.2">
      <c r="B297" s="128"/>
      <c r="F297" s="5" t="s">
        <v>881</v>
      </c>
      <c r="Y297" s="135"/>
    </row>
    <row r="298" spans="2:25" x14ac:dyDescent="0.2">
      <c r="B298" s="128"/>
      <c r="C298" s="169" t="s">
        <v>1131</v>
      </c>
      <c r="D298" s="5">
        <v>1</v>
      </c>
      <c r="E298" s="5" t="str">
        <f>E271</f>
        <v>Impiegato tecnico-informatico</v>
      </c>
      <c r="F298" s="5" t="s">
        <v>1152</v>
      </c>
      <c r="Y298" s="135"/>
    </row>
    <row r="299" spans="2:25" x14ac:dyDescent="0.2">
      <c r="B299" s="128"/>
      <c r="Y299" s="135"/>
    </row>
    <row r="300" spans="2:25" x14ac:dyDescent="0.2">
      <c r="B300" s="128"/>
      <c r="Y300" s="135"/>
    </row>
    <row r="301" spans="2:25" x14ac:dyDescent="0.2">
      <c r="B301" s="128"/>
      <c r="Y301" s="135"/>
    </row>
    <row r="302" spans="2:25" x14ac:dyDescent="0.2">
      <c r="B302" s="128"/>
      <c r="C302" s="87" t="s">
        <v>1124</v>
      </c>
      <c r="E302" s="884">
        <v>2025</v>
      </c>
      <c r="F302" s="885"/>
      <c r="G302" s="886"/>
      <c r="H302" s="884">
        <v>2026</v>
      </c>
      <c r="I302" s="885"/>
      <c r="J302" s="886"/>
      <c r="K302" s="884">
        <v>2027</v>
      </c>
      <c r="L302" s="885"/>
      <c r="M302" s="886"/>
      <c r="N302" s="884">
        <v>2028</v>
      </c>
      <c r="O302" s="885"/>
      <c r="P302" s="886"/>
      <c r="Q302"/>
      <c r="R302"/>
      <c r="S302"/>
      <c r="T302"/>
      <c r="U302"/>
      <c r="V302"/>
      <c r="W302"/>
      <c r="X302"/>
      <c r="Y302" s="135"/>
    </row>
    <row r="303" spans="2:25" x14ac:dyDescent="0.2">
      <c r="B303" s="128"/>
      <c r="C303" s="179" t="s">
        <v>1125</v>
      </c>
      <c r="D303" s="159"/>
      <c r="E303" s="882" t="str">
        <f>E298</f>
        <v>Impiegato tecnico-informatico</v>
      </c>
      <c r="F303" s="883"/>
      <c r="G303" s="876" t="s">
        <v>147</v>
      </c>
      <c r="H303" s="882" t="str">
        <f>E303</f>
        <v>Impiegato tecnico-informatico</v>
      </c>
      <c r="I303" s="883"/>
      <c r="J303" s="876" t="s">
        <v>147</v>
      </c>
      <c r="K303" s="882" t="str">
        <f>H303</f>
        <v>Impiegato tecnico-informatico</v>
      </c>
      <c r="L303" s="883"/>
      <c r="M303" s="876" t="s">
        <v>147</v>
      </c>
      <c r="N303" s="882" t="str">
        <f>K303</f>
        <v>Impiegato tecnico-informatico</v>
      </c>
      <c r="O303" s="883"/>
      <c r="P303" s="876" t="s">
        <v>147</v>
      </c>
      <c r="Q303"/>
      <c r="R303"/>
      <c r="S303"/>
      <c r="T303"/>
      <c r="U303"/>
      <c r="V303"/>
      <c r="W303"/>
      <c r="X303"/>
      <c r="Y303" s="135"/>
    </row>
    <row r="304" spans="2:25" x14ac:dyDescent="0.2">
      <c r="B304" s="128"/>
      <c r="C304" s="180" t="s">
        <v>1132</v>
      </c>
      <c r="D304" s="181"/>
      <c r="E304" s="189" t="s">
        <v>1128</v>
      </c>
      <c r="F304" s="190" t="s">
        <v>148</v>
      </c>
      <c r="G304" s="881"/>
      <c r="H304" s="189" t="s">
        <v>1128</v>
      </c>
      <c r="I304" s="190" t="s">
        <v>148</v>
      </c>
      <c r="J304" s="881"/>
      <c r="K304" s="189" t="s">
        <v>1128</v>
      </c>
      <c r="L304" s="190" t="s">
        <v>148</v>
      </c>
      <c r="M304" s="881"/>
      <c r="N304" s="189" t="s">
        <v>1128</v>
      </c>
      <c r="O304" s="190" t="s">
        <v>148</v>
      </c>
      <c r="P304" s="881"/>
      <c r="Q304"/>
      <c r="R304"/>
      <c r="S304"/>
      <c r="T304"/>
      <c r="U304"/>
      <c r="V304"/>
      <c r="W304"/>
      <c r="X304"/>
      <c r="Y304" s="135"/>
    </row>
    <row r="305" spans="2:25" x14ac:dyDescent="0.2">
      <c r="B305" s="128"/>
      <c r="C305" s="89" t="s">
        <v>1129</v>
      </c>
      <c r="E305" s="170">
        <f>F290*12</f>
        <v>27780</v>
      </c>
      <c r="F305" s="172">
        <f>E305*$D$298</f>
        <v>27780</v>
      </c>
      <c r="G305" s="191">
        <f>F305</f>
        <v>27780</v>
      </c>
      <c r="H305" s="170">
        <f>G290*12</f>
        <v>28548</v>
      </c>
      <c r="I305" s="172">
        <f>H305*$D$298</f>
        <v>28548</v>
      </c>
      <c r="J305" s="191">
        <f>I305</f>
        <v>28548</v>
      </c>
      <c r="K305" s="170">
        <f>H290*12</f>
        <v>29040</v>
      </c>
      <c r="L305" s="172">
        <f>K305*$D$298</f>
        <v>29040</v>
      </c>
      <c r="M305" s="191">
        <f>L305</f>
        <v>29040</v>
      </c>
      <c r="N305" s="170">
        <f>K305</f>
        <v>29040</v>
      </c>
      <c r="O305" s="172">
        <f>L305</f>
        <v>29040</v>
      </c>
      <c r="P305" s="191">
        <f>O305</f>
        <v>29040</v>
      </c>
      <c r="Q305"/>
      <c r="R305"/>
      <c r="S305"/>
      <c r="T305"/>
      <c r="U305"/>
      <c r="V305"/>
      <c r="W305"/>
      <c r="X305"/>
      <c r="Y305" s="135"/>
    </row>
    <row r="306" spans="2:25" x14ac:dyDescent="0.2">
      <c r="B306" s="128"/>
      <c r="C306" s="89" t="s">
        <v>1130</v>
      </c>
      <c r="E306" s="168">
        <f>E305*$E$77</f>
        <v>7695.06</v>
      </c>
      <c r="F306" s="165">
        <f>E306*$D$298</f>
        <v>7695.06</v>
      </c>
      <c r="G306" s="192">
        <f>F306</f>
        <v>7695.06</v>
      </c>
      <c r="H306" s="168">
        <f>H305*$E$77</f>
        <v>7907.7960000000003</v>
      </c>
      <c r="I306" s="165">
        <f>H306*$D$298</f>
        <v>7907.7960000000003</v>
      </c>
      <c r="J306" s="192">
        <f>I306</f>
        <v>7907.7960000000003</v>
      </c>
      <c r="K306" s="168">
        <f>K305*$E$77</f>
        <v>8044.0800000000008</v>
      </c>
      <c r="L306" s="165">
        <f>K306*$D$298</f>
        <v>8044.0800000000008</v>
      </c>
      <c r="M306" s="192">
        <f>L306</f>
        <v>8044.0800000000008</v>
      </c>
      <c r="N306" s="168">
        <f>K306</f>
        <v>8044.0800000000008</v>
      </c>
      <c r="O306" s="165">
        <f>L306</f>
        <v>8044.0800000000008</v>
      </c>
      <c r="P306" s="192">
        <f>O306</f>
        <v>8044.0800000000008</v>
      </c>
      <c r="Q306"/>
      <c r="R306"/>
      <c r="S306"/>
      <c r="T306"/>
      <c r="U306"/>
      <c r="V306"/>
      <c r="W306"/>
      <c r="X306"/>
      <c r="Y306" s="135"/>
    </row>
    <row r="307" spans="2:25" x14ac:dyDescent="0.2">
      <c r="B307" s="128"/>
      <c r="C307" s="89" t="s">
        <v>295</v>
      </c>
      <c r="E307" s="168">
        <f>E305/$E$78</f>
        <v>1827.6315789473686</v>
      </c>
      <c r="F307" s="165">
        <f t="shared" ref="F307:F308" si="50">E307*$D$298</f>
        <v>1827.6315789473686</v>
      </c>
      <c r="G307" s="192">
        <f>F307</f>
        <v>1827.6315789473686</v>
      </c>
      <c r="H307" s="168">
        <f>H305/$E$78</f>
        <v>1878.1578947368421</v>
      </c>
      <c r="I307" s="165">
        <f t="shared" ref="I307:I308" si="51">H307*$D$298</f>
        <v>1878.1578947368421</v>
      </c>
      <c r="J307" s="192">
        <f>I307</f>
        <v>1878.1578947368421</v>
      </c>
      <c r="K307" s="168">
        <f>K305/$E$78</f>
        <v>1910.5263157894738</v>
      </c>
      <c r="L307" s="165">
        <f t="shared" ref="L307:L308" si="52">K307*$D$298</f>
        <v>1910.5263157894738</v>
      </c>
      <c r="M307" s="192">
        <f>L307</f>
        <v>1910.5263157894738</v>
      </c>
      <c r="N307" s="168">
        <f t="shared" ref="N307:N308" si="53">K307</f>
        <v>1910.5263157894738</v>
      </c>
      <c r="O307" s="165">
        <f t="shared" ref="O307:O308" si="54">L307</f>
        <v>1910.5263157894738</v>
      </c>
      <c r="P307" s="192">
        <f>O307</f>
        <v>1910.5263157894738</v>
      </c>
      <c r="Q307"/>
      <c r="R307"/>
      <c r="S307"/>
      <c r="T307"/>
      <c r="U307"/>
      <c r="V307"/>
      <c r="W307"/>
      <c r="X307"/>
      <c r="Y307" s="135"/>
    </row>
    <row r="308" spans="2:25" x14ac:dyDescent="0.2">
      <c r="B308" s="128"/>
      <c r="C308" s="90" t="s">
        <v>1091</v>
      </c>
      <c r="D308" s="181"/>
      <c r="E308" s="173">
        <f>E305*$E$80</f>
        <v>138.9</v>
      </c>
      <c r="F308" s="167">
        <f t="shared" si="50"/>
        <v>138.9</v>
      </c>
      <c r="G308" s="193">
        <f>F308</f>
        <v>138.9</v>
      </c>
      <c r="H308" s="173">
        <f>H305*$E$80</f>
        <v>142.74</v>
      </c>
      <c r="I308" s="167">
        <f t="shared" si="51"/>
        <v>142.74</v>
      </c>
      <c r="J308" s="193">
        <f>I308</f>
        <v>142.74</v>
      </c>
      <c r="K308" s="173">
        <f>K305*$E$80</f>
        <v>145.20000000000002</v>
      </c>
      <c r="L308" s="167">
        <f t="shared" si="52"/>
        <v>145.20000000000002</v>
      </c>
      <c r="M308" s="193">
        <f>L308</f>
        <v>145.20000000000002</v>
      </c>
      <c r="N308" s="173">
        <f t="shared" si="53"/>
        <v>145.20000000000002</v>
      </c>
      <c r="O308" s="167">
        <f t="shared" si="54"/>
        <v>145.20000000000002</v>
      </c>
      <c r="P308" s="193">
        <f>O308</f>
        <v>145.20000000000002</v>
      </c>
      <c r="Q308"/>
      <c r="R308"/>
      <c r="S308"/>
      <c r="T308"/>
      <c r="U308"/>
      <c r="V308"/>
      <c r="W308"/>
      <c r="X308"/>
      <c r="Y308" s="135"/>
    </row>
    <row r="309" spans="2:25" x14ac:dyDescent="0.2">
      <c r="B309" s="128"/>
      <c r="G309" s="88">
        <f>SUM(G305:G308)</f>
        <v>37441.591578947366</v>
      </c>
      <c r="J309" s="88">
        <f>SUM(J305:J308)</f>
        <v>38476.69389473684</v>
      </c>
      <c r="M309" s="88">
        <f>SUM(M305:M308)</f>
        <v>39139.806315789472</v>
      </c>
      <c r="P309" s="88">
        <f>SUM(P305:P308)</f>
        <v>39139.806315789472</v>
      </c>
      <c r="Q309"/>
      <c r="R309"/>
      <c r="S309"/>
      <c r="T309"/>
      <c r="U309"/>
      <c r="V309"/>
      <c r="W309"/>
      <c r="X309"/>
      <c r="Y309" s="135"/>
    </row>
    <row r="310" spans="2:25" x14ac:dyDescent="0.2">
      <c r="B310" s="128"/>
      <c r="Y310" s="135"/>
    </row>
    <row r="311" spans="2:25" x14ac:dyDescent="0.2">
      <c r="B311" s="136"/>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37"/>
    </row>
    <row r="314" spans="2:25" x14ac:dyDescent="0.2">
      <c r="B314" s="74"/>
      <c r="C314" s="91"/>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27"/>
    </row>
    <row r="315" spans="2:25" x14ac:dyDescent="0.2">
      <c r="B315" s="128"/>
      <c r="C315" s="87" t="s">
        <v>1098</v>
      </c>
      <c r="D315" s="4"/>
      <c r="E315" s="87" t="s">
        <v>1157</v>
      </c>
      <c r="Y315" s="135"/>
    </row>
    <row r="316" spans="2:25" x14ac:dyDescent="0.2">
      <c r="B316" s="128"/>
      <c r="C316" s="142" t="s">
        <v>1100</v>
      </c>
      <c r="E316" s="169">
        <v>2</v>
      </c>
      <c r="Y316" s="135"/>
    </row>
    <row r="317" spans="2:25" x14ac:dyDescent="0.2">
      <c r="B317" s="128"/>
      <c r="C317" s="142" t="s">
        <v>1101</v>
      </c>
      <c r="E317" s="169" t="s">
        <v>1103</v>
      </c>
      <c r="Y317" s="135"/>
    </row>
    <row r="318" spans="2:25" x14ac:dyDescent="0.2">
      <c r="B318" s="128"/>
      <c r="C318" s="142" t="s">
        <v>1102</v>
      </c>
      <c r="E318" s="169" t="s">
        <v>1104</v>
      </c>
      <c r="Y318" s="135"/>
    </row>
    <row r="319" spans="2:25" x14ac:dyDescent="0.2">
      <c r="B319" s="128"/>
      <c r="E319" s="5" t="s">
        <v>1122</v>
      </c>
      <c r="Y319" s="135"/>
    </row>
    <row r="320" spans="2:25" x14ac:dyDescent="0.2">
      <c r="B320" s="128"/>
      <c r="Y320" s="135"/>
    </row>
    <row r="321" spans="2:25" x14ac:dyDescent="0.2">
      <c r="B321" s="128"/>
      <c r="C321" s="142" t="s">
        <v>1123</v>
      </c>
      <c r="E321" s="169">
        <v>14</v>
      </c>
      <c r="Y321" s="135"/>
    </row>
    <row r="322" spans="2:25" x14ac:dyDescent="0.2">
      <c r="B322" s="128"/>
      <c r="C322" s="142" t="s">
        <v>1105</v>
      </c>
      <c r="E322" s="5" t="s">
        <v>1106</v>
      </c>
      <c r="Y322" s="135"/>
    </row>
    <row r="323" spans="2:25" x14ac:dyDescent="0.2">
      <c r="B323" s="128"/>
      <c r="C323" s="142" t="s">
        <v>1107</v>
      </c>
      <c r="E323" s="169">
        <v>173</v>
      </c>
      <c r="Y323" s="135"/>
    </row>
    <row r="324" spans="2:25" x14ac:dyDescent="0.2">
      <c r="B324" s="128"/>
      <c r="C324" s="142"/>
      <c r="Y324" s="135"/>
    </row>
    <row r="325" spans="2:25" x14ac:dyDescent="0.2">
      <c r="B325" s="128"/>
      <c r="Y325" s="135"/>
    </row>
    <row r="326" spans="2:25" x14ac:dyDescent="0.2">
      <c r="B326" s="128"/>
      <c r="E326" s="5" t="s">
        <v>1108</v>
      </c>
      <c r="Y326" s="135"/>
    </row>
    <row r="327" spans="2:25" x14ac:dyDescent="0.2">
      <c r="B327" s="128"/>
      <c r="Y327" s="135"/>
    </row>
    <row r="328" spans="2:25" x14ac:dyDescent="0.2">
      <c r="B328" s="128"/>
      <c r="E328" s="5" t="s">
        <v>881</v>
      </c>
      <c r="F328" s="5" t="s">
        <v>1109</v>
      </c>
      <c r="G328" s="5" t="s">
        <v>1109</v>
      </c>
      <c r="H328" s="5" t="s">
        <v>1109</v>
      </c>
      <c r="Y328" s="135"/>
    </row>
    <row r="329" spans="2:25" x14ac:dyDescent="0.2">
      <c r="B329" s="128"/>
      <c r="F329" s="5" t="s">
        <v>1110</v>
      </c>
      <c r="G329" s="5" t="s">
        <v>1111</v>
      </c>
      <c r="H329" s="5" t="s">
        <v>1112</v>
      </c>
      <c r="Y329" s="135"/>
    </row>
    <row r="330" spans="2:25" x14ac:dyDescent="0.2">
      <c r="B330" s="128"/>
      <c r="E330" s="5" t="s">
        <v>1113</v>
      </c>
      <c r="F330" s="164">
        <v>3379</v>
      </c>
      <c r="G330" s="164">
        <v>3479</v>
      </c>
      <c r="H330" s="164">
        <v>3545</v>
      </c>
      <c r="K330" s="164"/>
      <c r="L330" s="164"/>
      <c r="M330" s="164"/>
      <c r="N330" s="164"/>
      <c r="Y330" s="135"/>
    </row>
    <row r="331" spans="2:25" x14ac:dyDescent="0.2">
      <c r="B331" s="128"/>
      <c r="E331" s="5" t="s">
        <v>1114</v>
      </c>
      <c r="F331" s="164">
        <v>3320</v>
      </c>
      <c r="G331" s="164">
        <v>3401</v>
      </c>
      <c r="H331" s="164">
        <v>3451</v>
      </c>
      <c r="K331" s="164"/>
      <c r="L331" s="164"/>
      <c r="M331" s="164"/>
      <c r="N331" s="164"/>
      <c r="Y331" s="135"/>
    </row>
    <row r="332" spans="2:25" x14ac:dyDescent="0.2">
      <c r="B332" s="128"/>
      <c r="E332" s="5" t="s">
        <v>1115</v>
      </c>
      <c r="F332" s="164">
        <v>3003</v>
      </c>
      <c r="G332" s="164">
        <v>3091</v>
      </c>
      <c r="H332" s="164">
        <v>3148</v>
      </c>
      <c r="K332" s="164"/>
      <c r="L332" s="164"/>
      <c r="M332" s="164"/>
      <c r="N332" s="164"/>
      <c r="Y332" s="135"/>
    </row>
    <row r="333" spans="2:25" x14ac:dyDescent="0.2">
      <c r="B333" s="128"/>
      <c r="E333" s="5" t="s">
        <v>1116</v>
      </c>
      <c r="F333" s="164">
        <v>2565</v>
      </c>
      <c r="G333" s="164">
        <v>2638</v>
      </c>
      <c r="H333" s="164">
        <v>2685</v>
      </c>
      <c r="K333" s="164"/>
      <c r="L333" s="164"/>
      <c r="M333" s="164"/>
      <c r="N333" s="164"/>
      <c r="Y333" s="135"/>
    </row>
    <row r="334" spans="2:25" x14ac:dyDescent="0.2">
      <c r="B334" s="128"/>
      <c r="E334" s="5" t="s">
        <v>1117</v>
      </c>
      <c r="F334" s="164">
        <v>2315</v>
      </c>
      <c r="G334" s="164">
        <v>2379</v>
      </c>
      <c r="H334" s="164">
        <v>2420</v>
      </c>
      <c r="K334" s="164"/>
      <c r="L334" s="164"/>
      <c r="M334" s="164"/>
      <c r="N334" s="164"/>
      <c r="Y334" s="135"/>
    </row>
    <row r="335" spans="2:25" x14ac:dyDescent="0.2">
      <c r="B335" s="128"/>
      <c r="E335" s="5" t="s">
        <v>1118</v>
      </c>
      <c r="F335" s="164">
        <v>2128</v>
      </c>
      <c r="G335" s="164">
        <v>2184</v>
      </c>
      <c r="H335" s="164">
        <v>2222</v>
      </c>
      <c r="K335" s="164"/>
      <c r="L335" s="164"/>
      <c r="M335" s="164"/>
      <c r="N335" s="164"/>
      <c r="Y335" s="135"/>
    </row>
    <row r="336" spans="2:25" x14ac:dyDescent="0.2">
      <c r="B336" s="128"/>
      <c r="E336" s="762" t="s">
        <v>1119</v>
      </c>
      <c r="F336" s="766">
        <v>2003</v>
      </c>
      <c r="G336" s="764">
        <v>2055</v>
      </c>
      <c r="H336" s="765">
        <v>2090</v>
      </c>
      <c r="K336" s="164"/>
      <c r="L336" s="164"/>
      <c r="M336" s="164"/>
      <c r="N336" s="164"/>
      <c r="Y336" s="135"/>
    </row>
    <row r="337" spans="2:25" x14ac:dyDescent="0.2">
      <c r="B337" s="128"/>
      <c r="E337" s="5" t="s">
        <v>1120</v>
      </c>
      <c r="F337" s="164">
        <v>1878</v>
      </c>
      <c r="G337" s="164">
        <v>1925</v>
      </c>
      <c r="H337" s="164">
        <v>1957</v>
      </c>
      <c r="Y337" s="135"/>
    </row>
    <row r="338" spans="2:25" x14ac:dyDescent="0.2">
      <c r="B338" s="128"/>
      <c r="E338" s="5" t="s">
        <v>1121</v>
      </c>
      <c r="F338" s="164">
        <v>1753</v>
      </c>
      <c r="G338" s="164">
        <v>1797</v>
      </c>
      <c r="H338" s="164">
        <v>1825</v>
      </c>
      <c r="Y338" s="135"/>
    </row>
    <row r="339" spans="2:25" x14ac:dyDescent="0.2">
      <c r="B339" s="128"/>
      <c r="Y339" s="135"/>
    </row>
    <row r="340" spans="2:25" x14ac:dyDescent="0.2">
      <c r="B340" s="128"/>
      <c r="Y340" s="135"/>
    </row>
    <row r="341" spans="2:25" x14ac:dyDescent="0.2">
      <c r="B341" s="128"/>
      <c r="F341" s="5" t="s">
        <v>881</v>
      </c>
      <c r="Y341" s="135"/>
    </row>
    <row r="342" spans="2:25" x14ac:dyDescent="0.2">
      <c r="B342" s="128"/>
      <c r="C342" s="169" t="s">
        <v>1131</v>
      </c>
      <c r="D342" s="5">
        <f>E316</f>
        <v>2</v>
      </c>
      <c r="E342" s="5" t="str">
        <f>E315</f>
        <v>Impiegato amministrativo-contabile</v>
      </c>
      <c r="F342" s="5" t="s">
        <v>1150</v>
      </c>
      <c r="Y342" s="135"/>
    </row>
    <row r="343" spans="2:25" x14ac:dyDescent="0.2">
      <c r="B343" s="128"/>
      <c r="Y343" s="135"/>
    </row>
    <row r="344" spans="2:25" x14ac:dyDescent="0.2">
      <c r="B344" s="128"/>
      <c r="Y344" s="135"/>
    </row>
    <row r="345" spans="2:25" x14ac:dyDescent="0.2">
      <c r="B345" s="128"/>
      <c r="Y345" s="135"/>
    </row>
    <row r="346" spans="2:25" x14ac:dyDescent="0.2">
      <c r="B346" s="128"/>
      <c r="C346" s="87" t="s">
        <v>1124</v>
      </c>
      <c r="E346" s="884">
        <v>2025</v>
      </c>
      <c r="F346" s="885"/>
      <c r="G346" s="886"/>
      <c r="H346" s="884">
        <v>2026</v>
      </c>
      <c r="I346" s="885"/>
      <c r="J346" s="886"/>
      <c r="K346" s="884">
        <v>2027</v>
      </c>
      <c r="L346" s="885"/>
      <c r="M346" s="886"/>
      <c r="N346" s="884">
        <v>2028</v>
      </c>
      <c r="O346" s="885"/>
      <c r="P346" s="886"/>
      <c r="Q346"/>
      <c r="R346"/>
      <c r="S346"/>
      <c r="T346"/>
      <c r="U346"/>
      <c r="V346"/>
      <c r="W346"/>
      <c r="X346"/>
      <c r="Y346" s="135"/>
    </row>
    <row r="347" spans="2:25" x14ac:dyDescent="0.2">
      <c r="B347" s="128"/>
      <c r="C347" s="179" t="s">
        <v>1125</v>
      </c>
      <c r="D347" s="159"/>
      <c r="E347" s="882" t="str">
        <f>E342</f>
        <v>Impiegato amministrativo-contabile</v>
      </c>
      <c r="F347" s="883"/>
      <c r="G347" s="876" t="s">
        <v>147</v>
      </c>
      <c r="H347" s="882" t="str">
        <f>E347</f>
        <v>Impiegato amministrativo-contabile</v>
      </c>
      <c r="I347" s="883"/>
      <c r="J347" s="876" t="s">
        <v>147</v>
      </c>
      <c r="K347" s="882" t="str">
        <f>H347</f>
        <v>Impiegato amministrativo-contabile</v>
      </c>
      <c r="L347" s="883"/>
      <c r="M347" s="876" t="s">
        <v>147</v>
      </c>
      <c r="N347" s="882" t="str">
        <f>K347</f>
        <v>Impiegato amministrativo-contabile</v>
      </c>
      <c r="O347" s="883"/>
      <c r="P347" s="876" t="s">
        <v>147</v>
      </c>
      <c r="Q347"/>
      <c r="R347"/>
      <c r="S347"/>
      <c r="T347"/>
      <c r="U347"/>
      <c r="V347"/>
      <c r="W347"/>
      <c r="X347"/>
      <c r="Y347" s="135"/>
    </row>
    <row r="348" spans="2:25" x14ac:dyDescent="0.2">
      <c r="B348" s="128"/>
      <c r="C348" s="180" t="s">
        <v>1132</v>
      </c>
      <c r="D348" s="181"/>
      <c r="E348" s="189" t="s">
        <v>1128</v>
      </c>
      <c r="F348" s="190" t="s">
        <v>148</v>
      </c>
      <c r="G348" s="881"/>
      <c r="H348" s="189" t="s">
        <v>1128</v>
      </c>
      <c r="I348" s="190" t="s">
        <v>148</v>
      </c>
      <c r="J348" s="881"/>
      <c r="K348" s="189" t="s">
        <v>1128</v>
      </c>
      <c r="L348" s="190" t="s">
        <v>148</v>
      </c>
      <c r="M348" s="881"/>
      <c r="N348" s="189" t="s">
        <v>1128</v>
      </c>
      <c r="O348" s="190" t="s">
        <v>148</v>
      </c>
      <c r="P348" s="881"/>
      <c r="Q348"/>
      <c r="R348"/>
      <c r="S348"/>
      <c r="T348"/>
      <c r="U348"/>
      <c r="V348"/>
      <c r="W348"/>
      <c r="X348"/>
      <c r="Y348" s="135"/>
    </row>
    <row r="349" spans="2:25" x14ac:dyDescent="0.2">
      <c r="B349" s="128"/>
      <c r="C349" s="89" t="s">
        <v>1129</v>
      </c>
      <c r="E349" s="170">
        <f>F336*12</f>
        <v>24036</v>
      </c>
      <c r="F349" s="172">
        <f>E349*$D$342</f>
        <v>48072</v>
      </c>
      <c r="G349" s="191">
        <f>F349</f>
        <v>48072</v>
      </c>
      <c r="H349" s="170">
        <f>G336*12</f>
        <v>24660</v>
      </c>
      <c r="I349" s="172">
        <f>H349*$D$342</f>
        <v>49320</v>
      </c>
      <c r="J349" s="191">
        <f>I349</f>
        <v>49320</v>
      </c>
      <c r="K349" s="170">
        <f>H336*12</f>
        <v>25080</v>
      </c>
      <c r="L349" s="172">
        <f>K349*$D$342</f>
        <v>50160</v>
      </c>
      <c r="M349" s="191">
        <f>L349</f>
        <v>50160</v>
      </c>
      <c r="N349" s="170">
        <f>K349</f>
        <v>25080</v>
      </c>
      <c r="O349" s="172">
        <f>N349*$D$342</f>
        <v>50160</v>
      </c>
      <c r="P349" s="191">
        <f>O349</f>
        <v>50160</v>
      </c>
      <c r="Q349"/>
      <c r="R349"/>
      <c r="S349"/>
      <c r="T349"/>
      <c r="U349"/>
      <c r="V349"/>
      <c r="W349"/>
      <c r="X349"/>
      <c r="Y349" s="135"/>
    </row>
    <row r="350" spans="2:25" x14ac:dyDescent="0.2">
      <c r="B350" s="128"/>
      <c r="C350" s="89" t="s">
        <v>1130</v>
      </c>
      <c r="E350" s="168">
        <f>E349*$E$77</f>
        <v>6657.9720000000007</v>
      </c>
      <c r="F350" s="165">
        <f>E350*$D$342</f>
        <v>13315.944000000001</v>
      </c>
      <c r="G350" s="192">
        <f>F350</f>
        <v>13315.944000000001</v>
      </c>
      <c r="H350" s="168">
        <f>H349*$E$77</f>
        <v>6830.8200000000006</v>
      </c>
      <c r="I350" s="165">
        <f>H350*$D$342</f>
        <v>13661.640000000001</v>
      </c>
      <c r="J350" s="192">
        <f>I350</f>
        <v>13661.640000000001</v>
      </c>
      <c r="K350" s="168">
        <f>K349*$E$77</f>
        <v>6947.1600000000008</v>
      </c>
      <c r="L350" s="165">
        <f>K350*$D$342</f>
        <v>13894.320000000002</v>
      </c>
      <c r="M350" s="192">
        <f>L350</f>
        <v>13894.320000000002</v>
      </c>
      <c r="N350" s="168">
        <f>N349*$E$77</f>
        <v>6947.1600000000008</v>
      </c>
      <c r="O350" s="165">
        <f>N350*$D$342</f>
        <v>13894.320000000002</v>
      </c>
      <c r="P350" s="192">
        <f>O350</f>
        <v>13894.320000000002</v>
      </c>
      <c r="Q350"/>
      <c r="R350"/>
      <c r="S350"/>
      <c r="T350"/>
      <c r="U350"/>
      <c r="V350"/>
      <c r="W350"/>
      <c r="X350"/>
      <c r="Y350" s="135"/>
    </row>
    <row r="351" spans="2:25" x14ac:dyDescent="0.2">
      <c r="B351" s="128"/>
      <c r="C351" s="89" t="s">
        <v>295</v>
      </c>
      <c r="E351" s="168">
        <f>E349/$E$78</f>
        <v>1581.3157894736844</v>
      </c>
      <c r="F351" s="165">
        <f t="shared" ref="F351:F352" si="55">E351*$D$342</f>
        <v>3162.6315789473688</v>
      </c>
      <c r="G351" s="192">
        <f>F351</f>
        <v>3162.6315789473688</v>
      </c>
      <c r="H351" s="168">
        <f>H349/$E$78</f>
        <v>1622.3684210526317</v>
      </c>
      <c r="I351" s="165">
        <f t="shared" ref="I351:I352" si="56">H351*$D$342</f>
        <v>3244.7368421052633</v>
      </c>
      <c r="J351" s="192">
        <f>I351</f>
        <v>3244.7368421052633</v>
      </c>
      <c r="K351" s="168">
        <f>K349/$E$78</f>
        <v>1650</v>
      </c>
      <c r="L351" s="165">
        <f t="shared" ref="L351:L352" si="57">K351*$D$342</f>
        <v>3300</v>
      </c>
      <c r="M351" s="192">
        <f>L351</f>
        <v>3300</v>
      </c>
      <c r="N351" s="168">
        <f>N349/$E$78</f>
        <v>1650</v>
      </c>
      <c r="O351" s="165">
        <f t="shared" ref="O351:O352" si="58">N351*$D$342</f>
        <v>3300</v>
      </c>
      <c r="P351" s="192">
        <f>O351</f>
        <v>3300</v>
      </c>
      <c r="Q351"/>
      <c r="R351"/>
      <c r="S351"/>
      <c r="T351"/>
      <c r="U351"/>
      <c r="V351"/>
      <c r="W351"/>
      <c r="X351"/>
      <c r="Y351" s="135"/>
    </row>
    <row r="352" spans="2:25" x14ac:dyDescent="0.2">
      <c r="B352" s="128"/>
      <c r="C352" s="90" t="s">
        <v>1091</v>
      </c>
      <c r="D352" s="181"/>
      <c r="E352" s="173">
        <f>E349*$E$80</f>
        <v>120.18</v>
      </c>
      <c r="F352" s="167">
        <f t="shared" si="55"/>
        <v>240.36</v>
      </c>
      <c r="G352" s="193">
        <f>F352</f>
        <v>240.36</v>
      </c>
      <c r="H352" s="173">
        <f>H349*$E$80</f>
        <v>123.3</v>
      </c>
      <c r="I352" s="167">
        <f t="shared" si="56"/>
        <v>246.6</v>
      </c>
      <c r="J352" s="193">
        <f>I352</f>
        <v>246.6</v>
      </c>
      <c r="K352" s="173">
        <f>K349*$E$80</f>
        <v>125.4</v>
      </c>
      <c r="L352" s="167">
        <f t="shared" si="57"/>
        <v>250.8</v>
      </c>
      <c r="M352" s="193">
        <f>L352</f>
        <v>250.8</v>
      </c>
      <c r="N352" s="173">
        <f>N349*$E$80</f>
        <v>125.4</v>
      </c>
      <c r="O352" s="167">
        <f t="shared" si="58"/>
        <v>250.8</v>
      </c>
      <c r="P352" s="193">
        <f>O352</f>
        <v>250.8</v>
      </c>
      <c r="Q352"/>
      <c r="R352"/>
      <c r="S352"/>
      <c r="T352"/>
      <c r="U352"/>
      <c r="V352"/>
      <c r="W352"/>
      <c r="X352"/>
      <c r="Y352" s="135"/>
    </row>
    <row r="353" spans="2:25" x14ac:dyDescent="0.2">
      <c r="B353" s="128"/>
      <c r="G353" s="88">
        <f>SUM(G349:G352)</f>
        <v>64790.93557894737</v>
      </c>
      <c r="J353" s="88">
        <f>SUM(J349:J352)</f>
        <v>66472.976842105272</v>
      </c>
      <c r="M353" s="88">
        <f>SUM(M349:M352)</f>
        <v>67605.12000000001</v>
      </c>
      <c r="P353" s="88">
        <f>SUM(P349:P352)</f>
        <v>67605.12000000001</v>
      </c>
      <c r="Q353"/>
      <c r="R353"/>
      <c r="S353"/>
      <c r="T353"/>
      <c r="U353"/>
      <c r="V353"/>
      <c r="W353"/>
      <c r="X353"/>
      <c r="Y353" s="135"/>
    </row>
    <row r="354" spans="2:25" x14ac:dyDescent="0.2">
      <c r="B354" s="128"/>
      <c r="Y354" s="135"/>
    </row>
    <row r="355" spans="2:25" x14ac:dyDescent="0.2">
      <c r="B355" s="136"/>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37"/>
    </row>
    <row r="358" spans="2:25" x14ac:dyDescent="0.2">
      <c r="B358" s="74"/>
      <c r="C358" s="91"/>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27"/>
    </row>
    <row r="359" spans="2:25" x14ac:dyDescent="0.2">
      <c r="B359" s="128"/>
      <c r="C359" s="87" t="s">
        <v>1098</v>
      </c>
      <c r="D359" s="4"/>
      <c r="E359" s="87" t="s">
        <v>1158</v>
      </c>
      <c r="Y359" s="135"/>
    </row>
    <row r="360" spans="2:25" x14ac:dyDescent="0.2">
      <c r="B360" s="128"/>
      <c r="C360" s="142" t="s">
        <v>1100</v>
      </c>
      <c r="E360" s="169">
        <v>3</v>
      </c>
      <c r="Y360" s="135"/>
    </row>
    <row r="361" spans="2:25" x14ac:dyDescent="0.2">
      <c r="B361" s="128"/>
      <c r="C361" s="142" t="s">
        <v>1101</v>
      </c>
      <c r="E361" s="169" t="s">
        <v>1103</v>
      </c>
      <c r="Y361" s="135"/>
    </row>
    <row r="362" spans="2:25" x14ac:dyDescent="0.2">
      <c r="B362" s="128"/>
      <c r="C362" s="142" t="s">
        <v>1102</v>
      </c>
      <c r="E362" s="169" t="s">
        <v>1104</v>
      </c>
      <c r="Y362" s="135"/>
    </row>
    <row r="363" spans="2:25" x14ac:dyDescent="0.2">
      <c r="B363" s="128"/>
      <c r="E363" s="5" t="s">
        <v>1122</v>
      </c>
      <c r="Y363" s="135"/>
    </row>
    <row r="364" spans="2:25" x14ac:dyDescent="0.2">
      <c r="B364" s="128"/>
      <c r="Y364" s="135"/>
    </row>
    <row r="365" spans="2:25" x14ac:dyDescent="0.2">
      <c r="B365" s="128"/>
      <c r="C365" s="142" t="s">
        <v>1123</v>
      </c>
      <c r="E365" s="169">
        <v>14</v>
      </c>
      <c r="Y365" s="135"/>
    </row>
    <row r="366" spans="2:25" x14ac:dyDescent="0.2">
      <c r="B366" s="128"/>
      <c r="C366" s="142" t="s">
        <v>1105</v>
      </c>
      <c r="E366" s="5" t="s">
        <v>1106</v>
      </c>
      <c r="Y366" s="135"/>
    </row>
    <row r="367" spans="2:25" x14ac:dyDescent="0.2">
      <c r="B367" s="128"/>
      <c r="C367" s="142" t="s">
        <v>1107</v>
      </c>
      <c r="E367" s="169">
        <v>173</v>
      </c>
      <c r="Y367" s="135"/>
    </row>
    <row r="368" spans="2:25" x14ac:dyDescent="0.2">
      <c r="B368" s="128"/>
      <c r="C368" s="142"/>
      <c r="Y368" s="135"/>
    </row>
    <row r="369" spans="2:25" x14ac:dyDescent="0.2">
      <c r="B369" s="128"/>
      <c r="Y369" s="135"/>
    </row>
    <row r="370" spans="2:25" x14ac:dyDescent="0.2">
      <c r="B370" s="128"/>
      <c r="E370" s="5" t="s">
        <v>1108</v>
      </c>
      <c r="J370" s="5" t="s">
        <v>1166</v>
      </c>
      <c r="Y370" s="135"/>
    </row>
    <row r="371" spans="2:25" x14ac:dyDescent="0.2">
      <c r="B371" s="128"/>
      <c r="Y371" s="135"/>
    </row>
    <row r="372" spans="2:25" x14ac:dyDescent="0.2">
      <c r="B372" s="128"/>
      <c r="E372" s="5" t="s">
        <v>881</v>
      </c>
      <c r="F372" s="5" t="s">
        <v>1109</v>
      </c>
      <c r="G372" s="5" t="s">
        <v>1109</v>
      </c>
      <c r="H372" s="5" t="s">
        <v>1109</v>
      </c>
      <c r="J372" s="5" t="s">
        <v>881</v>
      </c>
      <c r="K372" s="5" t="s">
        <v>1109</v>
      </c>
      <c r="L372" s="5" t="s">
        <v>1109</v>
      </c>
      <c r="M372" s="5" t="s">
        <v>1109</v>
      </c>
      <c r="Y372" s="135"/>
    </row>
    <row r="373" spans="2:25" x14ac:dyDescent="0.2">
      <c r="B373" s="128"/>
      <c r="F373" s="5" t="s">
        <v>1110</v>
      </c>
      <c r="G373" s="5" t="s">
        <v>1111</v>
      </c>
      <c r="H373" s="5" t="s">
        <v>1112</v>
      </c>
      <c r="K373" s="5" t="s">
        <v>1110</v>
      </c>
      <c r="L373" s="5" t="s">
        <v>1111</v>
      </c>
      <c r="M373" s="5" t="s">
        <v>1112</v>
      </c>
      <c r="Y373" s="135"/>
    </row>
    <row r="374" spans="2:25" x14ac:dyDescent="0.2">
      <c r="B374" s="128"/>
      <c r="E374" s="5" t="s">
        <v>1113</v>
      </c>
      <c r="F374" s="164">
        <v>3379</v>
      </c>
      <c r="G374" s="164">
        <v>3479</v>
      </c>
      <c r="H374" s="164">
        <v>3545</v>
      </c>
      <c r="J374" s="5" t="s">
        <v>1164</v>
      </c>
      <c r="K374" s="164">
        <v>2565</v>
      </c>
      <c r="L374" s="164">
        <v>2638</v>
      </c>
      <c r="M374" s="164">
        <v>2685</v>
      </c>
      <c r="N374" s="164"/>
      <c r="Y374" s="135"/>
    </row>
    <row r="375" spans="2:25" x14ac:dyDescent="0.2">
      <c r="B375" s="128"/>
      <c r="E375" s="5" t="s">
        <v>1114</v>
      </c>
      <c r="F375" s="164">
        <v>3320</v>
      </c>
      <c r="G375" s="164">
        <v>3401</v>
      </c>
      <c r="H375" s="164">
        <v>3451</v>
      </c>
      <c r="J375" s="762" t="s">
        <v>1165</v>
      </c>
      <c r="K375" s="766">
        <v>2128</v>
      </c>
      <c r="L375" s="764">
        <v>2184</v>
      </c>
      <c r="M375" s="765">
        <v>2222</v>
      </c>
      <c r="N375" s="164"/>
      <c r="Y375" s="135"/>
    </row>
    <row r="376" spans="2:25" x14ac:dyDescent="0.2">
      <c r="B376" s="128"/>
      <c r="E376" s="5" t="s">
        <v>1115</v>
      </c>
      <c r="F376" s="164">
        <v>3003</v>
      </c>
      <c r="G376" s="164">
        <v>3091</v>
      </c>
      <c r="H376" s="164">
        <v>3148</v>
      </c>
      <c r="K376" s="164"/>
      <c r="L376" s="164"/>
      <c r="M376" s="164"/>
      <c r="N376" s="164"/>
      <c r="Y376" s="135"/>
    </row>
    <row r="377" spans="2:25" x14ac:dyDescent="0.2">
      <c r="B377" s="128"/>
      <c r="E377" s="762" t="s">
        <v>1116</v>
      </c>
      <c r="F377" s="766">
        <v>2565</v>
      </c>
      <c r="G377" s="764">
        <v>2638</v>
      </c>
      <c r="H377" s="765">
        <v>2685</v>
      </c>
      <c r="K377" s="164"/>
      <c r="L377" s="164"/>
      <c r="M377" s="164"/>
      <c r="N377" s="164"/>
      <c r="Y377" s="135"/>
    </row>
    <row r="378" spans="2:25" x14ac:dyDescent="0.2">
      <c r="B378" s="128"/>
      <c r="E378" s="5" t="s">
        <v>1117</v>
      </c>
      <c r="F378" s="164">
        <v>2315</v>
      </c>
      <c r="G378" s="164">
        <v>2379</v>
      </c>
      <c r="H378" s="164">
        <v>2420</v>
      </c>
      <c r="K378" s="164"/>
      <c r="L378" s="164"/>
      <c r="M378" s="164"/>
      <c r="N378" s="164"/>
      <c r="Y378" s="135"/>
    </row>
    <row r="379" spans="2:25" x14ac:dyDescent="0.2">
      <c r="B379" s="128"/>
      <c r="E379" s="5" t="s">
        <v>1118</v>
      </c>
      <c r="F379" s="164">
        <v>2128</v>
      </c>
      <c r="G379" s="164">
        <v>2184</v>
      </c>
      <c r="H379" s="164">
        <v>2222</v>
      </c>
      <c r="K379" s="164"/>
      <c r="L379" s="164"/>
      <c r="M379" s="164"/>
      <c r="N379" s="164"/>
      <c r="Y379" s="135"/>
    </row>
    <row r="380" spans="2:25" x14ac:dyDescent="0.2">
      <c r="B380" s="128"/>
      <c r="E380" s="5" t="s">
        <v>1119</v>
      </c>
      <c r="F380" s="164">
        <v>2003</v>
      </c>
      <c r="G380" s="164">
        <v>2055</v>
      </c>
      <c r="H380" s="164">
        <v>2090</v>
      </c>
      <c r="K380" s="164"/>
      <c r="L380" s="164"/>
      <c r="M380" s="164"/>
      <c r="N380" s="164"/>
      <c r="Y380" s="135"/>
    </row>
    <row r="381" spans="2:25" x14ac:dyDescent="0.2">
      <c r="B381" s="128"/>
      <c r="E381" s="5" t="s">
        <v>1120</v>
      </c>
      <c r="F381" s="164">
        <v>1878</v>
      </c>
      <c r="G381" s="164">
        <v>1925</v>
      </c>
      <c r="H381" s="164">
        <v>1957</v>
      </c>
      <c r="Y381" s="135"/>
    </row>
    <row r="382" spans="2:25" x14ac:dyDescent="0.2">
      <c r="B382" s="128"/>
      <c r="E382" s="5" t="s">
        <v>1121</v>
      </c>
      <c r="F382" s="164">
        <v>1753</v>
      </c>
      <c r="G382" s="164">
        <v>1797</v>
      </c>
      <c r="H382" s="164">
        <v>1825</v>
      </c>
      <c r="Y382" s="135"/>
    </row>
    <row r="383" spans="2:25" x14ac:dyDescent="0.2">
      <c r="B383" s="128"/>
      <c r="Y383" s="135"/>
    </row>
    <row r="384" spans="2:25" x14ac:dyDescent="0.2">
      <c r="B384" s="128"/>
      <c r="Y384" s="135"/>
    </row>
    <row r="385" spans="2:25" x14ac:dyDescent="0.2">
      <c r="B385" s="128"/>
      <c r="F385" s="5" t="s">
        <v>881</v>
      </c>
      <c r="Y385" s="135"/>
    </row>
    <row r="386" spans="2:25" x14ac:dyDescent="0.2">
      <c r="B386" s="128"/>
      <c r="C386" s="169" t="s">
        <v>1131</v>
      </c>
      <c r="D386" s="5">
        <v>1</v>
      </c>
      <c r="E386" s="5" t="s">
        <v>1162</v>
      </c>
      <c r="F386" s="5" t="s">
        <v>1163</v>
      </c>
      <c r="Y386" s="135"/>
    </row>
    <row r="387" spans="2:25" x14ac:dyDescent="0.2">
      <c r="B387" s="128"/>
      <c r="D387" s="5">
        <v>1</v>
      </c>
      <c r="E387" s="5" t="s">
        <v>1161</v>
      </c>
      <c r="F387" s="5" t="s">
        <v>1167</v>
      </c>
      <c r="Y387" s="135"/>
    </row>
    <row r="388" spans="2:25" x14ac:dyDescent="0.2">
      <c r="B388" s="128"/>
      <c r="Y388" s="135"/>
    </row>
    <row r="389" spans="2:25" x14ac:dyDescent="0.2">
      <c r="B389" s="128"/>
      <c r="Y389" s="135"/>
    </row>
    <row r="390" spans="2:25" x14ac:dyDescent="0.2">
      <c r="B390" s="128"/>
      <c r="C390" s="87" t="s">
        <v>1124</v>
      </c>
      <c r="E390" s="880">
        <v>2025</v>
      </c>
      <c r="F390" s="873"/>
      <c r="G390" s="873"/>
      <c r="H390" s="873"/>
      <c r="I390" s="874"/>
      <c r="J390" s="880">
        <v>2026</v>
      </c>
      <c r="K390" s="873"/>
      <c r="L390" s="873"/>
      <c r="M390" s="873"/>
      <c r="N390" s="873"/>
      <c r="O390" s="880">
        <v>2027</v>
      </c>
      <c r="P390" s="873"/>
      <c r="Q390" s="873"/>
      <c r="R390" s="873"/>
      <c r="S390" s="874"/>
      <c r="T390" s="873">
        <v>2027</v>
      </c>
      <c r="U390" s="873"/>
      <c r="V390" s="873"/>
      <c r="W390" s="873"/>
      <c r="X390" s="874"/>
      <c r="Y390" s="135"/>
    </row>
    <row r="391" spans="2:25" x14ac:dyDescent="0.2">
      <c r="B391" s="128"/>
      <c r="C391" s="179" t="s">
        <v>1125</v>
      </c>
      <c r="D391" s="159"/>
      <c r="E391" s="878" t="str">
        <f>E386</f>
        <v>Agente commerciale</v>
      </c>
      <c r="F391" s="879"/>
      <c r="G391" s="875" t="str">
        <f>E387</f>
        <v>Responsabile commerciale</v>
      </c>
      <c r="H391" s="875"/>
      <c r="I391" s="876" t="s">
        <v>147</v>
      </c>
      <c r="J391" s="878" t="str">
        <f>E391</f>
        <v>Agente commerciale</v>
      </c>
      <c r="K391" s="875"/>
      <c r="L391" s="878" t="str">
        <f>G391</f>
        <v>Responsabile commerciale</v>
      </c>
      <c r="M391" s="879"/>
      <c r="N391" s="876" t="s">
        <v>147</v>
      </c>
      <c r="O391" s="875" t="str">
        <f>J391</f>
        <v>Agente commerciale</v>
      </c>
      <c r="P391" s="875"/>
      <c r="Q391" s="878" t="str">
        <f>L391</f>
        <v>Responsabile commerciale</v>
      </c>
      <c r="R391" s="879"/>
      <c r="S391" s="876" t="s">
        <v>147</v>
      </c>
      <c r="T391" s="875" t="str">
        <f>O391</f>
        <v>Agente commerciale</v>
      </c>
      <c r="U391" s="875"/>
      <c r="V391" s="878" t="str">
        <f>Q391</f>
        <v>Responsabile commerciale</v>
      </c>
      <c r="W391" s="879"/>
      <c r="X391" s="876" t="s">
        <v>147</v>
      </c>
      <c r="Y391" s="135"/>
    </row>
    <row r="392" spans="2:25" x14ac:dyDescent="0.2">
      <c r="B392" s="128"/>
      <c r="C392" s="180" t="s">
        <v>1132</v>
      </c>
      <c r="D392" s="181"/>
      <c r="E392" s="182" t="s">
        <v>1128</v>
      </c>
      <c r="F392" s="183" t="s">
        <v>148</v>
      </c>
      <c r="G392" s="184" t="s">
        <v>1128</v>
      </c>
      <c r="H392" s="184" t="s">
        <v>148</v>
      </c>
      <c r="I392" s="877"/>
      <c r="J392" s="182" t="s">
        <v>1128</v>
      </c>
      <c r="K392" s="184" t="s">
        <v>148</v>
      </c>
      <c r="L392" s="182" t="s">
        <v>1128</v>
      </c>
      <c r="M392" s="183" t="s">
        <v>148</v>
      </c>
      <c r="N392" s="877"/>
      <c r="O392" s="184" t="s">
        <v>1128</v>
      </c>
      <c r="P392" s="184" t="s">
        <v>148</v>
      </c>
      <c r="Q392" s="182" t="s">
        <v>1128</v>
      </c>
      <c r="R392" s="183" t="s">
        <v>148</v>
      </c>
      <c r="S392" s="877"/>
      <c r="T392" s="184" t="s">
        <v>1128</v>
      </c>
      <c r="U392" s="184" t="s">
        <v>148</v>
      </c>
      <c r="V392" s="182" t="s">
        <v>1128</v>
      </c>
      <c r="W392" s="183" t="s">
        <v>148</v>
      </c>
      <c r="X392" s="877"/>
      <c r="Y392" s="135"/>
    </row>
    <row r="393" spans="2:25" x14ac:dyDescent="0.2">
      <c r="B393" s="128"/>
      <c r="C393" s="89" t="s">
        <v>1129</v>
      </c>
      <c r="E393" s="168">
        <f>K375*12</f>
        <v>25536</v>
      </c>
      <c r="F393" s="165">
        <f>E393*$D$386</f>
        <v>25536</v>
      </c>
      <c r="G393" s="164">
        <f>F377*12</f>
        <v>30780</v>
      </c>
      <c r="H393" s="164">
        <f>G393*$D$211</f>
        <v>61560</v>
      </c>
      <c r="I393" s="185">
        <f>H393+F393</f>
        <v>87096</v>
      </c>
      <c r="J393" s="168">
        <f>L375*12</f>
        <v>26208</v>
      </c>
      <c r="K393" s="164">
        <f>J393*$D$386</f>
        <v>26208</v>
      </c>
      <c r="L393" s="168">
        <f>G377*12</f>
        <v>31656</v>
      </c>
      <c r="M393" s="165">
        <f>L393*$D$211</f>
        <v>63312</v>
      </c>
      <c r="N393" s="185">
        <f>M393+K393</f>
        <v>89520</v>
      </c>
      <c r="O393" s="164">
        <f>M375*12</f>
        <v>26664</v>
      </c>
      <c r="P393" s="164">
        <f>O393*$D$386</f>
        <v>26664</v>
      </c>
      <c r="Q393" s="168">
        <f>H377*12</f>
        <v>32220</v>
      </c>
      <c r="R393" s="165">
        <f>Q393*$D$211</f>
        <v>64440</v>
      </c>
      <c r="S393" s="185">
        <f>R393+P393</f>
        <v>91104</v>
      </c>
      <c r="T393" s="164">
        <f>O393</f>
        <v>26664</v>
      </c>
      <c r="U393" s="164">
        <f>T393*$D$386</f>
        <v>26664</v>
      </c>
      <c r="V393" s="168">
        <f>Q393</f>
        <v>32220</v>
      </c>
      <c r="W393" s="165">
        <f>V393*$D$211</f>
        <v>64440</v>
      </c>
      <c r="X393" s="185">
        <f>W393+U393</f>
        <v>91104</v>
      </c>
      <c r="Y393" s="135"/>
    </row>
    <row r="394" spans="2:25" x14ac:dyDescent="0.2">
      <c r="B394" s="128"/>
      <c r="C394" s="89" t="s">
        <v>1130</v>
      </c>
      <c r="E394" s="168">
        <f>E393*$E$77</f>
        <v>7073.4720000000007</v>
      </c>
      <c r="F394" s="165">
        <f>E394*$D$386</f>
        <v>7073.4720000000007</v>
      </c>
      <c r="G394" s="164">
        <f>G393*$E$77</f>
        <v>8526.0600000000013</v>
      </c>
      <c r="H394" s="164">
        <f t="shared" ref="H394:H396" si="59">G394*$D$211</f>
        <v>17052.120000000003</v>
      </c>
      <c r="I394" s="185">
        <f t="shared" ref="I394:I396" si="60">H394+F394</f>
        <v>24125.592000000004</v>
      </c>
      <c r="J394" s="168">
        <f>J393*$E$77</f>
        <v>7259.6160000000009</v>
      </c>
      <c r="K394" s="164">
        <f>J394*$D$386</f>
        <v>7259.6160000000009</v>
      </c>
      <c r="L394" s="168">
        <f>L393*$E$77</f>
        <v>8768.7120000000014</v>
      </c>
      <c r="M394" s="165">
        <f t="shared" ref="M394:M396" si="61">L394*$D$211</f>
        <v>17537.424000000003</v>
      </c>
      <c r="N394" s="185">
        <f t="shared" ref="N394:N396" si="62">M394+K394</f>
        <v>24797.040000000005</v>
      </c>
      <c r="O394" s="164">
        <f>O393*$E$77</f>
        <v>7385.9280000000008</v>
      </c>
      <c r="P394" s="164">
        <f>O394*$D$386</f>
        <v>7385.9280000000008</v>
      </c>
      <c r="Q394" s="168">
        <f>Q393*$E$77</f>
        <v>8924.94</v>
      </c>
      <c r="R394" s="165">
        <f t="shared" ref="R394:R396" si="63">Q394*$D$211</f>
        <v>17849.88</v>
      </c>
      <c r="S394" s="185">
        <f t="shared" ref="S394:S396" si="64">R394+P394</f>
        <v>25235.808000000001</v>
      </c>
      <c r="T394" s="164">
        <f>O394</f>
        <v>7385.9280000000008</v>
      </c>
      <c r="U394" s="164">
        <f>T394*$D$386</f>
        <v>7385.9280000000008</v>
      </c>
      <c r="V394" s="168">
        <f>V393*$E$77</f>
        <v>8924.94</v>
      </c>
      <c r="W394" s="165">
        <f t="shared" ref="W394:W396" si="65">V394*$D$211</f>
        <v>17849.88</v>
      </c>
      <c r="X394" s="185">
        <f t="shared" ref="X394:X396" si="66">W394+U394</f>
        <v>25235.808000000001</v>
      </c>
      <c r="Y394" s="135"/>
    </row>
    <row r="395" spans="2:25" x14ac:dyDescent="0.2">
      <c r="B395" s="128"/>
      <c r="C395" s="89" t="s">
        <v>295</v>
      </c>
      <c r="E395" s="168">
        <f>E393/$E$78</f>
        <v>1680</v>
      </c>
      <c r="F395" s="165">
        <f t="shared" ref="F395:F396" si="67">E395*$D$386</f>
        <v>1680</v>
      </c>
      <c r="G395" s="164">
        <f>G393/$E$78</f>
        <v>2025</v>
      </c>
      <c r="H395" s="164">
        <f t="shared" si="59"/>
        <v>4050</v>
      </c>
      <c r="I395" s="185">
        <f t="shared" si="60"/>
        <v>5730</v>
      </c>
      <c r="J395" s="168">
        <f>J393/$E$78</f>
        <v>1724.2105263157896</v>
      </c>
      <c r="K395" s="164">
        <f t="shared" ref="K395:K396" si="68">J395*$D$386</f>
        <v>1724.2105263157896</v>
      </c>
      <c r="L395" s="168">
        <f>L393/$E$78</f>
        <v>2082.6315789473683</v>
      </c>
      <c r="M395" s="165">
        <f t="shared" si="61"/>
        <v>4165.2631578947367</v>
      </c>
      <c r="N395" s="185">
        <f t="shared" si="62"/>
        <v>5889.4736842105267</v>
      </c>
      <c r="O395" s="164">
        <f>O393/$E$78</f>
        <v>1754.2105263157896</v>
      </c>
      <c r="P395" s="164">
        <f t="shared" ref="P395:P396" si="69">O395*$D$386</f>
        <v>1754.2105263157896</v>
      </c>
      <c r="Q395" s="168">
        <f>Q393/$E$78</f>
        <v>2119.7368421052633</v>
      </c>
      <c r="R395" s="165">
        <f t="shared" si="63"/>
        <v>4239.4736842105267</v>
      </c>
      <c r="S395" s="185">
        <f t="shared" si="64"/>
        <v>5993.6842105263167</v>
      </c>
      <c r="T395" s="164">
        <f>O395</f>
        <v>1754.2105263157896</v>
      </c>
      <c r="U395" s="164">
        <f t="shared" ref="U395:U396" si="70">T395*$D$386</f>
        <v>1754.2105263157896</v>
      </c>
      <c r="V395" s="168">
        <f>V393/$E$78</f>
        <v>2119.7368421052633</v>
      </c>
      <c r="W395" s="165">
        <f t="shared" si="65"/>
        <v>4239.4736842105267</v>
      </c>
      <c r="X395" s="185">
        <f t="shared" si="66"/>
        <v>5993.6842105263167</v>
      </c>
      <c r="Y395" s="135"/>
    </row>
    <row r="396" spans="2:25" x14ac:dyDescent="0.2">
      <c r="B396" s="128"/>
      <c r="C396" s="90" t="s">
        <v>1091</v>
      </c>
      <c r="D396" s="181"/>
      <c r="E396" s="173">
        <f>E393*$E$80</f>
        <v>127.68</v>
      </c>
      <c r="F396" s="167">
        <f t="shared" si="67"/>
        <v>127.68</v>
      </c>
      <c r="G396" s="166">
        <f>G393*$E$80</f>
        <v>153.9</v>
      </c>
      <c r="H396" s="166">
        <f t="shared" si="59"/>
        <v>307.8</v>
      </c>
      <c r="I396" s="186">
        <f t="shared" si="60"/>
        <v>435.48</v>
      </c>
      <c r="J396" s="173">
        <f>J393*$E$80</f>
        <v>131.04</v>
      </c>
      <c r="K396" s="166">
        <f t="shared" si="68"/>
        <v>131.04</v>
      </c>
      <c r="L396" s="173">
        <f>L393*$E$80</f>
        <v>158.28</v>
      </c>
      <c r="M396" s="167">
        <f t="shared" si="61"/>
        <v>316.56</v>
      </c>
      <c r="N396" s="186">
        <f t="shared" si="62"/>
        <v>447.6</v>
      </c>
      <c r="O396" s="166">
        <f>O393*$E$80</f>
        <v>133.32</v>
      </c>
      <c r="P396" s="166">
        <f t="shared" si="69"/>
        <v>133.32</v>
      </c>
      <c r="Q396" s="173">
        <f>Q393*$E$80</f>
        <v>161.1</v>
      </c>
      <c r="R396" s="167">
        <f t="shared" si="63"/>
        <v>322.2</v>
      </c>
      <c r="S396" s="186">
        <f t="shared" si="64"/>
        <v>455.52</v>
      </c>
      <c r="T396" s="166">
        <f>O396</f>
        <v>133.32</v>
      </c>
      <c r="U396" s="166">
        <f t="shared" si="70"/>
        <v>133.32</v>
      </c>
      <c r="V396" s="173">
        <f>V393*$E$80</f>
        <v>161.1</v>
      </c>
      <c r="W396" s="167">
        <f t="shared" si="65"/>
        <v>322.2</v>
      </c>
      <c r="X396" s="186">
        <f t="shared" si="66"/>
        <v>455.52</v>
      </c>
      <c r="Y396" s="135"/>
    </row>
    <row r="397" spans="2:25" x14ac:dyDescent="0.2">
      <c r="B397" s="128"/>
      <c r="I397" s="88">
        <f>SUM(I393:I396)</f>
        <v>117387.072</v>
      </c>
      <c r="N397" s="88">
        <f>SUM(N393:N396)</f>
        <v>120654.11368421055</v>
      </c>
      <c r="S397" s="88">
        <f>SUM(S393:S396)</f>
        <v>122789.01221052633</v>
      </c>
      <c r="X397" s="88">
        <f>SUM(X393:X396)</f>
        <v>122789.01221052633</v>
      </c>
      <c r="Y397" s="135"/>
    </row>
    <row r="398" spans="2:25" x14ac:dyDescent="0.2">
      <c r="B398" s="128"/>
      <c r="Y398" s="135"/>
    </row>
    <row r="399" spans="2:25" x14ac:dyDescent="0.2">
      <c r="B399" s="136"/>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37"/>
    </row>
    <row r="402" spans="2:25" x14ac:dyDescent="0.2">
      <c r="B402" s="74"/>
      <c r="C402" s="91"/>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27"/>
    </row>
    <row r="403" spans="2:25" x14ac:dyDescent="0.2">
      <c r="B403" s="128"/>
      <c r="C403" s="87" t="s">
        <v>1098</v>
      </c>
      <c r="D403" s="4"/>
      <c r="E403" s="87" t="s">
        <v>1159</v>
      </c>
      <c r="Y403" s="135"/>
    </row>
    <row r="404" spans="2:25" x14ac:dyDescent="0.2">
      <c r="B404" s="128"/>
      <c r="C404" s="142" t="s">
        <v>1100</v>
      </c>
      <c r="E404" s="169">
        <v>1</v>
      </c>
      <c r="Y404" s="135"/>
    </row>
    <row r="405" spans="2:25" x14ac:dyDescent="0.2">
      <c r="B405" s="128"/>
      <c r="C405" s="142" t="s">
        <v>1101</v>
      </c>
      <c r="E405" s="169" t="s">
        <v>1103</v>
      </c>
      <c r="Y405" s="135"/>
    </row>
    <row r="406" spans="2:25" x14ac:dyDescent="0.2">
      <c r="B406" s="128"/>
      <c r="C406" s="142" t="s">
        <v>1102</v>
      </c>
      <c r="E406" s="169" t="s">
        <v>1104</v>
      </c>
      <c r="Y406" s="135"/>
    </row>
    <row r="407" spans="2:25" x14ac:dyDescent="0.2">
      <c r="B407" s="128"/>
      <c r="E407" s="5" t="s">
        <v>1122</v>
      </c>
      <c r="Y407" s="135"/>
    </row>
    <row r="408" spans="2:25" x14ac:dyDescent="0.2">
      <c r="B408" s="128"/>
      <c r="Y408" s="135"/>
    </row>
    <row r="409" spans="2:25" x14ac:dyDescent="0.2">
      <c r="B409" s="128"/>
      <c r="C409" s="142" t="s">
        <v>1123</v>
      </c>
      <c r="E409" s="169">
        <v>14</v>
      </c>
      <c r="Y409" s="135"/>
    </row>
    <row r="410" spans="2:25" x14ac:dyDescent="0.2">
      <c r="B410" s="128"/>
      <c r="C410" s="142" t="s">
        <v>1105</v>
      </c>
      <c r="E410" s="5" t="s">
        <v>1106</v>
      </c>
      <c r="Y410" s="135"/>
    </row>
    <row r="411" spans="2:25" x14ac:dyDescent="0.2">
      <c r="B411" s="128"/>
      <c r="C411" s="142" t="s">
        <v>1107</v>
      </c>
      <c r="E411" s="169">
        <v>173</v>
      </c>
      <c r="Y411" s="135"/>
    </row>
    <row r="412" spans="2:25" x14ac:dyDescent="0.2">
      <c r="B412" s="128"/>
      <c r="C412" s="142"/>
      <c r="Y412" s="135"/>
    </row>
    <row r="413" spans="2:25" x14ac:dyDescent="0.2">
      <c r="B413" s="128"/>
      <c r="Y413" s="135"/>
    </row>
    <row r="414" spans="2:25" x14ac:dyDescent="0.2">
      <c r="B414" s="128"/>
      <c r="E414" s="5" t="s">
        <v>1108</v>
      </c>
      <c r="Y414" s="135"/>
    </row>
    <row r="415" spans="2:25" x14ac:dyDescent="0.2">
      <c r="B415" s="128"/>
      <c r="Y415" s="135"/>
    </row>
    <row r="416" spans="2:25" x14ac:dyDescent="0.2">
      <c r="B416" s="128"/>
      <c r="E416" s="5" t="s">
        <v>881</v>
      </c>
      <c r="F416" s="5" t="s">
        <v>1109</v>
      </c>
      <c r="G416" s="5" t="s">
        <v>1109</v>
      </c>
      <c r="H416" s="5" t="s">
        <v>1109</v>
      </c>
      <c r="Y416" s="135"/>
    </row>
    <row r="417" spans="2:25" x14ac:dyDescent="0.2">
      <c r="B417" s="128"/>
      <c r="F417" s="5" t="s">
        <v>1110</v>
      </c>
      <c r="G417" s="5" t="s">
        <v>1111</v>
      </c>
      <c r="H417" s="5" t="s">
        <v>1112</v>
      </c>
      <c r="Y417" s="135"/>
    </row>
    <row r="418" spans="2:25" x14ac:dyDescent="0.2">
      <c r="B418" s="128"/>
      <c r="E418" s="5" t="s">
        <v>1113</v>
      </c>
      <c r="F418" s="164">
        <v>3379</v>
      </c>
      <c r="G418" s="164">
        <v>3479</v>
      </c>
      <c r="H418" s="164">
        <v>3545</v>
      </c>
      <c r="K418" s="164"/>
      <c r="L418" s="164"/>
      <c r="M418" s="164"/>
      <c r="N418" s="164"/>
      <c r="Y418" s="135"/>
    </row>
    <row r="419" spans="2:25" x14ac:dyDescent="0.2">
      <c r="B419" s="128"/>
      <c r="E419" s="762" t="s">
        <v>1114</v>
      </c>
      <c r="F419" s="766">
        <v>3320</v>
      </c>
      <c r="G419" s="764">
        <v>3401</v>
      </c>
      <c r="H419" s="765">
        <v>3451</v>
      </c>
      <c r="K419" s="164"/>
      <c r="L419" s="164"/>
      <c r="M419" s="164"/>
      <c r="N419" s="164"/>
      <c r="Y419" s="135"/>
    </row>
    <row r="420" spans="2:25" x14ac:dyDescent="0.2">
      <c r="B420" s="128"/>
      <c r="E420" s="5" t="s">
        <v>1115</v>
      </c>
      <c r="F420" s="164">
        <v>3003</v>
      </c>
      <c r="G420" s="164">
        <v>3091</v>
      </c>
      <c r="H420" s="164">
        <v>3148</v>
      </c>
      <c r="K420" s="164"/>
      <c r="L420" s="164"/>
      <c r="M420" s="164"/>
      <c r="N420" s="164"/>
      <c r="Y420" s="135"/>
    </row>
    <row r="421" spans="2:25" x14ac:dyDescent="0.2">
      <c r="B421" s="128"/>
      <c r="E421" s="5" t="s">
        <v>1116</v>
      </c>
      <c r="F421" s="164">
        <v>2565</v>
      </c>
      <c r="G421" s="164">
        <v>2638</v>
      </c>
      <c r="H421" s="164">
        <v>2685</v>
      </c>
      <c r="K421" s="164"/>
      <c r="L421" s="164"/>
      <c r="M421" s="164"/>
      <c r="N421" s="164"/>
      <c r="Y421" s="135"/>
    </row>
    <row r="422" spans="2:25" x14ac:dyDescent="0.2">
      <c r="B422" s="128"/>
      <c r="E422" s="5" t="s">
        <v>1117</v>
      </c>
      <c r="F422" s="164">
        <v>2315</v>
      </c>
      <c r="G422" s="164">
        <v>2379</v>
      </c>
      <c r="H422" s="164">
        <v>2420</v>
      </c>
      <c r="K422" s="164"/>
      <c r="L422" s="164"/>
      <c r="M422" s="164"/>
      <c r="N422" s="164"/>
      <c r="Y422" s="135"/>
    </row>
    <row r="423" spans="2:25" x14ac:dyDescent="0.2">
      <c r="B423" s="128"/>
      <c r="E423" s="5" t="s">
        <v>1118</v>
      </c>
      <c r="F423" s="92">
        <v>2128</v>
      </c>
      <c r="G423" s="92">
        <v>2184</v>
      </c>
      <c r="H423" s="92">
        <v>2222</v>
      </c>
      <c r="K423" s="164"/>
      <c r="L423" s="164"/>
      <c r="M423" s="164"/>
      <c r="N423" s="164"/>
      <c r="Y423" s="135"/>
    </row>
    <row r="424" spans="2:25" x14ac:dyDescent="0.2">
      <c r="B424" s="128"/>
      <c r="E424" s="5" t="s">
        <v>1119</v>
      </c>
      <c r="F424" s="164">
        <v>2003</v>
      </c>
      <c r="G424" s="164">
        <v>2055</v>
      </c>
      <c r="H424" s="164">
        <v>2090</v>
      </c>
      <c r="K424" s="164"/>
      <c r="L424" s="164"/>
      <c r="M424" s="164"/>
      <c r="N424" s="164"/>
      <c r="Y424" s="135"/>
    </row>
    <row r="425" spans="2:25" x14ac:dyDescent="0.2">
      <c r="B425" s="128"/>
      <c r="E425" s="5" t="s">
        <v>1120</v>
      </c>
      <c r="F425" s="164">
        <v>1878</v>
      </c>
      <c r="G425" s="164">
        <v>1925</v>
      </c>
      <c r="H425" s="164">
        <v>1957</v>
      </c>
      <c r="Y425" s="135"/>
    </row>
    <row r="426" spans="2:25" x14ac:dyDescent="0.2">
      <c r="B426" s="128"/>
      <c r="E426" s="5" t="s">
        <v>1121</v>
      </c>
      <c r="F426" s="164">
        <v>1753</v>
      </c>
      <c r="G426" s="164">
        <v>1797</v>
      </c>
      <c r="H426" s="164">
        <v>1825</v>
      </c>
      <c r="Y426" s="135"/>
    </row>
    <row r="427" spans="2:25" x14ac:dyDescent="0.2">
      <c r="B427" s="128"/>
      <c r="Y427" s="135"/>
    </row>
    <row r="428" spans="2:25" x14ac:dyDescent="0.2">
      <c r="B428" s="128"/>
      <c r="Y428" s="135"/>
    </row>
    <row r="429" spans="2:25" x14ac:dyDescent="0.2">
      <c r="B429" s="128"/>
      <c r="F429" s="5" t="s">
        <v>881</v>
      </c>
      <c r="Y429" s="135"/>
    </row>
    <row r="430" spans="2:25" x14ac:dyDescent="0.2">
      <c r="B430" s="128"/>
      <c r="C430" s="169" t="s">
        <v>1131</v>
      </c>
      <c r="D430" s="5">
        <f>E404</f>
        <v>1</v>
      </c>
      <c r="E430" s="5" t="s">
        <v>1169</v>
      </c>
      <c r="F430" s="5" t="s">
        <v>1168</v>
      </c>
      <c r="Y430" s="135"/>
    </row>
    <row r="431" spans="2:25" x14ac:dyDescent="0.2">
      <c r="B431" s="128"/>
      <c r="Y431" s="135"/>
    </row>
    <row r="432" spans="2:25" x14ac:dyDescent="0.2">
      <c r="B432" s="128"/>
      <c r="Y432" s="135"/>
    </row>
    <row r="433" spans="2:25" x14ac:dyDescent="0.2">
      <c r="B433" s="128"/>
      <c r="Y433" s="135"/>
    </row>
    <row r="434" spans="2:25" x14ac:dyDescent="0.2">
      <c r="B434" s="128"/>
      <c r="C434" s="87" t="s">
        <v>1124</v>
      </c>
      <c r="E434" s="884">
        <v>2025</v>
      </c>
      <c r="F434" s="885"/>
      <c r="G434" s="886"/>
      <c r="H434" s="884">
        <v>2026</v>
      </c>
      <c r="I434" s="885"/>
      <c r="J434" s="886"/>
      <c r="K434" s="884">
        <v>2027</v>
      </c>
      <c r="L434" s="885"/>
      <c r="M434" s="886"/>
      <c r="N434" s="884">
        <v>2028</v>
      </c>
      <c r="O434" s="885"/>
      <c r="P434" s="886"/>
      <c r="Q434"/>
      <c r="R434"/>
      <c r="S434"/>
      <c r="T434"/>
      <c r="U434"/>
      <c r="V434"/>
      <c r="W434"/>
      <c r="X434"/>
      <c r="Y434" s="135"/>
    </row>
    <row r="435" spans="2:25" x14ac:dyDescent="0.2">
      <c r="B435" s="128"/>
      <c r="C435" s="179" t="s">
        <v>1125</v>
      </c>
      <c r="D435" s="159"/>
      <c r="E435" s="882" t="str">
        <f>E430</f>
        <v>Responsabile finanziario</v>
      </c>
      <c r="F435" s="883"/>
      <c r="G435" s="876" t="s">
        <v>147</v>
      </c>
      <c r="H435" s="882" t="str">
        <f>E435</f>
        <v>Responsabile finanziario</v>
      </c>
      <c r="I435" s="883"/>
      <c r="J435" s="876" t="s">
        <v>147</v>
      </c>
      <c r="K435" s="882" t="str">
        <f>H435</f>
        <v>Responsabile finanziario</v>
      </c>
      <c r="L435" s="883"/>
      <c r="M435" s="876" t="s">
        <v>147</v>
      </c>
      <c r="N435" s="882" t="str">
        <f>K435</f>
        <v>Responsabile finanziario</v>
      </c>
      <c r="O435" s="883"/>
      <c r="P435" s="876" t="s">
        <v>147</v>
      </c>
      <c r="Q435"/>
      <c r="R435"/>
      <c r="S435"/>
      <c r="T435"/>
      <c r="U435"/>
      <c r="V435"/>
      <c r="W435"/>
      <c r="X435"/>
      <c r="Y435" s="135"/>
    </row>
    <row r="436" spans="2:25" x14ac:dyDescent="0.2">
      <c r="B436" s="128"/>
      <c r="C436" s="180" t="s">
        <v>1132</v>
      </c>
      <c r="D436" s="181"/>
      <c r="E436" s="189" t="s">
        <v>1128</v>
      </c>
      <c r="F436" s="190" t="s">
        <v>148</v>
      </c>
      <c r="G436" s="881"/>
      <c r="H436" s="189" t="s">
        <v>1128</v>
      </c>
      <c r="I436" s="190" t="s">
        <v>148</v>
      </c>
      <c r="J436" s="881"/>
      <c r="K436" s="189" t="s">
        <v>1128</v>
      </c>
      <c r="L436" s="190" t="s">
        <v>148</v>
      </c>
      <c r="M436" s="881"/>
      <c r="N436" s="189" t="s">
        <v>1128</v>
      </c>
      <c r="O436" s="190" t="s">
        <v>148</v>
      </c>
      <c r="P436" s="881"/>
      <c r="Q436"/>
      <c r="R436"/>
      <c r="S436"/>
      <c r="T436"/>
      <c r="U436"/>
      <c r="V436"/>
      <c r="W436"/>
      <c r="X436"/>
      <c r="Y436" s="135"/>
    </row>
    <row r="437" spans="2:25" x14ac:dyDescent="0.2">
      <c r="B437" s="128"/>
      <c r="C437" s="89" t="s">
        <v>1129</v>
      </c>
      <c r="E437" s="170">
        <f>F419*12</f>
        <v>39840</v>
      </c>
      <c r="F437" s="172">
        <f>E437*$D$430</f>
        <v>39840</v>
      </c>
      <c r="G437" s="191">
        <f>F437</f>
        <v>39840</v>
      </c>
      <c r="H437" s="170">
        <f>G419*12</f>
        <v>40812</v>
      </c>
      <c r="I437" s="172">
        <f>H437*$D$430</f>
        <v>40812</v>
      </c>
      <c r="J437" s="191">
        <f>I437</f>
        <v>40812</v>
      </c>
      <c r="K437" s="170">
        <f>H419*12</f>
        <v>41412</v>
      </c>
      <c r="L437" s="172">
        <f>K437*$D$430</f>
        <v>41412</v>
      </c>
      <c r="M437" s="191">
        <f>L437</f>
        <v>41412</v>
      </c>
      <c r="N437" s="170">
        <f>K437</f>
        <v>41412</v>
      </c>
      <c r="O437" s="172">
        <f>N437*$D$430</f>
        <v>41412</v>
      </c>
      <c r="P437" s="191">
        <f>O437</f>
        <v>41412</v>
      </c>
      <c r="Q437"/>
      <c r="R437"/>
      <c r="S437"/>
      <c r="T437"/>
      <c r="U437"/>
      <c r="V437"/>
      <c r="W437"/>
      <c r="X437"/>
      <c r="Y437" s="135"/>
    </row>
    <row r="438" spans="2:25" x14ac:dyDescent="0.2">
      <c r="B438" s="128"/>
      <c r="C438" s="89" t="s">
        <v>1130</v>
      </c>
      <c r="E438" s="168">
        <f>F441*$E$77</f>
        <v>15449.952000000001</v>
      </c>
      <c r="F438" s="165">
        <f>E438*$D$430</f>
        <v>15449.952000000001</v>
      </c>
      <c r="G438" s="192">
        <f>F438</f>
        <v>15449.952000000001</v>
      </c>
      <c r="H438" s="168">
        <f>I441*$E$77</f>
        <v>15826.893599999999</v>
      </c>
      <c r="I438" s="165">
        <f>H438*$D$430</f>
        <v>15826.893599999999</v>
      </c>
      <c r="J438" s="192">
        <f>I438</f>
        <v>15826.893599999999</v>
      </c>
      <c r="K438" s="168">
        <f>L441*$E$77</f>
        <v>16059.5736</v>
      </c>
      <c r="L438" s="165">
        <f>K438*$D$430</f>
        <v>16059.5736</v>
      </c>
      <c r="M438" s="192">
        <f>L438</f>
        <v>16059.5736</v>
      </c>
      <c r="N438" s="168">
        <f>O441*$E$77</f>
        <v>16059.5736</v>
      </c>
      <c r="O438" s="165">
        <f>N438*$D$430</f>
        <v>16059.5736</v>
      </c>
      <c r="P438" s="192">
        <f>O438</f>
        <v>16059.5736</v>
      </c>
      <c r="Q438"/>
      <c r="R438"/>
      <c r="S438"/>
      <c r="T438"/>
      <c r="U438"/>
      <c r="V438"/>
      <c r="W438"/>
      <c r="X438"/>
      <c r="Y438" s="135"/>
    </row>
    <row r="439" spans="2:25" x14ac:dyDescent="0.2">
      <c r="B439" s="128"/>
      <c r="C439" s="89" t="s">
        <v>295</v>
      </c>
      <c r="E439" s="168">
        <f>F441/$E$78</f>
        <v>3669.4736842105267</v>
      </c>
      <c r="F439" s="165">
        <f t="shared" ref="F439:F440" si="71">E439*$D$430</f>
        <v>3669.4736842105267</v>
      </c>
      <c r="G439" s="192">
        <f>F439</f>
        <v>3669.4736842105267</v>
      </c>
      <c r="H439" s="168">
        <f>I441/$E$78</f>
        <v>3759</v>
      </c>
      <c r="I439" s="165">
        <f t="shared" ref="I439:I440" si="72">H439*$D$430</f>
        <v>3759</v>
      </c>
      <c r="J439" s="192">
        <f>I439</f>
        <v>3759</v>
      </c>
      <c r="K439" s="168">
        <f>L441/$E$78</f>
        <v>3814.2631578947367</v>
      </c>
      <c r="L439" s="165">
        <f t="shared" ref="L439:L440" si="73">K439*$D$430</f>
        <v>3814.2631578947367</v>
      </c>
      <c r="M439" s="192">
        <f>L439</f>
        <v>3814.2631578947367</v>
      </c>
      <c r="N439" s="168">
        <f>O441/$E$78</f>
        <v>3814.2631578947367</v>
      </c>
      <c r="O439" s="165">
        <f t="shared" ref="O439:O440" si="74">N439*$D$430</f>
        <v>3814.2631578947367</v>
      </c>
      <c r="P439" s="192">
        <f>O439</f>
        <v>3814.2631578947367</v>
      </c>
      <c r="Q439"/>
      <c r="R439"/>
      <c r="S439"/>
      <c r="T439"/>
      <c r="U439"/>
      <c r="V439"/>
      <c r="W439"/>
      <c r="X439"/>
      <c r="Y439" s="135"/>
    </row>
    <row r="440" spans="2:25" x14ac:dyDescent="0.2">
      <c r="B440" s="128"/>
      <c r="C440" s="90" t="s">
        <v>1091</v>
      </c>
      <c r="D440" s="181"/>
      <c r="E440" s="173">
        <f>F441*$E$80</f>
        <v>278.88</v>
      </c>
      <c r="F440" s="167">
        <f t="shared" si="71"/>
        <v>278.88</v>
      </c>
      <c r="G440" s="193">
        <f>F440</f>
        <v>278.88</v>
      </c>
      <c r="H440" s="173">
        <f>I441*$E$80</f>
        <v>285.68399999999997</v>
      </c>
      <c r="I440" s="167">
        <f t="shared" si="72"/>
        <v>285.68399999999997</v>
      </c>
      <c r="J440" s="193">
        <f>I440</f>
        <v>285.68399999999997</v>
      </c>
      <c r="K440" s="173">
        <f>L441*$E$80</f>
        <v>289.88399999999996</v>
      </c>
      <c r="L440" s="167">
        <f t="shared" si="73"/>
        <v>289.88399999999996</v>
      </c>
      <c r="M440" s="193">
        <f>L440</f>
        <v>289.88399999999996</v>
      </c>
      <c r="N440" s="173">
        <f>O441*$E$80</f>
        <v>289.88399999999996</v>
      </c>
      <c r="O440" s="167">
        <f t="shared" si="74"/>
        <v>289.88399999999996</v>
      </c>
      <c r="P440" s="193">
        <f>O440</f>
        <v>289.88399999999996</v>
      </c>
      <c r="Q440"/>
      <c r="R440"/>
      <c r="S440"/>
      <c r="T440"/>
      <c r="U440"/>
      <c r="V440"/>
      <c r="W440"/>
      <c r="X440"/>
      <c r="Y440" s="135"/>
    </row>
    <row r="441" spans="2:25" x14ac:dyDescent="0.2">
      <c r="B441" s="128"/>
      <c r="E441" s="26" t="s">
        <v>1172</v>
      </c>
      <c r="F441" s="164">
        <f>1.4*G437</f>
        <v>55776</v>
      </c>
      <c r="G441" s="88">
        <f>SUM(G437:G440)</f>
        <v>59238.305684210529</v>
      </c>
      <c r="H441" s="5" t="s">
        <v>1172</v>
      </c>
      <c r="I441" s="164">
        <f>1.4*J437</f>
        <v>57136.799999999996</v>
      </c>
      <c r="J441" s="88">
        <f>SUM(J437:J440)</f>
        <v>60683.577599999997</v>
      </c>
      <c r="K441" s="5" t="s">
        <v>1172</v>
      </c>
      <c r="L441" s="164">
        <f>1.4*M437</f>
        <v>57976.799999999996</v>
      </c>
      <c r="M441" s="88">
        <f>SUM(M437:M440)</f>
        <v>61575.720757894735</v>
      </c>
      <c r="N441" s="5" t="s">
        <v>1172</v>
      </c>
      <c r="O441" s="164">
        <f>1.4*P437</f>
        <v>57976.799999999996</v>
      </c>
      <c r="P441" s="88">
        <f>SUM(P437:P440)</f>
        <v>61575.720757894735</v>
      </c>
      <c r="Q441"/>
      <c r="R441"/>
      <c r="S441"/>
      <c r="T441"/>
      <c r="U441"/>
      <c r="V441"/>
      <c r="W441"/>
      <c r="X441"/>
      <c r="Y441" s="135"/>
    </row>
    <row r="442" spans="2:25" x14ac:dyDescent="0.2">
      <c r="B442" s="128"/>
      <c r="E442" s="26" t="s">
        <v>1514</v>
      </c>
      <c r="Y442" s="135"/>
    </row>
    <row r="443" spans="2:25" x14ac:dyDescent="0.2">
      <c r="B443" s="136"/>
      <c r="C443" s="181"/>
      <c r="D443" s="181"/>
      <c r="E443" s="724" t="s">
        <v>1515</v>
      </c>
      <c r="F443" s="181"/>
      <c r="G443" s="181"/>
      <c r="H443" s="181"/>
      <c r="I443" s="181"/>
      <c r="J443" s="181"/>
      <c r="K443" s="181"/>
      <c r="L443" s="181"/>
      <c r="M443" s="181"/>
      <c r="N443" s="181"/>
      <c r="O443" s="181"/>
      <c r="P443" s="181"/>
      <c r="Q443" s="181"/>
      <c r="R443" s="181"/>
      <c r="S443" s="181"/>
      <c r="T443" s="181"/>
      <c r="U443" s="181"/>
      <c r="V443" s="181"/>
      <c r="W443" s="181"/>
      <c r="X443" s="181"/>
      <c r="Y443" s="137"/>
    </row>
    <row r="446" spans="2:25" x14ac:dyDescent="0.2">
      <c r="B446" s="74"/>
      <c r="C446" s="91"/>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27"/>
    </row>
    <row r="447" spans="2:25" x14ac:dyDescent="0.2">
      <c r="B447" s="128"/>
      <c r="C447" s="87" t="s">
        <v>1098</v>
      </c>
      <c r="D447" s="4"/>
      <c r="E447" s="87" t="s">
        <v>1160</v>
      </c>
      <c r="Y447" s="135"/>
    </row>
    <row r="448" spans="2:25" x14ac:dyDescent="0.2">
      <c r="B448" s="128"/>
      <c r="C448" s="142" t="s">
        <v>1100</v>
      </c>
      <c r="E448" s="169">
        <v>1</v>
      </c>
      <c r="Y448" s="135"/>
    </row>
    <row r="449" spans="2:25" x14ac:dyDescent="0.2">
      <c r="B449" s="128"/>
      <c r="C449" s="142" t="s">
        <v>1101</v>
      </c>
      <c r="E449" s="169" t="s">
        <v>1103</v>
      </c>
      <c r="Y449" s="135"/>
    </row>
    <row r="450" spans="2:25" x14ac:dyDescent="0.2">
      <c r="B450" s="128"/>
      <c r="C450" s="142" t="s">
        <v>1102</v>
      </c>
      <c r="E450" s="169" t="s">
        <v>1104</v>
      </c>
      <c r="Y450" s="135"/>
    </row>
    <row r="451" spans="2:25" x14ac:dyDescent="0.2">
      <c r="B451" s="128"/>
      <c r="E451" s="5" t="s">
        <v>1122</v>
      </c>
      <c r="Y451" s="135"/>
    </row>
    <row r="452" spans="2:25" x14ac:dyDescent="0.2">
      <c r="B452" s="128"/>
      <c r="Y452" s="135"/>
    </row>
    <row r="453" spans="2:25" x14ac:dyDescent="0.2">
      <c r="B453" s="128"/>
      <c r="C453" s="142" t="s">
        <v>1123</v>
      </c>
      <c r="E453" s="169">
        <v>14</v>
      </c>
      <c r="Y453" s="135"/>
    </row>
    <row r="454" spans="2:25" x14ac:dyDescent="0.2">
      <c r="B454" s="128"/>
      <c r="C454" s="142" t="s">
        <v>1105</v>
      </c>
      <c r="E454" s="5" t="s">
        <v>1106</v>
      </c>
      <c r="Y454" s="135"/>
    </row>
    <row r="455" spans="2:25" x14ac:dyDescent="0.2">
      <c r="B455" s="128"/>
      <c r="C455" s="142" t="s">
        <v>1107</v>
      </c>
      <c r="E455" s="169">
        <v>173</v>
      </c>
      <c r="Y455" s="135"/>
    </row>
    <row r="456" spans="2:25" x14ac:dyDescent="0.2">
      <c r="B456" s="128"/>
      <c r="C456" s="142"/>
      <c r="Y456" s="135"/>
    </row>
    <row r="457" spans="2:25" x14ac:dyDescent="0.2">
      <c r="B457" s="128"/>
      <c r="Y457" s="135"/>
    </row>
    <row r="458" spans="2:25" x14ac:dyDescent="0.2">
      <c r="B458" s="128"/>
      <c r="E458" s="5" t="s">
        <v>1108</v>
      </c>
      <c r="Y458" s="135"/>
    </row>
    <row r="459" spans="2:25" x14ac:dyDescent="0.2">
      <c r="B459" s="128"/>
      <c r="Y459" s="135"/>
    </row>
    <row r="460" spans="2:25" x14ac:dyDescent="0.2">
      <c r="B460" s="128"/>
      <c r="E460" s="5" t="s">
        <v>881</v>
      </c>
      <c r="F460" s="5" t="s">
        <v>1109</v>
      </c>
      <c r="G460" s="5" t="s">
        <v>1109</v>
      </c>
      <c r="H460" s="5" t="s">
        <v>1109</v>
      </c>
      <c r="Y460" s="135"/>
    </row>
    <row r="461" spans="2:25" x14ac:dyDescent="0.2">
      <c r="B461" s="128"/>
      <c r="F461" s="5" t="s">
        <v>1110</v>
      </c>
      <c r="G461" s="5" t="s">
        <v>1111</v>
      </c>
      <c r="H461" s="5" t="s">
        <v>1112</v>
      </c>
      <c r="Y461" s="135"/>
    </row>
    <row r="462" spans="2:25" x14ac:dyDescent="0.2">
      <c r="B462" s="128"/>
      <c r="E462" s="762" t="s">
        <v>1113</v>
      </c>
      <c r="F462" s="766">
        <v>3379</v>
      </c>
      <c r="G462" s="764">
        <v>3479</v>
      </c>
      <c r="H462" s="765">
        <v>3545</v>
      </c>
      <c r="K462" s="164"/>
      <c r="L462" s="164"/>
      <c r="M462" s="164"/>
      <c r="N462" s="164"/>
      <c r="Y462" s="135"/>
    </row>
    <row r="463" spans="2:25" x14ac:dyDescent="0.2">
      <c r="B463" s="128"/>
      <c r="E463" s="5" t="s">
        <v>1114</v>
      </c>
      <c r="F463" s="164">
        <v>3320</v>
      </c>
      <c r="G463" s="164">
        <v>3401</v>
      </c>
      <c r="H463" s="164">
        <v>3451</v>
      </c>
      <c r="K463" s="164"/>
      <c r="L463" s="164"/>
      <c r="M463" s="164"/>
      <c r="N463" s="164"/>
      <c r="Y463" s="135"/>
    </row>
    <row r="464" spans="2:25" x14ac:dyDescent="0.2">
      <c r="B464" s="128"/>
      <c r="E464" s="5" t="s">
        <v>1115</v>
      </c>
      <c r="F464" s="164">
        <v>3003</v>
      </c>
      <c r="G464" s="164">
        <v>3091</v>
      </c>
      <c r="H464" s="164">
        <v>3148</v>
      </c>
      <c r="K464" s="164"/>
      <c r="L464" s="164"/>
      <c r="M464" s="164"/>
      <c r="N464" s="164"/>
      <c r="Y464" s="135"/>
    </row>
    <row r="465" spans="2:25" x14ac:dyDescent="0.2">
      <c r="B465" s="128"/>
      <c r="E465" s="5" t="s">
        <v>1116</v>
      </c>
      <c r="F465" s="164">
        <v>2565</v>
      </c>
      <c r="G465" s="164">
        <v>2638</v>
      </c>
      <c r="H465" s="164">
        <v>2685</v>
      </c>
      <c r="K465" s="164"/>
      <c r="L465" s="164"/>
      <c r="M465" s="164"/>
      <c r="N465" s="164"/>
      <c r="Y465" s="135"/>
    </row>
    <row r="466" spans="2:25" x14ac:dyDescent="0.2">
      <c r="B466" s="128"/>
      <c r="E466" s="5" t="s">
        <v>1117</v>
      </c>
      <c r="F466" s="164">
        <v>2315</v>
      </c>
      <c r="G466" s="164">
        <v>2379</v>
      </c>
      <c r="H466" s="164">
        <v>2420</v>
      </c>
      <c r="K466" s="164"/>
      <c r="L466" s="164"/>
      <c r="M466" s="164"/>
      <c r="N466" s="164"/>
      <c r="Y466" s="135"/>
    </row>
    <row r="467" spans="2:25" x14ac:dyDescent="0.2">
      <c r="B467" s="128"/>
      <c r="E467" s="5" t="s">
        <v>1118</v>
      </c>
      <c r="F467" s="164">
        <v>2128</v>
      </c>
      <c r="G467" s="164">
        <v>2184</v>
      </c>
      <c r="H467" s="164">
        <v>2222</v>
      </c>
      <c r="K467" s="164"/>
      <c r="L467" s="164"/>
      <c r="M467" s="164"/>
      <c r="N467" s="164"/>
      <c r="Y467" s="135"/>
    </row>
    <row r="468" spans="2:25" x14ac:dyDescent="0.2">
      <c r="B468" s="128"/>
      <c r="E468" s="5" t="s">
        <v>1119</v>
      </c>
      <c r="F468" s="164">
        <v>2003</v>
      </c>
      <c r="G468" s="164">
        <v>2055</v>
      </c>
      <c r="H468" s="164">
        <v>2090</v>
      </c>
      <c r="K468" s="164"/>
      <c r="L468" s="164"/>
      <c r="M468" s="164"/>
      <c r="N468" s="164"/>
      <c r="Y468" s="135"/>
    </row>
    <row r="469" spans="2:25" x14ac:dyDescent="0.2">
      <c r="B469" s="128"/>
      <c r="E469" s="5" t="s">
        <v>1120</v>
      </c>
      <c r="F469" s="164">
        <v>1878</v>
      </c>
      <c r="G469" s="164">
        <v>1925</v>
      </c>
      <c r="H469" s="164">
        <v>1957</v>
      </c>
      <c r="Y469" s="135"/>
    </row>
    <row r="470" spans="2:25" x14ac:dyDescent="0.2">
      <c r="B470" s="128"/>
      <c r="E470" s="5" t="s">
        <v>1121</v>
      </c>
      <c r="F470" s="164">
        <v>1753</v>
      </c>
      <c r="G470" s="164">
        <v>1797</v>
      </c>
      <c r="H470" s="164">
        <v>1825</v>
      </c>
      <c r="Y470" s="135"/>
    </row>
    <row r="471" spans="2:25" x14ac:dyDescent="0.2">
      <c r="B471" s="128"/>
      <c r="Y471" s="135"/>
    </row>
    <row r="472" spans="2:25" x14ac:dyDescent="0.2">
      <c r="B472" s="128"/>
      <c r="Y472" s="135"/>
    </row>
    <row r="473" spans="2:25" x14ac:dyDescent="0.2">
      <c r="B473" s="128"/>
      <c r="F473" s="5" t="s">
        <v>881</v>
      </c>
      <c r="Y473" s="135"/>
    </row>
    <row r="474" spans="2:25" x14ac:dyDescent="0.2">
      <c r="B474" s="128"/>
      <c r="C474" s="169" t="s">
        <v>1131</v>
      </c>
      <c r="D474" s="5">
        <f>E448</f>
        <v>1</v>
      </c>
      <c r="E474" s="5" t="str">
        <f>E447</f>
        <v>Responsabile esecutivo</v>
      </c>
      <c r="F474" s="5" t="s">
        <v>1168</v>
      </c>
      <c r="Y474" s="135"/>
    </row>
    <row r="475" spans="2:25" x14ac:dyDescent="0.2">
      <c r="B475" s="128"/>
      <c r="Y475" s="135"/>
    </row>
    <row r="476" spans="2:25" x14ac:dyDescent="0.2">
      <c r="B476" s="128"/>
      <c r="Y476" s="135"/>
    </row>
    <row r="477" spans="2:25" x14ac:dyDescent="0.2">
      <c r="B477" s="128"/>
      <c r="Y477" s="135"/>
    </row>
    <row r="478" spans="2:25" x14ac:dyDescent="0.2">
      <c r="B478" s="128"/>
      <c r="C478" s="87" t="s">
        <v>1124</v>
      </c>
      <c r="E478" s="884">
        <v>2025</v>
      </c>
      <c r="F478" s="885"/>
      <c r="G478" s="886"/>
      <c r="H478" s="884">
        <v>2026</v>
      </c>
      <c r="I478" s="885"/>
      <c r="J478" s="886"/>
      <c r="K478" s="884">
        <v>2027</v>
      </c>
      <c r="L478" s="885"/>
      <c r="M478" s="886"/>
      <c r="N478" s="884">
        <v>2028</v>
      </c>
      <c r="O478" s="885"/>
      <c r="P478" s="886"/>
      <c r="Q478"/>
      <c r="R478"/>
      <c r="S478"/>
      <c r="T478"/>
      <c r="U478"/>
      <c r="V478"/>
      <c r="W478"/>
      <c r="X478"/>
      <c r="Y478" s="135"/>
    </row>
    <row r="479" spans="2:25" x14ac:dyDescent="0.2">
      <c r="B479" s="128"/>
      <c r="C479" s="179" t="s">
        <v>1125</v>
      </c>
      <c r="D479" s="159"/>
      <c r="E479" s="882" t="str">
        <f>E474</f>
        <v>Responsabile esecutivo</v>
      </c>
      <c r="F479" s="883"/>
      <c r="G479" s="876" t="s">
        <v>147</v>
      </c>
      <c r="H479" s="882" t="str">
        <f>E479</f>
        <v>Responsabile esecutivo</v>
      </c>
      <c r="I479" s="883"/>
      <c r="J479" s="876" t="s">
        <v>147</v>
      </c>
      <c r="K479" s="882" t="str">
        <f>E479</f>
        <v>Responsabile esecutivo</v>
      </c>
      <c r="L479" s="883"/>
      <c r="M479" s="876" t="s">
        <v>147</v>
      </c>
      <c r="N479" s="882" t="str">
        <f>K479</f>
        <v>Responsabile esecutivo</v>
      </c>
      <c r="O479" s="883"/>
      <c r="P479" s="876" t="s">
        <v>147</v>
      </c>
      <c r="Q479"/>
      <c r="R479"/>
      <c r="S479"/>
      <c r="T479"/>
      <c r="U479"/>
      <c r="V479"/>
      <c r="W479"/>
      <c r="X479"/>
      <c r="Y479" s="135"/>
    </row>
    <row r="480" spans="2:25" x14ac:dyDescent="0.2">
      <c r="B480" s="128"/>
      <c r="C480" s="180" t="s">
        <v>1132</v>
      </c>
      <c r="D480" s="181"/>
      <c r="E480" s="189" t="s">
        <v>1128</v>
      </c>
      <c r="F480" s="190" t="s">
        <v>148</v>
      </c>
      <c r="G480" s="881"/>
      <c r="H480" s="189" t="s">
        <v>1128</v>
      </c>
      <c r="I480" s="190" t="s">
        <v>148</v>
      </c>
      <c r="J480" s="881"/>
      <c r="K480" s="189" t="s">
        <v>1128</v>
      </c>
      <c r="L480" s="190" t="s">
        <v>148</v>
      </c>
      <c r="M480" s="881"/>
      <c r="N480" s="189" t="s">
        <v>1128</v>
      </c>
      <c r="O480" s="190" t="s">
        <v>148</v>
      </c>
      <c r="P480" s="881"/>
      <c r="Q480"/>
      <c r="R480"/>
      <c r="S480"/>
      <c r="T480"/>
      <c r="U480"/>
      <c r="V480"/>
      <c r="W480"/>
      <c r="X480"/>
      <c r="Y480" s="135"/>
    </row>
    <row r="481" spans="2:25" x14ac:dyDescent="0.2">
      <c r="B481" s="128"/>
      <c r="C481" s="89" t="s">
        <v>1129</v>
      </c>
      <c r="E481" s="170">
        <f>F462*12</f>
        <v>40548</v>
      </c>
      <c r="F481" s="172">
        <f>E481*$D$474</f>
        <v>40548</v>
      </c>
      <c r="G481" s="191">
        <f>F481</f>
        <v>40548</v>
      </c>
      <c r="H481" s="170">
        <f>G462*12</f>
        <v>41748</v>
      </c>
      <c r="I481" s="172">
        <f>H481*$D$474</f>
        <v>41748</v>
      </c>
      <c r="J481" s="191">
        <f>I481</f>
        <v>41748</v>
      </c>
      <c r="K481" s="170">
        <f>H462*12</f>
        <v>42540</v>
      </c>
      <c r="L481" s="172">
        <f>K481*$D$474</f>
        <v>42540</v>
      </c>
      <c r="M481" s="191">
        <f>L481</f>
        <v>42540</v>
      </c>
      <c r="N481" s="170">
        <f>K481</f>
        <v>42540</v>
      </c>
      <c r="O481" s="172">
        <f>N481*$D$474</f>
        <v>42540</v>
      </c>
      <c r="P481" s="191">
        <f>O481</f>
        <v>42540</v>
      </c>
      <c r="Q481"/>
      <c r="R481"/>
      <c r="S481"/>
      <c r="T481"/>
      <c r="U481"/>
      <c r="V481"/>
      <c r="W481"/>
      <c r="X481"/>
      <c r="Y481" s="135"/>
    </row>
    <row r="482" spans="2:25" x14ac:dyDescent="0.2">
      <c r="B482" s="128"/>
      <c r="C482" s="89" t="s">
        <v>1130</v>
      </c>
      <c r="E482" s="168">
        <f>F485*$E$77</f>
        <v>15724.5144</v>
      </c>
      <c r="F482" s="165">
        <f>E482*$D$474</f>
        <v>15724.5144</v>
      </c>
      <c r="G482" s="192">
        <f>F482</f>
        <v>15724.5144</v>
      </c>
      <c r="H482" s="168">
        <f>I485*$E$77</f>
        <v>16189.874400000001</v>
      </c>
      <c r="I482" s="165">
        <f>H482*$D$474</f>
        <v>16189.874400000001</v>
      </c>
      <c r="J482" s="192">
        <f>I482</f>
        <v>16189.874400000001</v>
      </c>
      <c r="K482" s="168">
        <f>L485*$E$77</f>
        <v>16497.011999999999</v>
      </c>
      <c r="L482" s="165">
        <f>K482*$D$474</f>
        <v>16497.011999999999</v>
      </c>
      <c r="M482" s="192">
        <f>L482</f>
        <v>16497.011999999999</v>
      </c>
      <c r="N482" s="168">
        <f>O485*$E$77</f>
        <v>16497.011999999999</v>
      </c>
      <c r="O482" s="165">
        <f>N482*$D$474</f>
        <v>16497.011999999999</v>
      </c>
      <c r="P482" s="192">
        <f>O482</f>
        <v>16497.011999999999</v>
      </c>
      <c r="Q482"/>
      <c r="R482"/>
      <c r="S482"/>
      <c r="T482"/>
      <c r="U482"/>
      <c r="V482"/>
      <c r="W482"/>
      <c r="X482"/>
      <c r="Y482" s="135"/>
    </row>
    <row r="483" spans="2:25" x14ac:dyDescent="0.2">
      <c r="B483" s="128"/>
      <c r="C483" s="89" t="s">
        <v>295</v>
      </c>
      <c r="E483" s="168">
        <f>F485/$E$78</f>
        <v>3734.6842105263158</v>
      </c>
      <c r="F483" s="165">
        <f t="shared" ref="F483:F484" si="75">E483*$D$474</f>
        <v>3734.6842105263158</v>
      </c>
      <c r="G483" s="192">
        <f>F483</f>
        <v>3734.6842105263158</v>
      </c>
      <c r="H483" s="168">
        <f>I485/$E$78</f>
        <v>3845.2105263157896</v>
      </c>
      <c r="I483" s="165">
        <f t="shared" ref="I483:I484" si="76">H483*$D$474</f>
        <v>3845.2105263157896</v>
      </c>
      <c r="J483" s="192">
        <f>I483</f>
        <v>3845.2105263157896</v>
      </c>
      <c r="K483" s="168">
        <f>L485/$E$78</f>
        <v>3918.1578947368416</v>
      </c>
      <c r="L483" s="165">
        <f t="shared" ref="L483:L484" si="77">K483*$D$474</f>
        <v>3918.1578947368416</v>
      </c>
      <c r="M483" s="192">
        <f>L483</f>
        <v>3918.1578947368416</v>
      </c>
      <c r="N483" s="168">
        <f>O485/$E$78</f>
        <v>3918.1578947368416</v>
      </c>
      <c r="O483" s="165">
        <f t="shared" ref="O483:O484" si="78">N483*$D$474</f>
        <v>3918.1578947368416</v>
      </c>
      <c r="P483" s="192">
        <f>O483</f>
        <v>3918.1578947368416</v>
      </c>
      <c r="Q483"/>
      <c r="R483"/>
      <c r="S483"/>
      <c r="T483"/>
      <c r="U483"/>
      <c r="V483"/>
      <c r="W483"/>
      <c r="X483"/>
      <c r="Y483" s="135"/>
    </row>
    <row r="484" spans="2:25" x14ac:dyDescent="0.2">
      <c r="B484" s="128"/>
      <c r="C484" s="90" t="s">
        <v>1091</v>
      </c>
      <c r="D484" s="181"/>
      <c r="E484" s="173">
        <f>F485*$E$80</f>
        <v>283.83600000000001</v>
      </c>
      <c r="F484" s="167">
        <f t="shared" si="75"/>
        <v>283.83600000000001</v>
      </c>
      <c r="G484" s="193">
        <f>F484</f>
        <v>283.83600000000001</v>
      </c>
      <c r="H484" s="173">
        <f>I485*$E$80</f>
        <v>292.23599999999999</v>
      </c>
      <c r="I484" s="167">
        <f t="shared" si="76"/>
        <v>292.23599999999999</v>
      </c>
      <c r="J484" s="193">
        <f>I484</f>
        <v>292.23599999999999</v>
      </c>
      <c r="K484" s="173">
        <f>L485*$E$80</f>
        <v>297.77999999999997</v>
      </c>
      <c r="L484" s="167">
        <f t="shared" si="77"/>
        <v>297.77999999999997</v>
      </c>
      <c r="M484" s="193">
        <f>L484</f>
        <v>297.77999999999997</v>
      </c>
      <c r="N484" s="173">
        <f>O485*$E$80</f>
        <v>297.77999999999997</v>
      </c>
      <c r="O484" s="167">
        <f t="shared" si="78"/>
        <v>297.77999999999997</v>
      </c>
      <c r="P484" s="193">
        <f>O484</f>
        <v>297.77999999999997</v>
      </c>
      <c r="Q484"/>
      <c r="R484"/>
      <c r="S484"/>
      <c r="T484"/>
      <c r="U484"/>
      <c r="V484"/>
      <c r="W484"/>
      <c r="X484"/>
      <c r="Y484" s="135"/>
    </row>
    <row r="485" spans="2:25" x14ac:dyDescent="0.2">
      <c r="B485" s="128"/>
      <c r="E485" s="26" t="s">
        <v>1172</v>
      </c>
      <c r="F485" s="164">
        <f>1.4*G481</f>
        <v>56767.199999999997</v>
      </c>
      <c r="G485" s="88">
        <f>SUM(G481:G484)</f>
        <v>60291.034610526316</v>
      </c>
      <c r="H485" s="5" t="s">
        <v>1172</v>
      </c>
      <c r="I485" s="164">
        <f>1.4*J481</f>
        <v>58447.199999999997</v>
      </c>
      <c r="J485" s="88">
        <f>SUM(J481:J484)</f>
        <v>62075.320926315784</v>
      </c>
      <c r="K485" s="5" t="s">
        <v>1172</v>
      </c>
      <c r="L485" s="164">
        <f>1.4*M481</f>
        <v>59555.999999999993</v>
      </c>
      <c r="M485" s="88">
        <f>SUM(M481:M484)</f>
        <v>63252.949894736841</v>
      </c>
      <c r="N485" s="5" t="s">
        <v>1172</v>
      </c>
      <c r="O485" s="164">
        <f>1.4*P481</f>
        <v>59555.999999999993</v>
      </c>
      <c r="P485" s="88">
        <f>SUM(P481:P484)</f>
        <v>63252.949894736841</v>
      </c>
      <c r="Q485"/>
      <c r="R485"/>
      <c r="S485"/>
      <c r="T485"/>
      <c r="U485"/>
      <c r="V485"/>
      <c r="W485"/>
      <c r="X485"/>
      <c r="Y485" s="135"/>
    </row>
    <row r="486" spans="2:25" x14ac:dyDescent="0.2">
      <c r="B486" s="128"/>
      <c r="E486" s="26" t="s">
        <v>1514</v>
      </c>
      <c r="Y486" s="135"/>
    </row>
    <row r="487" spans="2:25" x14ac:dyDescent="0.2">
      <c r="B487" s="136"/>
      <c r="C487" s="181"/>
      <c r="D487" s="181"/>
      <c r="E487" s="724" t="s">
        <v>1515</v>
      </c>
      <c r="F487" s="181"/>
      <c r="G487" s="181"/>
      <c r="H487" s="181"/>
      <c r="I487" s="181"/>
      <c r="J487" s="181"/>
      <c r="K487" s="181"/>
      <c r="L487" s="181"/>
      <c r="M487" s="181"/>
      <c r="N487" s="181"/>
      <c r="O487" s="181"/>
      <c r="P487" s="181"/>
      <c r="Q487" s="181"/>
      <c r="R487" s="181"/>
      <c r="S487" s="181"/>
      <c r="T487" s="181"/>
      <c r="U487" s="181"/>
      <c r="V487" s="181"/>
      <c r="W487" s="181"/>
      <c r="X487" s="181"/>
      <c r="Y487" s="137"/>
    </row>
    <row r="501" s="492" customFormat="1" ht="6" customHeight="1" x14ac:dyDescent="0.2"/>
    <row r="542" spans="7:7" x14ac:dyDescent="0.2">
      <c r="G542" s="134"/>
    </row>
    <row r="543" spans="7:7" x14ac:dyDescent="0.2">
      <c r="G543" s="134"/>
    </row>
    <row r="544" spans="7:7" x14ac:dyDescent="0.2">
      <c r="G544" s="504"/>
    </row>
    <row r="546" spans="8:8" x14ac:dyDescent="0.2">
      <c r="H546" s="11"/>
    </row>
  </sheetData>
  <mergeCells count="144">
    <mergeCell ref="B43:F45"/>
    <mergeCell ref="L6:N6"/>
    <mergeCell ref="L7:N7"/>
    <mergeCell ref="L8:N8"/>
    <mergeCell ref="B6:C6"/>
    <mergeCell ref="E127:F127"/>
    <mergeCell ref="G127:H127"/>
    <mergeCell ref="E126:I126"/>
    <mergeCell ref="I127:I128"/>
    <mergeCell ref="B60:D61"/>
    <mergeCell ref="K66:L66"/>
    <mergeCell ref="I66:J66"/>
    <mergeCell ref="E78:E79"/>
    <mergeCell ref="B88:D89"/>
    <mergeCell ref="L19:N19"/>
    <mergeCell ref="L20:N20"/>
    <mergeCell ref="L21:N21"/>
    <mergeCell ref="L22:N22"/>
    <mergeCell ref="L23:N23"/>
    <mergeCell ref="L18:N18"/>
    <mergeCell ref="B50:D51"/>
    <mergeCell ref="M65:O65"/>
    <mergeCell ref="T126:X126"/>
    <mergeCell ref="T127:U127"/>
    <mergeCell ref="V127:W127"/>
    <mergeCell ref="X127:X128"/>
    <mergeCell ref="J126:N126"/>
    <mergeCell ref="J127:K127"/>
    <mergeCell ref="L127:M127"/>
    <mergeCell ref="N127:N128"/>
    <mergeCell ref="O126:S126"/>
    <mergeCell ref="O127:P127"/>
    <mergeCell ref="Q127:R127"/>
    <mergeCell ref="S127:S128"/>
    <mergeCell ref="V171:W171"/>
    <mergeCell ref="X171:X172"/>
    <mergeCell ref="E170:I170"/>
    <mergeCell ref="J170:N170"/>
    <mergeCell ref="O170:S170"/>
    <mergeCell ref="T170:X170"/>
    <mergeCell ref="E171:F171"/>
    <mergeCell ref="G171:H171"/>
    <mergeCell ref="I171:I172"/>
    <mergeCell ref="J171:K171"/>
    <mergeCell ref="L171:M171"/>
    <mergeCell ref="N171:N172"/>
    <mergeCell ref="O171:P171"/>
    <mergeCell ref="Q171:R171"/>
    <mergeCell ref="S171:S172"/>
    <mergeCell ref="T171:U171"/>
    <mergeCell ref="E215:F215"/>
    <mergeCell ref="E214:I214"/>
    <mergeCell ref="J214:N214"/>
    <mergeCell ref="O214:S214"/>
    <mergeCell ref="E258:G258"/>
    <mergeCell ref="H258:J258"/>
    <mergeCell ref="K258:M258"/>
    <mergeCell ref="N258:P258"/>
    <mergeCell ref="E259:F259"/>
    <mergeCell ref="G259:G260"/>
    <mergeCell ref="H259:I259"/>
    <mergeCell ref="J259:J260"/>
    <mergeCell ref="K259:L259"/>
    <mergeCell ref="M259:M260"/>
    <mergeCell ref="N259:O259"/>
    <mergeCell ref="P259:P260"/>
    <mergeCell ref="T214:X214"/>
    <mergeCell ref="G215:H215"/>
    <mergeCell ref="I215:I216"/>
    <mergeCell ref="J215:K215"/>
    <mergeCell ref="L215:M215"/>
    <mergeCell ref="N215:N216"/>
    <mergeCell ref="O215:P215"/>
    <mergeCell ref="Q215:R215"/>
    <mergeCell ref="S215:S216"/>
    <mergeCell ref="T215:U215"/>
    <mergeCell ref="V215:W215"/>
    <mergeCell ref="X215:X216"/>
    <mergeCell ref="E303:F303"/>
    <mergeCell ref="G303:G304"/>
    <mergeCell ref="H303:I303"/>
    <mergeCell ref="J303:J304"/>
    <mergeCell ref="K303:L303"/>
    <mergeCell ref="E302:G302"/>
    <mergeCell ref="H302:J302"/>
    <mergeCell ref="K302:M302"/>
    <mergeCell ref="N302:P302"/>
    <mergeCell ref="E434:G434"/>
    <mergeCell ref="H434:J434"/>
    <mergeCell ref="K434:M434"/>
    <mergeCell ref="N434:P434"/>
    <mergeCell ref="E391:F391"/>
    <mergeCell ref="M347:M348"/>
    <mergeCell ref="N347:O347"/>
    <mergeCell ref="P347:P348"/>
    <mergeCell ref="E347:F347"/>
    <mergeCell ref="G347:G348"/>
    <mergeCell ref="H347:I347"/>
    <mergeCell ref="J347:J348"/>
    <mergeCell ref="K347:L347"/>
    <mergeCell ref="M479:M480"/>
    <mergeCell ref="N479:O479"/>
    <mergeCell ref="P479:P480"/>
    <mergeCell ref="E479:F479"/>
    <mergeCell ref="G479:G480"/>
    <mergeCell ref="H479:I479"/>
    <mergeCell ref="J479:J480"/>
    <mergeCell ref="K479:L479"/>
    <mergeCell ref="M435:M436"/>
    <mergeCell ref="N435:O435"/>
    <mergeCell ref="P435:P436"/>
    <mergeCell ref="E478:G478"/>
    <mergeCell ref="H478:J478"/>
    <mergeCell ref="K478:M478"/>
    <mergeCell ref="N478:P478"/>
    <mergeCell ref="E435:F435"/>
    <mergeCell ref="G435:G436"/>
    <mergeCell ref="H435:I435"/>
    <mergeCell ref="J435:J436"/>
    <mergeCell ref="K435:L435"/>
    <mergeCell ref="C4:J4"/>
    <mergeCell ref="M4:Q4"/>
    <mergeCell ref="T390:X390"/>
    <mergeCell ref="G391:H391"/>
    <mergeCell ref="I391:I392"/>
    <mergeCell ref="J391:K391"/>
    <mergeCell ref="L391:M391"/>
    <mergeCell ref="N391:N392"/>
    <mergeCell ref="O391:P391"/>
    <mergeCell ref="Q391:R391"/>
    <mergeCell ref="S391:S392"/>
    <mergeCell ref="T391:U391"/>
    <mergeCell ref="V391:W391"/>
    <mergeCell ref="X391:X392"/>
    <mergeCell ref="E390:I390"/>
    <mergeCell ref="J390:N390"/>
    <mergeCell ref="O390:S390"/>
    <mergeCell ref="M303:M304"/>
    <mergeCell ref="N303:O303"/>
    <mergeCell ref="P303:P304"/>
    <mergeCell ref="E346:G346"/>
    <mergeCell ref="H346:J346"/>
    <mergeCell ref="K346:M346"/>
    <mergeCell ref="N346:P34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E545-605B-8942-BD20-EDD97B6B74A8}">
  <sheetPr>
    <tabColor rgb="FF92D050"/>
  </sheetPr>
  <dimension ref="A2:BP376"/>
  <sheetViews>
    <sheetView showGridLines="0" zoomScaleNormal="100" workbookViewId="0"/>
  </sheetViews>
  <sheetFormatPr baseColWidth="10" defaultRowHeight="16" x14ac:dyDescent="0.2"/>
  <cols>
    <col min="1" max="1" width="8.6640625" style="5" customWidth="1"/>
    <col min="2" max="2" width="36" style="5" customWidth="1"/>
    <col min="3" max="21" width="19.33203125" style="5" customWidth="1"/>
    <col min="22" max="23" width="10.83203125" style="5"/>
    <col min="24" max="24" width="0" style="5" hidden="1" customWidth="1"/>
    <col min="25" max="16384" width="10.83203125" style="5"/>
  </cols>
  <sheetData>
    <row r="2" spans="1:10" ht="16" customHeight="1" x14ac:dyDescent="0.2">
      <c r="B2" s="794" t="s">
        <v>1382</v>
      </c>
      <c r="C2" s="795"/>
      <c r="D2" s="795"/>
      <c r="E2" s="796"/>
      <c r="F2" s="797"/>
      <c r="G2" s="797"/>
      <c r="H2" s="798" t="s">
        <v>1264</v>
      </c>
      <c r="I2" s="288"/>
      <c r="J2" s="288"/>
    </row>
    <row r="3" spans="1:10" ht="5" customHeight="1" x14ac:dyDescent="0.2">
      <c r="B3" s="506"/>
      <c r="C3" s="507"/>
      <c r="D3" s="507"/>
      <c r="E3" s="508"/>
      <c r="F3" s="509"/>
      <c r="G3" s="509"/>
      <c r="H3" s="842" t="s">
        <v>1500</v>
      </c>
      <c r="I3" s="288"/>
      <c r="J3" s="288"/>
    </row>
    <row r="4" spans="1:10" ht="85" hidden="1" customHeight="1" x14ac:dyDescent="0.2">
      <c r="B4" s="510" t="s">
        <v>1257</v>
      </c>
      <c r="C4" s="947" t="s">
        <v>1599</v>
      </c>
      <c r="D4" s="947"/>
      <c r="E4" s="947"/>
      <c r="F4" s="947"/>
      <c r="G4" s="947"/>
      <c r="H4" s="947"/>
      <c r="I4" s="947"/>
      <c r="J4" s="947"/>
    </row>
    <row r="5" spans="1:10" hidden="1" x14ac:dyDescent="0.2"/>
    <row r="6" spans="1:10" ht="16" hidden="1" customHeight="1" x14ac:dyDescent="0.2"/>
    <row r="7" spans="1:10" ht="19" x14ac:dyDescent="0.2">
      <c r="B7" s="463" t="s">
        <v>1315</v>
      </c>
      <c r="C7" s="514">
        <v>2022</v>
      </c>
      <c r="D7" s="514">
        <v>2023</v>
      </c>
      <c r="E7" s="483">
        <v>2024</v>
      </c>
      <c r="F7" s="423">
        <v>2025</v>
      </c>
      <c r="G7" s="423">
        <v>2026</v>
      </c>
      <c r="H7" s="424">
        <v>2027</v>
      </c>
      <c r="J7" s="4"/>
    </row>
    <row r="8" spans="1:10" x14ac:dyDescent="0.2">
      <c r="B8" s="10" t="s">
        <v>953</v>
      </c>
      <c r="C8" s="473">
        <v>130172</v>
      </c>
      <c r="D8" s="473">
        <v>97381</v>
      </c>
      <c r="E8" s="447">
        <v>64590</v>
      </c>
      <c r="F8" s="143">
        <f>N46</f>
        <v>35088</v>
      </c>
      <c r="G8" s="41">
        <f t="shared" ref="G8:H8" si="0">SUM(N85:N86)</f>
        <v>992</v>
      </c>
      <c r="H8" s="40">
        <f t="shared" si="0"/>
        <v>0</v>
      </c>
    </row>
    <row r="9" spans="1:10" x14ac:dyDescent="0.2">
      <c r="B9" s="10" t="s">
        <v>954</v>
      </c>
      <c r="C9" s="473">
        <v>9545</v>
      </c>
      <c r="D9" s="473">
        <v>8999</v>
      </c>
      <c r="E9" s="447">
        <v>8453</v>
      </c>
      <c r="F9" s="151">
        <f>M87</f>
        <v>7907</v>
      </c>
      <c r="G9" s="11">
        <f t="shared" ref="G9:H9" si="1">N87</f>
        <v>7361</v>
      </c>
      <c r="H9" s="12">
        <f t="shared" si="1"/>
        <v>6815</v>
      </c>
    </row>
    <row r="10" spans="1:10" x14ac:dyDescent="0.2">
      <c r="B10" s="10" t="s">
        <v>955</v>
      </c>
      <c r="C10" s="473">
        <v>0</v>
      </c>
      <c r="D10" s="473">
        <v>0</v>
      </c>
      <c r="E10" s="447">
        <v>16480</v>
      </c>
      <c r="F10" s="151">
        <f>M88</f>
        <v>14832</v>
      </c>
      <c r="G10" s="11">
        <f t="shared" ref="G10:H10" si="2">N88</f>
        <v>13184</v>
      </c>
      <c r="H10" s="12">
        <f t="shared" si="2"/>
        <v>11536</v>
      </c>
    </row>
    <row r="11" spans="1:10" x14ac:dyDescent="0.2">
      <c r="B11" s="461" t="s">
        <v>963</v>
      </c>
      <c r="C11" s="418">
        <f>SUM(C8:C10)</f>
        <v>139717</v>
      </c>
      <c r="D11" s="418">
        <f>SUM(D8:D10)</f>
        <v>106380</v>
      </c>
      <c r="E11" s="442">
        <f>SUM(E8:E10)</f>
        <v>89523</v>
      </c>
      <c r="F11" s="573">
        <f>SUM(F8:F10)</f>
        <v>57827</v>
      </c>
      <c r="G11" s="432">
        <f t="shared" ref="G11:H11" si="3">SUM(G8:G10)</f>
        <v>21537</v>
      </c>
      <c r="H11" s="433">
        <f t="shared" si="3"/>
        <v>18351</v>
      </c>
    </row>
    <row r="12" spans="1:10" x14ac:dyDescent="0.2">
      <c r="B12" s="10"/>
      <c r="C12" s="399"/>
      <c r="D12" s="399"/>
      <c r="E12" s="447"/>
      <c r="F12" s="151"/>
      <c r="G12" s="11"/>
      <c r="H12" s="12"/>
    </row>
    <row r="13" spans="1:10" x14ac:dyDescent="0.2">
      <c r="B13" s="10"/>
      <c r="C13" s="399"/>
      <c r="D13" s="399"/>
      <c r="E13" s="447"/>
      <c r="F13" s="151"/>
      <c r="G13" s="11"/>
      <c r="H13" s="12"/>
    </row>
    <row r="14" spans="1:10" x14ac:dyDescent="0.2">
      <c r="A14" s="194"/>
      <c r="B14" s="10" t="s">
        <v>956</v>
      </c>
      <c r="C14" s="473">
        <v>6543383</v>
      </c>
      <c r="D14" s="473">
        <v>6328571</v>
      </c>
      <c r="E14" s="447">
        <v>6069102</v>
      </c>
      <c r="F14" s="151">
        <f>N56</f>
        <v>5796679.221870373</v>
      </c>
      <c r="G14" s="11">
        <f t="shared" ref="G14:H14" si="4">O56</f>
        <v>5524256.443740746</v>
      </c>
      <c r="H14" s="12">
        <f t="shared" si="4"/>
        <v>5251833.665611119</v>
      </c>
    </row>
    <row r="15" spans="1:10" x14ac:dyDescent="0.2">
      <c r="A15" s="194"/>
      <c r="B15" s="10" t="s">
        <v>957</v>
      </c>
      <c r="C15" s="473">
        <v>2352511</v>
      </c>
      <c r="D15" s="473">
        <v>2137598</v>
      </c>
      <c r="E15" s="447">
        <v>1774810</v>
      </c>
      <c r="F15" s="151">
        <f>N57</f>
        <v>1834142.6688494016</v>
      </c>
      <c r="G15" s="11">
        <f t="shared" ref="G15:H15" si="5">O57</f>
        <v>1409009.1093152703</v>
      </c>
      <c r="H15" s="12">
        <f t="shared" si="5"/>
        <v>1003322.7973564384</v>
      </c>
    </row>
    <row r="16" spans="1:10" x14ac:dyDescent="0.2">
      <c r="A16" s="194"/>
      <c r="B16" s="10" t="s">
        <v>958</v>
      </c>
      <c r="C16" s="473">
        <v>184756</v>
      </c>
      <c r="D16" s="473">
        <v>187192</v>
      </c>
      <c r="E16" s="447">
        <v>197170</v>
      </c>
      <c r="F16" s="151">
        <f>N58</f>
        <v>168713.52687347843</v>
      </c>
      <c r="G16" s="11">
        <f t="shared" ref="G16:H16" si="6">O58</f>
        <v>140257.05374695687</v>
      </c>
      <c r="H16" s="12">
        <f t="shared" si="6"/>
        <v>111800.5806204353</v>
      </c>
    </row>
    <row r="17" spans="1:8" x14ac:dyDescent="0.2">
      <c r="A17" s="194"/>
      <c r="B17" s="10" t="s">
        <v>1343</v>
      </c>
      <c r="C17" s="473">
        <v>312178</v>
      </c>
      <c r="D17" s="473">
        <v>244518</v>
      </c>
      <c r="E17" s="447">
        <v>177873</v>
      </c>
      <c r="F17" s="151">
        <f>N59</f>
        <v>156391.32</v>
      </c>
      <c r="G17" s="11">
        <f t="shared" ref="G17:H17" si="7">O59</f>
        <v>134909.64000000001</v>
      </c>
      <c r="H17" s="12">
        <f t="shared" si="7"/>
        <v>113427.96000000002</v>
      </c>
    </row>
    <row r="18" spans="1:8" x14ac:dyDescent="0.2">
      <c r="B18" s="10" t="s">
        <v>959</v>
      </c>
      <c r="C18" s="473">
        <v>23700</v>
      </c>
      <c r="D18" s="473">
        <v>119891</v>
      </c>
      <c r="E18" s="447">
        <v>475770</v>
      </c>
      <c r="F18" s="151">
        <v>0</v>
      </c>
      <c r="G18" s="11">
        <v>0</v>
      </c>
      <c r="H18" s="12">
        <v>0</v>
      </c>
    </row>
    <row r="19" spans="1:8" x14ac:dyDescent="0.2">
      <c r="B19" s="461" t="s">
        <v>962</v>
      </c>
      <c r="C19" s="418">
        <f>SUM(C14:C18)</f>
        <v>9416528</v>
      </c>
      <c r="D19" s="418">
        <f t="shared" ref="D19:E19" si="8">SUM(D14:D18)</f>
        <v>9017770</v>
      </c>
      <c r="E19" s="442">
        <f t="shared" si="8"/>
        <v>8694725</v>
      </c>
      <c r="F19" s="573">
        <f>SUM(F14:F18)</f>
        <v>7955926.7375932541</v>
      </c>
      <c r="G19" s="432">
        <f t="shared" ref="G19:H19" si="9">SUM(G14:G18)</f>
        <v>7208432.2468029736</v>
      </c>
      <c r="H19" s="433">
        <f t="shared" si="9"/>
        <v>6480385.0035879929</v>
      </c>
    </row>
    <row r="20" spans="1:8" x14ac:dyDescent="0.2">
      <c r="B20" s="7"/>
      <c r="C20" s="414"/>
      <c r="D20" s="414"/>
      <c r="E20" s="447"/>
      <c r="F20" s="151"/>
      <c r="G20" s="11"/>
      <c r="H20" s="12"/>
    </row>
    <row r="21" spans="1:8" x14ac:dyDescent="0.2">
      <c r="B21" s="7"/>
      <c r="C21" s="414"/>
      <c r="D21" s="414"/>
      <c r="E21" s="447"/>
      <c r="F21" s="151"/>
      <c r="G21" s="11"/>
      <c r="H21" s="12"/>
    </row>
    <row r="22" spans="1:8" x14ac:dyDescent="0.2">
      <c r="B22" s="10" t="s">
        <v>960</v>
      </c>
      <c r="C22" s="473">
        <v>58702</v>
      </c>
      <c r="D22" s="473">
        <f>C22</f>
        <v>58702</v>
      </c>
      <c r="E22" s="447">
        <f>D22</f>
        <v>58702</v>
      </c>
      <c r="F22" s="151">
        <f>M126</f>
        <v>58702</v>
      </c>
      <c r="G22" s="11">
        <f t="shared" ref="G22:H22" si="10">N126</f>
        <v>58702</v>
      </c>
      <c r="H22" s="12">
        <f t="shared" si="10"/>
        <v>58702</v>
      </c>
    </row>
    <row r="23" spans="1:8" x14ac:dyDescent="0.2">
      <c r="B23" s="462" t="s">
        <v>961</v>
      </c>
      <c r="C23" s="512">
        <f>SUM(C22)</f>
        <v>58702</v>
      </c>
      <c r="D23" s="512">
        <f t="shared" ref="D23:E23" si="11">SUM(D22)</f>
        <v>58702</v>
      </c>
      <c r="E23" s="513">
        <f t="shared" si="11"/>
        <v>58702</v>
      </c>
      <c r="F23" s="501">
        <f>SUM(F22)</f>
        <v>58702</v>
      </c>
      <c r="G23" s="110">
        <f t="shared" ref="G23:H23" si="12">SUM(G22)</f>
        <v>58702</v>
      </c>
      <c r="H23" s="458">
        <f t="shared" si="12"/>
        <v>58702</v>
      </c>
    </row>
    <row r="24" spans="1:8" x14ac:dyDescent="0.2">
      <c r="C24" s="399"/>
      <c r="D24" s="399"/>
      <c r="E24" s="399"/>
    </row>
    <row r="25" spans="1:8" x14ac:dyDescent="0.2">
      <c r="C25" s="473"/>
      <c r="D25" s="473"/>
      <c r="E25" s="473"/>
    </row>
    <row r="26" spans="1:8" x14ac:dyDescent="0.2">
      <c r="B26" s="42" t="s">
        <v>1317</v>
      </c>
      <c r="C26" s="685">
        <v>37282</v>
      </c>
      <c r="D26" s="685">
        <v>33337</v>
      </c>
      <c r="E26" s="686">
        <f>SUM(K85:K88)</f>
        <v>37282</v>
      </c>
      <c r="F26" s="41">
        <f>SUM(Q85:Q88)</f>
        <v>36290</v>
      </c>
      <c r="G26" s="41">
        <f t="shared" ref="G26:H26" si="13">SUM(R85:R88)</f>
        <v>2194</v>
      </c>
      <c r="H26" s="40">
        <f t="shared" si="13"/>
        <v>2194</v>
      </c>
    </row>
    <row r="27" spans="1:8" x14ac:dyDescent="0.2">
      <c r="B27" s="10" t="s">
        <v>1318</v>
      </c>
      <c r="C27" s="473">
        <v>822987</v>
      </c>
      <c r="D27" s="473">
        <v>866491</v>
      </c>
      <c r="E27" s="447">
        <v>879520</v>
      </c>
      <c r="F27" s="11">
        <f>SUM(Q91:Q95)+SUM(Q98:Q104)+SUM(Q107:Q114)+SUM(Q117:Q121)</f>
        <v>763006.26240674721</v>
      </c>
      <c r="G27" s="11">
        <f t="shared" ref="G27:H27" si="14">SUM(R91:R95)+SUM(R98:R104)+SUM(R107:R114)+SUM(R117:R121)</f>
        <v>747494.49079027993</v>
      </c>
      <c r="H27" s="12">
        <f t="shared" si="14"/>
        <v>728047.2432149807</v>
      </c>
    </row>
    <row r="28" spans="1:8" x14ac:dyDescent="0.2">
      <c r="B28" s="462" t="s">
        <v>1316</v>
      </c>
      <c r="C28" s="512">
        <f>SUM(C26:C27)</f>
        <v>860269</v>
      </c>
      <c r="D28" s="512">
        <f>D27+D26</f>
        <v>899828</v>
      </c>
      <c r="E28" s="513">
        <f t="shared" ref="E28:G28" si="15">E27+E26</f>
        <v>916802</v>
      </c>
      <c r="F28" s="110">
        <f t="shared" si="15"/>
        <v>799296.26240674721</v>
      </c>
      <c r="G28" s="110">
        <f t="shared" si="15"/>
        <v>749688.49079027993</v>
      </c>
      <c r="H28" s="458">
        <f>H27+H26</f>
        <v>730241.2432149807</v>
      </c>
    </row>
    <row r="34" spans="2:31" s="492" customFormat="1" ht="6" customHeight="1" x14ac:dyDescent="0.2"/>
    <row r="36" spans="2:31" x14ac:dyDescent="0.2">
      <c r="B36" s="932" t="s">
        <v>1319</v>
      </c>
      <c r="C36" s="933"/>
      <c r="D36" s="934"/>
    </row>
    <row r="37" spans="2:31" x14ac:dyDescent="0.2">
      <c r="B37" s="935"/>
      <c r="C37" s="936"/>
      <c r="D37" s="937"/>
    </row>
    <row r="38" spans="2:31" x14ac:dyDescent="0.2">
      <c r="L38" s="789" t="s">
        <v>1384</v>
      </c>
      <c r="M38" s="790"/>
      <c r="N38" s="790"/>
      <c r="O38" s="790"/>
      <c r="P38" s="790"/>
    </row>
    <row r="39" spans="2:31" x14ac:dyDescent="0.2">
      <c r="B39" s="952"/>
      <c r="C39" s="952"/>
      <c r="D39" s="952"/>
      <c r="L39" s="5" t="s">
        <v>1320</v>
      </c>
    </row>
    <row r="40" spans="2:31" x14ac:dyDescent="0.2">
      <c r="R40"/>
      <c r="S40"/>
      <c r="T40"/>
      <c r="U40"/>
      <c r="V40"/>
      <c r="W40"/>
      <c r="X40"/>
      <c r="Y40"/>
      <c r="Z40"/>
      <c r="AA40"/>
      <c r="AB40"/>
      <c r="AC40"/>
      <c r="AD40"/>
    </row>
    <row r="41" spans="2:31" ht="19" x14ac:dyDescent="0.2">
      <c r="B41" s="463" t="s">
        <v>964</v>
      </c>
      <c r="C41" s="481">
        <v>2024</v>
      </c>
      <c r="D41" s="423">
        <v>2023</v>
      </c>
      <c r="E41" s="423">
        <v>2022</v>
      </c>
      <c r="F41" s="423">
        <v>2021</v>
      </c>
      <c r="G41" s="423">
        <v>2020</v>
      </c>
      <c r="H41" s="423">
        <v>2019</v>
      </c>
      <c r="I41" s="423">
        <v>2018</v>
      </c>
      <c r="J41" s="423">
        <v>2017</v>
      </c>
      <c r="K41" s="515"/>
      <c r="L41" s="948" t="s">
        <v>1321</v>
      </c>
      <c r="M41" s="949"/>
      <c r="N41" s="516">
        <v>2025</v>
      </c>
      <c r="O41" s="516">
        <v>2026</v>
      </c>
      <c r="P41" s="424">
        <v>2027</v>
      </c>
      <c r="S41"/>
      <c r="T41"/>
      <c r="U41"/>
      <c r="V41"/>
      <c r="W41"/>
      <c r="X41"/>
      <c r="Y41"/>
      <c r="Z41"/>
      <c r="AA41"/>
      <c r="AB41"/>
      <c r="AC41"/>
      <c r="AD41"/>
      <c r="AE41"/>
    </row>
    <row r="42" spans="2:31" ht="34" x14ac:dyDescent="0.2">
      <c r="B42" s="533" t="s">
        <v>524</v>
      </c>
      <c r="C42" s="530">
        <v>8842950</v>
      </c>
      <c r="D42" s="531">
        <v>9182852</v>
      </c>
      <c r="E42" s="531">
        <v>9614947</v>
      </c>
      <c r="F42" s="531">
        <v>9565702</v>
      </c>
      <c r="G42" s="531">
        <v>7073181</v>
      </c>
      <c r="H42" s="531">
        <v>2616289</v>
      </c>
      <c r="I42" s="531">
        <v>1201123</v>
      </c>
      <c r="J42" s="532">
        <v>908499</v>
      </c>
      <c r="K42" s="20"/>
      <c r="L42" s="950" t="str">
        <f>B42</f>
        <v xml:space="preserve"> B. TOTALE IMMOBILIZZAZIONI sep.ind. Di quelle conc. In loc. Finanz.</v>
      </c>
      <c r="M42" s="951"/>
      <c r="N42" s="525">
        <f>N43+N54+N63</f>
        <v>8072455.7375932541</v>
      </c>
      <c r="O42" s="526">
        <f>O43+O54+O63</f>
        <v>7288671.2468029736</v>
      </c>
      <c r="P42" s="527">
        <f>P43+P54+P63</f>
        <v>6557438.0035879929</v>
      </c>
      <c r="S42"/>
      <c r="T42"/>
    </row>
    <row r="43" spans="2:31" ht="17" x14ac:dyDescent="0.2">
      <c r="B43" s="534" t="s">
        <v>525</v>
      </c>
      <c r="C43" s="522">
        <v>89523</v>
      </c>
      <c r="D43" s="523">
        <v>106380</v>
      </c>
      <c r="E43" s="523">
        <v>139717</v>
      </c>
      <c r="F43" s="523">
        <v>76490</v>
      </c>
      <c r="G43" s="523">
        <v>33453</v>
      </c>
      <c r="H43" s="523">
        <v>7543</v>
      </c>
      <c r="I43" s="523">
        <v>0</v>
      </c>
      <c r="J43" s="524">
        <v>1977</v>
      </c>
      <c r="K43" s="20"/>
      <c r="L43" s="926" t="str">
        <f t="shared" ref="L43:L65" si="16">B43</f>
        <v xml:space="preserve">  B.I. TOTALE IMMOB. IMMATERIALI</v>
      </c>
      <c r="M43" s="927"/>
      <c r="N43" s="517">
        <f>SUM(N44:N52)</f>
        <v>57827</v>
      </c>
      <c r="O43" s="518">
        <f t="shared" ref="O43:P43" si="17">SUM(O44:O52)</f>
        <v>21537</v>
      </c>
      <c r="P43" s="520">
        <f t="shared" si="17"/>
        <v>18351</v>
      </c>
      <c r="S43"/>
      <c r="T43"/>
    </row>
    <row r="44" spans="2:31" ht="17" x14ac:dyDescent="0.2">
      <c r="B44" s="28" t="s">
        <v>1330</v>
      </c>
      <c r="C44" s="47">
        <v>0</v>
      </c>
      <c r="D44" s="32">
        <v>0</v>
      </c>
      <c r="E44" s="32">
        <v>0</v>
      </c>
      <c r="F44" s="32">
        <v>0</v>
      </c>
      <c r="G44" s="32">
        <v>0</v>
      </c>
      <c r="H44" s="32">
        <v>0</v>
      </c>
      <c r="I44" s="32">
        <v>0</v>
      </c>
      <c r="J44" s="33">
        <v>0</v>
      </c>
      <c r="K44" s="20"/>
      <c r="L44" s="928" t="str">
        <f t="shared" si="16"/>
        <v xml:space="preserve">   B.I.1. Costi Impianto e ampl.</v>
      </c>
      <c r="M44" s="929"/>
      <c r="N44" s="62">
        <v>0</v>
      </c>
      <c r="O44" s="32">
        <v>0</v>
      </c>
      <c r="P44" s="12">
        <v>0</v>
      </c>
      <c r="S44"/>
      <c r="T44"/>
    </row>
    <row r="45" spans="2:31" ht="17" x14ac:dyDescent="0.2">
      <c r="B45" s="28" t="s">
        <v>527</v>
      </c>
      <c r="C45" s="47">
        <v>0</v>
      </c>
      <c r="D45" s="32">
        <v>0</v>
      </c>
      <c r="E45" s="32">
        <v>0</v>
      </c>
      <c r="F45" s="32">
        <v>0</v>
      </c>
      <c r="G45" s="32">
        <v>0</v>
      </c>
      <c r="H45" s="32">
        <v>0</v>
      </c>
      <c r="I45" s="32">
        <v>0</v>
      </c>
      <c r="J45" s="33">
        <v>0</v>
      </c>
      <c r="K45" s="20"/>
      <c r="L45" s="928" t="str">
        <f t="shared" si="16"/>
        <v xml:space="preserve">   B.I.2. Costi ricerca e pubb.</v>
      </c>
      <c r="M45" s="929"/>
      <c r="N45" s="62">
        <v>0</v>
      </c>
      <c r="O45" s="32">
        <v>0</v>
      </c>
      <c r="P45" s="12">
        <v>0</v>
      </c>
      <c r="S45"/>
      <c r="T45"/>
    </row>
    <row r="46" spans="2:31" ht="17" x14ac:dyDescent="0.2">
      <c r="B46" s="28" t="s">
        <v>528</v>
      </c>
      <c r="C46" s="47">
        <v>64590</v>
      </c>
      <c r="D46" s="32">
        <v>97381</v>
      </c>
      <c r="E46" s="32">
        <v>130172</v>
      </c>
      <c r="F46" s="32">
        <v>3968</v>
      </c>
      <c r="G46" s="32">
        <v>4960</v>
      </c>
      <c r="H46" s="32">
        <v>0</v>
      </c>
      <c r="I46" s="32">
        <v>0</v>
      </c>
      <c r="J46" s="33">
        <v>0</v>
      </c>
      <c r="K46" s="20"/>
      <c r="L46" s="928" t="str">
        <f t="shared" si="16"/>
        <v xml:space="preserve">   B.I.3. Diritti brevetto ind.</v>
      </c>
      <c r="M46" s="929"/>
      <c r="N46" s="62">
        <f>C46-SUM(M85:M86)</f>
        <v>35088</v>
      </c>
      <c r="O46" s="32">
        <f>N46-K86</f>
        <v>992</v>
      </c>
      <c r="P46" s="12">
        <v>0</v>
      </c>
      <c r="S46"/>
      <c r="T46"/>
    </row>
    <row r="47" spans="2:31" ht="17" x14ac:dyDescent="0.2">
      <c r="B47" s="28" t="s">
        <v>529</v>
      </c>
      <c r="C47" s="47">
        <v>8453</v>
      </c>
      <c r="D47" s="32">
        <v>8999</v>
      </c>
      <c r="E47" s="32">
        <v>9545</v>
      </c>
      <c r="F47" s="32">
        <v>0</v>
      </c>
      <c r="G47" s="32">
        <v>0</v>
      </c>
      <c r="H47" s="32">
        <v>0</v>
      </c>
      <c r="I47" s="32">
        <v>0</v>
      </c>
      <c r="J47" s="33">
        <v>0</v>
      </c>
      <c r="K47" s="20"/>
      <c r="L47" s="928" t="str">
        <f t="shared" si="16"/>
        <v xml:space="preserve">   B.I.4. Concessioni, licenze</v>
      </c>
      <c r="M47" s="929"/>
      <c r="N47" s="62">
        <f>C47-Q87</f>
        <v>7907</v>
      </c>
      <c r="O47" s="32">
        <f>N47-R87</f>
        <v>7361</v>
      </c>
      <c r="P47" s="12">
        <f>O47-S87</f>
        <v>6815</v>
      </c>
      <c r="S47"/>
      <c r="T47"/>
    </row>
    <row r="48" spans="2:31" ht="34" x14ac:dyDescent="0.2">
      <c r="B48" s="28" t="s">
        <v>530</v>
      </c>
      <c r="C48" s="47">
        <v>0</v>
      </c>
      <c r="D48" s="32">
        <v>0</v>
      </c>
      <c r="E48" s="32">
        <v>0</v>
      </c>
      <c r="F48" s="32">
        <v>0</v>
      </c>
      <c r="G48" s="32">
        <v>0</v>
      </c>
      <c r="H48" s="32">
        <v>0</v>
      </c>
      <c r="I48" s="32">
        <v>0</v>
      </c>
      <c r="J48" s="33">
        <v>0</v>
      </c>
      <c r="K48" s="20"/>
      <c r="L48" s="928" t="str">
        <f t="shared" si="16"/>
        <v xml:space="preserve">   B.I.5. Avviamento/Differenza di consolidamento</v>
      </c>
      <c r="M48" s="929"/>
      <c r="N48" s="62">
        <v>0</v>
      </c>
      <c r="O48" s="32">
        <v>0</v>
      </c>
      <c r="P48" s="12">
        <v>0</v>
      </c>
      <c r="S48"/>
      <c r="T48"/>
    </row>
    <row r="49" spans="2:17" ht="17" x14ac:dyDescent="0.2">
      <c r="B49" s="28" t="s">
        <v>531</v>
      </c>
      <c r="C49" s="47">
        <v>0</v>
      </c>
      <c r="D49" s="32">
        <v>0</v>
      </c>
      <c r="E49" s="32">
        <v>0</v>
      </c>
      <c r="F49" s="32">
        <v>0</v>
      </c>
      <c r="G49" s="32">
        <v>0</v>
      </c>
      <c r="H49" s="32">
        <v>0</v>
      </c>
      <c r="I49" s="32">
        <v>0</v>
      </c>
      <c r="J49" s="33">
        <v>0</v>
      </c>
      <c r="K49" s="20"/>
      <c r="L49" s="928" t="str">
        <f t="shared" si="16"/>
        <v xml:space="preserve">    di cui: Avviamento</v>
      </c>
      <c r="M49" s="929"/>
      <c r="N49" s="62">
        <v>0</v>
      </c>
      <c r="O49" s="32">
        <v>0</v>
      </c>
      <c r="P49" s="12">
        <v>0</v>
      </c>
    </row>
    <row r="50" spans="2:17" ht="17" x14ac:dyDescent="0.2">
      <c r="B50" s="28" t="s">
        <v>532</v>
      </c>
      <c r="C50" s="47">
        <v>0</v>
      </c>
      <c r="D50" s="32">
        <v>0</v>
      </c>
      <c r="E50" s="32">
        <v>0</v>
      </c>
      <c r="F50" s="32">
        <v>67622</v>
      </c>
      <c r="G50" s="32">
        <v>28493</v>
      </c>
      <c r="H50" s="32">
        <v>7543</v>
      </c>
      <c r="I50" s="32">
        <v>0</v>
      </c>
      <c r="J50" s="33">
        <v>0</v>
      </c>
      <c r="K50" s="20"/>
      <c r="L50" s="928" t="str">
        <f t="shared" si="16"/>
        <v xml:space="preserve">   B.I.6. Imm. in corso</v>
      </c>
      <c r="M50" s="929"/>
      <c r="N50" s="62">
        <v>0</v>
      </c>
      <c r="O50" s="32">
        <v>0</v>
      </c>
      <c r="P50" s="12">
        <v>0</v>
      </c>
    </row>
    <row r="51" spans="2:17" ht="17" x14ac:dyDescent="0.2">
      <c r="B51" s="28" t="s">
        <v>533</v>
      </c>
      <c r="C51" s="672">
        <v>16480</v>
      </c>
      <c r="D51" s="673">
        <v>0</v>
      </c>
      <c r="E51" s="32">
        <v>0</v>
      </c>
      <c r="F51" s="32">
        <v>4900</v>
      </c>
      <c r="G51" s="32">
        <v>0</v>
      </c>
      <c r="H51" s="32">
        <v>0</v>
      </c>
      <c r="I51" s="32">
        <v>0</v>
      </c>
      <c r="J51" s="33">
        <v>1977</v>
      </c>
      <c r="K51" s="20"/>
      <c r="L51" s="928" t="str">
        <f t="shared" si="16"/>
        <v xml:space="preserve">   B.I.7. Altre immobiliz. Immateriali</v>
      </c>
      <c r="M51" s="929"/>
      <c r="N51" s="62">
        <f>C51-Q88</f>
        <v>14832</v>
      </c>
      <c r="O51" s="32">
        <f>N51-R88</f>
        <v>13184</v>
      </c>
      <c r="P51" s="12">
        <f>O51-S88</f>
        <v>11536</v>
      </c>
    </row>
    <row r="52" spans="2:17" ht="17" x14ac:dyDescent="0.2">
      <c r="B52" s="29" t="s">
        <v>534</v>
      </c>
      <c r="C52" s="59" t="s">
        <v>535</v>
      </c>
      <c r="D52" s="34" t="s">
        <v>535</v>
      </c>
      <c r="E52" s="34" t="s">
        <v>535</v>
      </c>
      <c r="F52" s="34" t="s">
        <v>535</v>
      </c>
      <c r="G52" s="34" t="s">
        <v>535</v>
      </c>
      <c r="H52" s="34" t="s">
        <v>535</v>
      </c>
      <c r="I52" s="34" t="s">
        <v>535</v>
      </c>
      <c r="J52" s="35" t="s">
        <v>535</v>
      </c>
      <c r="K52" s="30"/>
      <c r="L52" s="928" t="str">
        <f t="shared" si="16"/>
        <v xml:space="preserve">   Fondo amm.to Immob. Immateriali</v>
      </c>
      <c r="M52" s="929"/>
      <c r="N52" s="67" t="s">
        <v>1075</v>
      </c>
      <c r="O52" s="68" t="s">
        <v>535</v>
      </c>
      <c r="P52" s="69" t="s">
        <v>535</v>
      </c>
    </row>
    <row r="53" spans="2:17" ht="2" customHeight="1" x14ac:dyDescent="0.2">
      <c r="B53" s="197"/>
      <c r="C53" s="198"/>
      <c r="D53" s="199"/>
      <c r="E53" s="199"/>
      <c r="F53" s="199"/>
      <c r="G53" s="199"/>
      <c r="H53" s="199"/>
      <c r="I53" s="199"/>
      <c r="J53" s="200"/>
      <c r="K53"/>
      <c r="L53" s="945">
        <f t="shared" si="16"/>
        <v>0</v>
      </c>
      <c r="M53" s="946"/>
      <c r="N53" s="201"/>
      <c r="O53" s="202"/>
      <c r="P53" s="196"/>
    </row>
    <row r="54" spans="2:17" ht="17" x14ac:dyDescent="0.2">
      <c r="B54" s="534" t="s">
        <v>536</v>
      </c>
      <c r="C54" s="522">
        <v>8694725</v>
      </c>
      <c r="D54" s="523">
        <v>9017770</v>
      </c>
      <c r="E54" s="523">
        <v>9416528</v>
      </c>
      <c r="F54" s="523">
        <v>9430510</v>
      </c>
      <c r="G54" s="523">
        <v>7025024</v>
      </c>
      <c r="H54" s="523">
        <v>2594042</v>
      </c>
      <c r="I54" s="523">
        <v>1186419</v>
      </c>
      <c r="J54" s="524">
        <v>891818</v>
      </c>
      <c r="K54" s="20"/>
      <c r="L54" s="926" t="str">
        <f t="shared" si="16"/>
        <v xml:space="preserve">  B.II. TOTALE IMMOB. MATERIALI</v>
      </c>
      <c r="M54" s="927"/>
      <c r="N54" s="517">
        <f>SUM(N55:N61)</f>
        <v>7955926.7375932541</v>
      </c>
      <c r="O54" s="518">
        <f t="shared" ref="O54:P54" si="18">SUM(O55:O61)</f>
        <v>7208432.2468029736</v>
      </c>
      <c r="P54" s="520">
        <f t="shared" si="18"/>
        <v>6480385.0035879929</v>
      </c>
    </row>
    <row r="55" spans="2:17" ht="34" x14ac:dyDescent="0.2">
      <c r="B55" s="28" t="s">
        <v>537</v>
      </c>
      <c r="C55" s="60" t="s">
        <v>535</v>
      </c>
      <c r="D55" s="36" t="s">
        <v>535</v>
      </c>
      <c r="E55" s="36" t="s">
        <v>535</v>
      </c>
      <c r="F55" s="36" t="s">
        <v>535</v>
      </c>
      <c r="G55" s="36" t="s">
        <v>535</v>
      </c>
      <c r="H55" s="36" t="s">
        <v>535</v>
      </c>
      <c r="I55" s="36" t="s">
        <v>535</v>
      </c>
      <c r="J55" s="37" t="s">
        <v>535</v>
      </c>
      <c r="K55" s="30"/>
      <c r="L55" s="928" t="str">
        <f t="shared" si="16"/>
        <v xml:space="preserve">    di cui: Beni materiali concessi in locazione finanziaria</v>
      </c>
      <c r="M55" s="929"/>
      <c r="N55" s="64" t="s">
        <v>535</v>
      </c>
      <c r="O55" s="65" t="str">
        <f>N55</f>
        <v>n.d.</v>
      </c>
      <c r="P55" s="66" t="str">
        <f>O55</f>
        <v>n.d.</v>
      </c>
      <c r="Q55" s="203"/>
    </row>
    <row r="56" spans="2:17" ht="17" x14ac:dyDescent="0.2">
      <c r="B56" s="28" t="s">
        <v>538</v>
      </c>
      <c r="C56" s="47">
        <v>6069102</v>
      </c>
      <c r="D56" s="32">
        <v>6328571</v>
      </c>
      <c r="E56" s="32">
        <v>6543383</v>
      </c>
      <c r="F56" s="32">
        <v>6374984</v>
      </c>
      <c r="G56" s="32">
        <v>396319</v>
      </c>
      <c r="H56" s="32">
        <v>412628</v>
      </c>
      <c r="I56" s="32">
        <v>418736</v>
      </c>
      <c r="J56" s="33">
        <v>324645</v>
      </c>
      <c r="K56" s="20"/>
      <c r="L56" s="928" t="str">
        <f t="shared" si="16"/>
        <v xml:space="preserve">   B.II.1. Terreni e fabbricati</v>
      </c>
      <c r="M56" s="929"/>
      <c r="N56" s="62">
        <f>C56-SUM(Q91:Q95)</f>
        <v>5796679.221870373</v>
      </c>
      <c r="O56" s="32">
        <f>N56-SUM(R91:R95)</f>
        <v>5524256.443740746</v>
      </c>
      <c r="P56" s="12">
        <f>O56-SUM(S91:S95)</f>
        <v>5251833.665611119</v>
      </c>
    </row>
    <row r="57" spans="2:17" ht="17" x14ac:dyDescent="0.2">
      <c r="B57" s="28" t="s">
        <v>539</v>
      </c>
      <c r="C57" s="47">
        <v>1774810</v>
      </c>
      <c r="D57" s="32">
        <v>2137598</v>
      </c>
      <c r="E57" s="32">
        <v>2352511</v>
      </c>
      <c r="F57" s="32">
        <v>2232169</v>
      </c>
      <c r="G57" s="32">
        <v>1801043</v>
      </c>
      <c r="H57" s="32">
        <v>258024</v>
      </c>
      <c r="I57" s="32">
        <v>302043</v>
      </c>
      <c r="J57" s="33">
        <v>336024</v>
      </c>
      <c r="K57" s="20"/>
      <c r="L57" s="928" t="str">
        <f t="shared" si="16"/>
        <v xml:space="preserve">   B.II.2. Impianti</v>
      </c>
      <c r="M57" s="929"/>
      <c r="N57" s="62">
        <f>C57-SUM(Q99:Q103)+U103</f>
        <v>1834142.6688494016</v>
      </c>
      <c r="O57" s="32">
        <f>N57-SUM(R98:R104)</f>
        <v>1409009.1093152703</v>
      </c>
      <c r="P57" s="12">
        <f>O57-SUM(S98:S104)</f>
        <v>1003322.7973564384</v>
      </c>
    </row>
    <row r="58" spans="2:17" ht="17" x14ac:dyDescent="0.2">
      <c r="B58" s="28" t="s">
        <v>540</v>
      </c>
      <c r="C58" s="672">
        <v>197170</v>
      </c>
      <c r="D58" s="673">
        <v>187192</v>
      </c>
      <c r="E58" s="32">
        <v>184756</v>
      </c>
      <c r="F58" s="32">
        <v>168289</v>
      </c>
      <c r="G58" s="32">
        <v>141111</v>
      </c>
      <c r="H58" s="32">
        <v>110856</v>
      </c>
      <c r="I58" s="32">
        <v>130147</v>
      </c>
      <c r="J58" s="33">
        <v>133231</v>
      </c>
      <c r="K58" s="20"/>
      <c r="L58" s="928" t="str">
        <f t="shared" si="16"/>
        <v xml:space="preserve">   B.II.3. Attrez. industriali</v>
      </c>
      <c r="M58" s="929"/>
      <c r="N58" s="62">
        <f>C58-SUM(Q107:Q114)</f>
        <v>168713.52687347843</v>
      </c>
      <c r="O58" s="32">
        <f>N58-SUM(R107:R114)</f>
        <v>140257.05374695687</v>
      </c>
      <c r="P58" s="12">
        <f>O58-SUM(S107:S114)</f>
        <v>111800.5806204353</v>
      </c>
    </row>
    <row r="59" spans="2:17" ht="17" x14ac:dyDescent="0.2">
      <c r="B59" s="28" t="s">
        <v>541</v>
      </c>
      <c r="C59" s="47">
        <v>177873</v>
      </c>
      <c r="D59" s="32">
        <v>244518</v>
      </c>
      <c r="E59" s="32">
        <v>312178</v>
      </c>
      <c r="F59" s="32">
        <v>236539</v>
      </c>
      <c r="G59" s="32">
        <v>116965</v>
      </c>
      <c r="H59" s="32">
        <v>45295</v>
      </c>
      <c r="I59" s="32">
        <v>68843</v>
      </c>
      <c r="J59" s="33">
        <v>97918</v>
      </c>
      <c r="K59" s="20"/>
      <c r="L59" s="928" t="str">
        <f t="shared" si="16"/>
        <v xml:space="preserve">   B.II.4. Altri beni</v>
      </c>
      <c r="M59" s="929"/>
      <c r="N59" s="62">
        <f>C59-SUM(Q117:Q121)</f>
        <v>156391.32</v>
      </c>
      <c r="O59" s="32">
        <f>N59-SUM(R117:R121)</f>
        <v>134909.64000000001</v>
      </c>
      <c r="P59" s="12">
        <f>O59-SUM(S117:S121)</f>
        <v>113427.96000000002</v>
      </c>
    </row>
    <row r="60" spans="2:17" ht="17" x14ac:dyDescent="0.2">
      <c r="B60" s="28" t="s">
        <v>542</v>
      </c>
      <c r="C60" s="735">
        <v>475770</v>
      </c>
      <c r="D60" s="736">
        <v>119891</v>
      </c>
      <c r="E60" s="736">
        <v>23700</v>
      </c>
      <c r="F60" s="32">
        <v>418529</v>
      </c>
      <c r="G60" s="32">
        <v>4569586</v>
      </c>
      <c r="H60" s="32">
        <v>1767239</v>
      </c>
      <c r="I60" s="32">
        <v>266650</v>
      </c>
      <c r="J60" s="33">
        <v>0</v>
      </c>
      <c r="K60" s="20"/>
      <c r="L60" s="928" t="str">
        <f t="shared" si="16"/>
        <v xml:space="preserve">   B.II.5. Imm. in corso/acconti</v>
      </c>
      <c r="M60" s="929"/>
      <c r="N60" s="70">
        <v>0</v>
      </c>
      <c r="O60" s="71">
        <v>0</v>
      </c>
      <c r="P60" s="72">
        <v>0</v>
      </c>
    </row>
    <row r="61" spans="2:17" ht="17" x14ac:dyDescent="0.2">
      <c r="B61" s="29" t="s">
        <v>543</v>
      </c>
      <c r="C61" s="59" t="s">
        <v>535</v>
      </c>
      <c r="D61" s="34" t="s">
        <v>535</v>
      </c>
      <c r="E61" s="34" t="s">
        <v>535</v>
      </c>
      <c r="F61" s="34" t="s">
        <v>535</v>
      </c>
      <c r="G61" s="34" t="s">
        <v>535</v>
      </c>
      <c r="H61" s="34" t="s">
        <v>535</v>
      </c>
      <c r="I61" s="34" t="s">
        <v>535</v>
      </c>
      <c r="J61" s="35" t="s">
        <v>535</v>
      </c>
      <c r="K61" s="30"/>
      <c r="L61" s="928" t="str">
        <f t="shared" si="16"/>
        <v xml:space="preserve">   Fondo amm.to Immob. Materiali</v>
      </c>
      <c r="M61" s="929"/>
      <c r="N61" s="63"/>
      <c r="O61" s="34"/>
      <c r="P61" s="147"/>
    </row>
    <row r="62" spans="2:17" ht="2" customHeight="1" x14ac:dyDescent="0.2">
      <c r="B62" s="197"/>
      <c r="C62" s="198"/>
      <c r="D62" s="199"/>
      <c r="E62" s="199"/>
      <c r="F62" s="199"/>
      <c r="G62" s="199"/>
      <c r="H62" s="199"/>
      <c r="I62" s="199"/>
      <c r="J62" s="200"/>
      <c r="K62"/>
      <c r="L62" s="945">
        <f t="shared" si="16"/>
        <v>0</v>
      </c>
      <c r="M62" s="946"/>
      <c r="N62" s="201"/>
      <c r="O62" s="204"/>
      <c r="P62" s="196"/>
    </row>
    <row r="63" spans="2:17" ht="17" x14ac:dyDescent="0.2">
      <c r="B63" s="534" t="s">
        <v>544</v>
      </c>
      <c r="C63" s="522">
        <v>58702</v>
      </c>
      <c r="D63" s="523">
        <v>58702</v>
      </c>
      <c r="E63" s="523">
        <v>58702</v>
      </c>
      <c r="F63" s="523">
        <v>58702</v>
      </c>
      <c r="G63" s="523">
        <v>14704</v>
      </c>
      <c r="H63" s="523">
        <v>14704</v>
      </c>
      <c r="I63" s="523">
        <v>14704</v>
      </c>
      <c r="J63" s="524">
        <v>14704</v>
      </c>
      <c r="K63" s="20"/>
      <c r="L63" s="926" t="str">
        <f t="shared" si="16"/>
        <v xml:space="preserve">  B.III. TOTALE IMMOB. FINANZIARIE</v>
      </c>
      <c r="M63" s="927"/>
      <c r="N63" s="517">
        <v>58702</v>
      </c>
      <c r="O63" s="518">
        <f>N63</f>
        <v>58702</v>
      </c>
      <c r="P63" s="519">
        <f>O63</f>
        <v>58702</v>
      </c>
    </row>
    <row r="64" spans="2:17" ht="34" x14ac:dyDescent="0.2">
      <c r="B64" s="28" t="s">
        <v>545</v>
      </c>
      <c r="C64" s="47">
        <v>0</v>
      </c>
      <c r="D64" s="32">
        <v>0</v>
      </c>
      <c r="E64" s="32">
        <v>0</v>
      </c>
      <c r="F64" s="32">
        <v>0</v>
      </c>
      <c r="G64" s="32">
        <v>8192</v>
      </c>
      <c r="H64" s="32">
        <v>8192</v>
      </c>
      <c r="I64" s="32">
        <v>8192</v>
      </c>
      <c r="J64" s="33">
        <v>0</v>
      </c>
      <c r="K64" s="20"/>
      <c r="L64" s="928" t="str">
        <f t="shared" si="16"/>
        <v xml:space="preserve">    di cui: esigibili entro l'esercizio successivo</v>
      </c>
      <c r="M64" s="929"/>
      <c r="N64" s="62">
        <v>0</v>
      </c>
      <c r="O64" s="32">
        <v>0</v>
      </c>
      <c r="P64" s="535">
        <v>0</v>
      </c>
    </row>
    <row r="65" spans="2:16" ht="17" x14ac:dyDescent="0.2">
      <c r="B65" s="29" t="s">
        <v>546</v>
      </c>
      <c r="C65" s="61">
        <v>58702</v>
      </c>
      <c r="D65" s="38">
        <v>58702</v>
      </c>
      <c r="E65" s="38">
        <v>58702</v>
      </c>
      <c r="F65" s="38">
        <v>58702</v>
      </c>
      <c r="G65" s="38">
        <v>6512</v>
      </c>
      <c r="H65" s="38">
        <v>6512</v>
      </c>
      <c r="I65" s="38">
        <v>6512</v>
      </c>
      <c r="J65" s="39">
        <v>6512</v>
      </c>
      <c r="K65" s="20"/>
      <c r="L65" s="930" t="str">
        <f t="shared" si="16"/>
        <v xml:space="preserve">   B.III.1. TOT Partecipazioni</v>
      </c>
      <c r="M65" s="931"/>
      <c r="N65" s="529">
        <f>N63</f>
        <v>58702</v>
      </c>
      <c r="O65" s="38">
        <f t="shared" ref="O65:P65" si="19">O63</f>
        <v>58702</v>
      </c>
      <c r="P65" s="39">
        <f t="shared" si="19"/>
        <v>58702</v>
      </c>
    </row>
    <row r="66" spans="2:16" ht="17" hidden="1" x14ac:dyDescent="0.2">
      <c r="B66" s="669" t="s">
        <v>1442</v>
      </c>
      <c r="C66" s="670">
        <f>C42-D42</f>
        <v>-339902</v>
      </c>
      <c r="D66" s="670">
        <f t="shared" ref="D66:I66" si="20">D42-E42</f>
        <v>-432095</v>
      </c>
      <c r="E66" s="670">
        <f t="shared" si="20"/>
        <v>49245</v>
      </c>
      <c r="F66" s="670">
        <f t="shared" si="20"/>
        <v>2492521</v>
      </c>
      <c r="G66" s="670">
        <f t="shared" si="20"/>
        <v>4456892</v>
      </c>
      <c r="H66" s="670">
        <f t="shared" si="20"/>
        <v>1415166</v>
      </c>
      <c r="I66" s="670">
        <f t="shared" si="20"/>
        <v>292624</v>
      </c>
      <c r="J66" s="671" t="s">
        <v>535</v>
      </c>
      <c r="K66" s="20"/>
      <c r="L66" s="668"/>
      <c r="M66" s="668"/>
      <c r="N66" s="32"/>
      <c r="O66" s="32"/>
      <c r="P66" s="32"/>
    </row>
    <row r="67" spans="2:16" ht="17" hidden="1" x14ac:dyDescent="0.2">
      <c r="B67" s="669" t="s">
        <v>1449</v>
      </c>
      <c r="C67" s="670">
        <v>33337</v>
      </c>
      <c r="D67" s="199">
        <f>D43-C43+C51</f>
        <v>33337</v>
      </c>
      <c r="E67" t="s">
        <v>1433</v>
      </c>
      <c r="F67"/>
      <c r="G67"/>
      <c r="H67"/>
      <c r="I67" s="670"/>
      <c r="J67" s="671"/>
      <c r="K67" s="20"/>
      <c r="L67" s="668"/>
      <c r="M67" s="668"/>
      <c r="N67" s="32"/>
      <c r="O67" s="32"/>
      <c r="P67" s="32"/>
    </row>
    <row r="68" spans="2:16" ht="17" hidden="1" x14ac:dyDescent="0.2">
      <c r="B68" s="669" t="s">
        <v>1450</v>
      </c>
      <c r="C68" s="670">
        <v>866491</v>
      </c>
      <c r="D68" s="199">
        <f>D56-C56+D57-C57+D59-C59</f>
        <v>688902</v>
      </c>
      <c r="E68" t="s">
        <v>1451</v>
      </c>
      <c r="F68"/>
      <c r="G68"/>
      <c r="H68"/>
      <c r="I68" s="670"/>
      <c r="J68" s="671"/>
      <c r="K68" s="20"/>
      <c r="L68" s="668"/>
      <c r="M68" s="668"/>
      <c r="N68" s="32"/>
      <c r="O68" s="32"/>
      <c r="P68" s="32"/>
    </row>
    <row r="69" spans="2:16" ht="17" hidden="1" x14ac:dyDescent="0.2">
      <c r="B69" s="669" t="s">
        <v>1443</v>
      </c>
      <c r="C69" s="670">
        <v>-899828</v>
      </c>
      <c r="D69" s="670" t="s">
        <v>1447</v>
      </c>
      <c r="E69" s="670"/>
      <c r="F69" s="670"/>
      <c r="G69" s="670"/>
      <c r="H69" s="670"/>
      <c r="I69" s="670"/>
      <c r="J69" s="671"/>
      <c r="K69" s="20"/>
      <c r="L69" s="668"/>
      <c r="M69" s="668"/>
      <c r="N69" s="32"/>
      <c r="O69" s="32"/>
      <c r="P69" s="32"/>
    </row>
    <row r="70" spans="2:16" hidden="1" x14ac:dyDescent="0.2">
      <c r="B70" s="26" t="s">
        <v>1444</v>
      </c>
      <c r="C70" s="24">
        <f>SUM(K85:K87)+SUM(K91:K94)+SUM(K98:K102)+SUM(K107:K113)-K109+SUM(K119:K121)</f>
        <v>824821.52669259126</v>
      </c>
      <c r="D70" s="11">
        <f>C68-D68</f>
        <v>177589</v>
      </c>
      <c r="E70" s="5" t="s">
        <v>1452</v>
      </c>
      <c r="K70" s="20"/>
      <c r="L70" s="20"/>
      <c r="M70" s="20"/>
      <c r="N70" s="20"/>
    </row>
    <row r="71" spans="2:16" hidden="1" x14ac:dyDescent="0.2">
      <c r="B71" s="26" t="s">
        <v>1439</v>
      </c>
      <c r="C71" s="11">
        <f>C70+C69</f>
        <v>-75006.473307408742</v>
      </c>
      <c r="D71" s="11">
        <f>D54-C54+D70</f>
        <v>500634</v>
      </c>
      <c r="E71" s="5" t="s">
        <v>1453</v>
      </c>
      <c r="K71" s="20"/>
      <c r="L71" s="20"/>
      <c r="M71" s="20"/>
      <c r="N71" s="20"/>
    </row>
    <row r="72" spans="2:16" hidden="1" x14ac:dyDescent="0.2">
      <c r="B72" s="26" t="s">
        <v>1445</v>
      </c>
      <c r="C72" s="11">
        <f>C66-C69</f>
        <v>559926</v>
      </c>
      <c r="D72" s="5" t="s">
        <v>1448</v>
      </c>
      <c r="E72" s="11"/>
      <c r="K72" s="20"/>
      <c r="L72" s="20"/>
      <c r="M72" s="20"/>
      <c r="N72" s="20"/>
    </row>
    <row r="73" spans="2:16" hidden="1" x14ac:dyDescent="0.2">
      <c r="B73" s="5" t="s">
        <v>1446</v>
      </c>
      <c r="C73" s="11">
        <f>C58-D58+C60-D60</f>
        <v>365857</v>
      </c>
      <c r="D73" s="11"/>
      <c r="E73" s="11"/>
      <c r="K73" s="20"/>
      <c r="L73" s="20"/>
      <c r="M73" s="20"/>
      <c r="N73" s="20"/>
    </row>
    <row r="74" spans="2:16" x14ac:dyDescent="0.2">
      <c r="K74" s="20"/>
      <c r="L74" s="20"/>
      <c r="M74" s="20"/>
      <c r="N74" s="20"/>
    </row>
    <row r="75" spans="2:16" x14ac:dyDescent="0.2">
      <c r="B75" s="528" t="s">
        <v>1521</v>
      </c>
      <c r="K75" s="20"/>
      <c r="L75" s="20"/>
      <c r="M75" s="20"/>
      <c r="N75" s="20"/>
    </row>
    <row r="76" spans="2:16" x14ac:dyDescent="0.2">
      <c r="K76" s="20"/>
      <c r="L76" s="20"/>
      <c r="M76" s="20"/>
      <c r="N76" s="20"/>
    </row>
    <row r="77" spans="2:16" x14ac:dyDescent="0.2">
      <c r="K77" s="20"/>
      <c r="L77" s="20"/>
      <c r="M77" s="20"/>
      <c r="N77" s="20"/>
    </row>
    <row r="78" spans="2:16" x14ac:dyDescent="0.2">
      <c r="K78" s="20"/>
      <c r="L78" s="20"/>
      <c r="M78" s="20"/>
      <c r="N78" s="20"/>
    </row>
    <row r="79" spans="2:16" x14ac:dyDescent="0.2">
      <c r="K79" s="20"/>
      <c r="L79" s="20"/>
      <c r="M79" s="20"/>
      <c r="N79" s="20"/>
    </row>
    <row r="80" spans="2:16" x14ac:dyDescent="0.2">
      <c r="B80" s="932" t="s">
        <v>1322</v>
      </c>
      <c r="C80" s="933"/>
      <c r="D80" s="934"/>
      <c r="K80" s="20"/>
      <c r="L80" s="20"/>
      <c r="M80" s="20"/>
      <c r="N80" s="20"/>
    </row>
    <row r="81" spans="2:68" x14ac:dyDescent="0.2">
      <c r="B81" s="935"/>
      <c r="C81" s="936"/>
      <c r="D81" s="937"/>
      <c r="F81" s="386" t="s">
        <v>1323</v>
      </c>
      <c r="G81" s="5" t="s">
        <v>1522</v>
      </c>
      <c r="K81" s="20"/>
      <c r="L81" s="20"/>
      <c r="M81" s="20"/>
      <c r="N81" s="20"/>
    </row>
    <row r="82" spans="2:68" ht="19" x14ac:dyDescent="0.2">
      <c r="B82" s="727"/>
      <c r="C82" s="727"/>
      <c r="D82" s="727"/>
      <c r="F82" s="386"/>
      <c r="K82" s="20"/>
      <c r="L82" s="20"/>
      <c r="M82" s="20"/>
      <c r="N82" s="20"/>
    </row>
    <row r="83" spans="2:68" x14ac:dyDescent="0.2">
      <c r="B83" s="4" t="s">
        <v>1523</v>
      </c>
      <c r="C83" s="26" t="s">
        <v>1524</v>
      </c>
      <c r="K83" s="20"/>
      <c r="L83" s="20"/>
      <c r="M83" s="20"/>
      <c r="N83" s="20"/>
      <c r="Q83" s="4" t="s">
        <v>973</v>
      </c>
      <c r="U83" s="4" t="s">
        <v>1526</v>
      </c>
    </row>
    <row r="84" spans="2:68" s="141" customFormat="1" ht="19" x14ac:dyDescent="0.2">
      <c r="B84" s="463" t="s">
        <v>1324</v>
      </c>
      <c r="C84" s="536">
        <v>2017</v>
      </c>
      <c r="D84" s="423">
        <v>2018</v>
      </c>
      <c r="E84" s="423">
        <v>2019</v>
      </c>
      <c r="F84" s="423">
        <v>2020</v>
      </c>
      <c r="G84" s="423">
        <v>2021</v>
      </c>
      <c r="H84" s="423">
        <v>2022</v>
      </c>
      <c r="I84" s="423">
        <v>2023</v>
      </c>
      <c r="J84" s="423">
        <v>2024</v>
      </c>
      <c r="K84" s="537" t="s">
        <v>1344</v>
      </c>
      <c r="L84" s="538" t="s">
        <v>1345</v>
      </c>
      <c r="M84" s="516">
        <v>2025</v>
      </c>
      <c r="N84" s="516">
        <v>2026</v>
      </c>
      <c r="O84" s="424">
        <v>2027</v>
      </c>
      <c r="Q84" s="539">
        <v>2025</v>
      </c>
      <c r="R84" s="516">
        <v>2026</v>
      </c>
      <c r="S84" s="424">
        <v>2027</v>
      </c>
      <c r="U84" s="425" t="s">
        <v>1527</v>
      </c>
    </row>
    <row r="85" spans="2:68" x14ac:dyDescent="0.2">
      <c r="B85" s="126" t="s">
        <v>965</v>
      </c>
      <c r="C85" s="143"/>
      <c r="D85" s="41"/>
      <c r="E85" s="41"/>
      <c r="F85" s="41">
        <v>4960</v>
      </c>
      <c r="G85" s="41">
        <f>F85-K85</f>
        <v>3968</v>
      </c>
      <c r="H85" s="41">
        <f>G85-K85</f>
        <v>2976</v>
      </c>
      <c r="I85" s="41">
        <f>H85-K85</f>
        <v>1984</v>
      </c>
      <c r="J85" s="41">
        <f>I85-K85</f>
        <v>992</v>
      </c>
      <c r="K85" s="14">
        <v>992</v>
      </c>
      <c r="L85" s="15">
        <v>0.2</v>
      </c>
      <c r="M85" s="31">
        <f>J85-K85</f>
        <v>0</v>
      </c>
      <c r="N85" s="31">
        <v>0</v>
      </c>
      <c r="O85" s="40">
        <v>0</v>
      </c>
      <c r="Q85" s="14">
        <v>0</v>
      </c>
      <c r="R85" s="31">
        <v>0</v>
      </c>
      <c r="S85" s="40">
        <v>0</v>
      </c>
      <c r="U85" s="46">
        <f>F85</f>
        <v>4960</v>
      </c>
    </row>
    <row r="86" spans="2:68" x14ac:dyDescent="0.2">
      <c r="B86" s="150" t="s">
        <v>967</v>
      </c>
      <c r="C86" s="149"/>
      <c r="D86" s="11"/>
      <c r="E86" s="11"/>
      <c r="F86" s="11"/>
      <c r="G86" s="11"/>
      <c r="H86" s="11">
        <f>130172-H85</f>
        <v>127196</v>
      </c>
      <c r="I86" s="11">
        <f>97381-I85</f>
        <v>95397</v>
      </c>
      <c r="J86" s="11">
        <f>64590-J85</f>
        <v>63598</v>
      </c>
      <c r="K86" s="16">
        <f>H86-I86+2297</f>
        <v>34096</v>
      </c>
      <c r="L86" s="17">
        <f>K86/H86</f>
        <v>0.26805874398565993</v>
      </c>
      <c r="M86" s="32">
        <f>J86-K86</f>
        <v>29502</v>
      </c>
      <c r="N86" s="32">
        <v>992</v>
      </c>
      <c r="O86" s="12">
        <v>0</v>
      </c>
      <c r="Q86" s="16">
        <f>J86-M86</f>
        <v>34096</v>
      </c>
      <c r="R86" s="32">
        <v>0</v>
      </c>
      <c r="S86" s="12">
        <v>0</v>
      </c>
      <c r="U86" s="45">
        <f>H86</f>
        <v>127196</v>
      </c>
    </row>
    <row r="87" spans="2:68" x14ac:dyDescent="0.2">
      <c r="B87" s="150" t="s">
        <v>968</v>
      </c>
      <c r="C87" s="149"/>
      <c r="D87" s="11"/>
      <c r="E87" s="11"/>
      <c r="F87" s="11"/>
      <c r="G87" s="11"/>
      <c r="H87" s="11">
        <v>9545</v>
      </c>
      <c r="I87" s="11">
        <v>8999</v>
      </c>
      <c r="J87" s="11">
        <v>8453</v>
      </c>
      <c r="K87" s="18">
        <f>H87-I87</f>
        <v>546</v>
      </c>
      <c r="L87" s="19">
        <f>K87/H87</f>
        <v>5.72027239392352E-2</v>
      </c>
      <c r="M87" s="21">
        <f>J87-K87</f>
        <v>7907</v>
      </c>
      <c r="N87" s="21">
        <f>M87-K87</f>
        <v>7361</v>
      </c>
      <c r="O87" s="22">
        <f>N87-K87</f>
        <v>6815</v>
      </c>
      <c r="P87" s="43"/>
      <c r="Q87" s="18">
        <f>J87-M87</f>
        <v>546</v>
      </c>
      <c r="R87" s="21">
        <f>M87-N87</f>
        <v>546</v>
      </c>
      <c r="S87" s="22">
        <f>R87</f>
        <v>546</v>
      </c>
      <c r="T87" s="20"/>
      <c r="U87" s="47">
        <f>H87</f>
        <v>9545</v>
      </c>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row>
    <row r="88" spans="2:68" x14ac:dyDescent="0.2">
      <c r="B88" s="136" t="s">
        <v>969</v>
      </c>
      <c r="C88" s="146"/>
      <c r="D88" s="145"/>
      <c r="E88" s="145"/>
      <c r="F88" s="145"/>
      <c r="G88" s="145"/>
      <c r="H88" s="145"/>
      <c r="I88" s="145"/>
      <c r="J88" s="145">
        <v>16480</v>
      </c>
      <c r="K88" s="146">
        <f>J88*L88</f>
        <v>1648</v>
      </c>
      <c r="L88" s="157">
        <v>0.1</v>
      </c>
      <c r="M88" s="145">
        <f>J88-K88</f>
        <v>14832</v>
      </c>
      <c r="N88" s="145">
        <f>M88-K88</f>
        <v>13184</v>
      </c>
      <c r="O88" s="147">
        <f>N88-K88</f>
        <v>11536</v>
      </c>
      <c r="Q88" s="146">
        <f>R88</f>
        <v>1648</v>
      </c>
      <c r="R88" s="145">
        <f>M88-N88</f>
        <v>1648</v>
      </c>
      <c r="S88" s="147">
        <f>N88-O88</f>
        <v>1648</v>
      </c>
      <c r="U88" s="153">
        <f>J88</f>
        <v>16480</v>
      </c>
    </row>
    <row r="89" spans="2:68" x14ac:dyDescent="0.2">
      <c r="B89" s="26" t="s">
        <v>970</v>
      </c>
      <c r="C89" s="24">
        <f>SUM(C85:C88)</f>
        <v>0</v>
      </c>
      <c r="D89" s="24">
        <f>SUM(D85:D88)</f>
        <v>0</v>
      </c>
      <c r="E89" s="24">
        <f t="shared" ref="E89:O89" si="21">SUM(E85:E88)</f>
        <v>0</v>
      </c>
      <c r="F89" s="24">
        <f t="shared" si="21"/>
        <v>4960</v>
      </c>
      <c r="G89" s="24">
        <f t="shared" si="21"/>
        <v>3968</v>
      </c>
      <c r="H89" s="24">
        <f t="shared" si="21"/>
        <v>139717</v>
      </c>
      <c r="I89" s="24">
        <f t="shared" si="21"/>
        <v>106380</v>
      </c>
      <c r="J89" s="24">
        <f>SUM(J85:J88)</f>
        <v>89523</v>
      </c>
      <c r="K89" s="24">
        <f>SUM(K85:K88)</f>
        <v>37282</v>
      </c>
      <c r="L89" s="24"/>
      <c r="M89" s="24">
        <f t="shared" si="21"/>
        <v>52241</v>
      </c>
      <c r="N89" s="24">
        <f t="shared" si="21"/>
        <v>21537</v>
      </c>
      <c r="O89" s="24">
        <f t="shared" si="21"/>
        <v>18351</v>
      </c>
      <c r="Q89" s="23"/>
      <c r="R89" s="24"/>
      <c r="S89" s="44"/>
    </row>
    <row r="90" spans="2:68" x14ac:dyDescent="0.2">
      <c r="C90" s="11"/>
      <c r="D90" s="11"/>
      <c r="E90" s="11"/>
      <c r="F90" s="11"/>
      <c r="G90" s="11"/>
      <c r="H90" s="11"/>
      <c r="I90" s="11"/>
      <c r="J90" s="11"/>
      <c r="K90" s="11"/>
      <c r="L90" s="11"/>
      <c r="Q90" s="150"/>
      <c r="S90" s="135"/>
    </row>
    <row r="91" spans="2:68" x14ac:dyDescent="0.2">
      <c r="B91" s="42" t="s">
        <v>1325</v>
      </c>
      <c r="C91" s="41"/>
      <c r="D91" s="41"/>
      <c r="E91" s="41">
        <v>412628</v>
      </c>
      <c r="F91" s="41">
        <v>396319</v>
      </c>
      <c r="G91" s="41">
        <f>F91-K91</f>
        <v>380010</v>
      </c>
      <c r="H91" s="41">
        <f>G91-K91</f>
        <v>363701</v>
      </c>
      <c r="I91" s="41">
        <f>H91-K91</f>
        <v>347392</v>
      </c>
      <c r="J91" s="41">
        <f>I91-K91</f>
        <v>331083</v>
      </c>
      <c r="K91" s="143">
        <f>E91-F91</f>
        <v>16309</v>
      </c>
      <c r="L91" s="205">
        <f>K91/E91</f>
        <v>3.9524705061217365E-2</v>
      </c>
      <c r="M91" s="41">
        <f>J91-K91</f>
        <v>314774</v>
      </c>
      <c r="N91" s="41">
        <f>M91-K91</f>
        <v>298465</v>
      </c>
      <c r="O91" s="40">
        <f>N91-K91</f>
        <v>282156</v>
      </c>
      <c r="Q91" s="143">
        <f>K91</f>
        <v>16309</v>
      </c>
      <c r="R91" s="206">
        <f>Q91</f>
        <v>16309</v>
      </c>
      <c r="S91" s="207">
        <f>R91</f>
        <v>16309</v>
      </c>
      <c r="U91" s="46">
        <f>E91</f>
        <v>412628</v>
      </c>
    </row>
    <row r="92" spans="2:68" x14ac:dyDescent="0.2">
      <c r="B92" s="10" t="s">
        <v>1326</v>
      </c>
      <c r="C92" s="11"/>
      <c r="D92" s="11"/>
      <c r="E92" s="11"/>
      <c r="F92" s="11"/>
      <c r="G92" s="761">
        <f>6374984-G91</f>
        <v>5994974</v>
      </c>
      <c r="H92" s="11">
        <f>G92-K92</f>
        <v>5758172.5269999998</v>
      </c>
      <c r="I92" s="11">
        <f>H92-K92</f>
        <v>5521371.0539999995</v>
      </c>
      <c r="J92" s="11">
        <f>I92-K92</f>
        <v>5284569.5809999993</v>
      </c>
      <c r="K92" s="149">
        <f>G92*L92</f>
        <v>236801.473</v>
      </c>
      <c r="L92" s="13">
        <v>3.95E-2</v>
      </c>
      <c r="M92" s="11">
        <f>J92-K92</f>
        <v>5047768.1079999991</v>
      </c>
      <c r="N92" s="11">
        <f>M92-K92</f>
        <v>4810966.6349999988</v>
      </c>
      <c r="O92" s="12">
        <f>N92-K92</f>
        <v>4574165.1619999986</v>
      </c>
      <c r="Q92" s="149">
        <f>K92</f>
        <v>236801.473</v>
      </c>
      <c r="R92" s="209">
        <f t="shared" ref="R92:S92" si="22">Q92</f>
        <v>236801.473</v>
      </c>
      <c r="S92" s="210">
        <f t="shared" si="22"/>
        <v>236801.473</v>
      </c>
      <c r="U92" s="45">
        <f>G92</f>
        <v>5994974</v>
      </c>
    </row>
    <row r="93" spans="2:68" x14ac:dyDescent="0.2">
      <c r="B93" s="10" t="s">
        <v>1327</v>
      </c>
      <c r="C93" s="11"/>
      <c r="D93" s="11"/>
      <c r="E93" s="11"/>
      <c r="F93" s="11"/>
      <c r="G93" s="11"/>
      <c r="H93" s="208">
        <f>6543383-H92-H91</f>
        <v>421509.47300000023</v>
      </c>
      <c r="I93" s="11">
        <f>H93-K93</f>
        <v>404859.84881650022</v>
      </c>
      <c r="J93" s="11">
        <f>I93-K93</f>
        <v>388210.22463300021</v>
      </c>
      <c r="K93" s="149">
        <f>L93*H93</f>
        <v>16649.624183500011</v>
      </c>
      <c r="L93" s="13">
        <v>3.95E-2</v>
      </c>
      <c r="M93" s="11">
        <f>J93-K93</f>
        <v>371560.6004495002</v>
      </c>
      <c r="N93" s="11">
        <f>M93-K93</f>
        <v>354910.97626600019</v>
      </c>
      <c r="O93" s="12">
        <f>N93-K93</f>
        <v>338261.35208250018</v>
      </c>
      <c r="Q93" s="149">
        <f>K93</f>
        <v>16649.624183500011</v>
      </c>
      <c r="R93" s="209">
        <f t="shared" ref="R93:S93" si="23">Q93</f>
        <v>16649.624183500011</v>
      </c>
      <c r="S93" s="210">
        <f t="shared" si="23"/>
        <v>16649.624183500011</v>
      </c>
      <c r="U93" s="45">
        <f>H93</f>
        <v>421509.47300000023</v>
      </c>
    </row>
    <row r="94" spans="2:68" x14ac:dyDescent="0.2">
      <c r="B94" s="10" t="s">
        <v>1328</v>
      </c>
      <c r="C94" s="11"/>
      <c r="D94" s="11"/>
      <c r="E94" s="11"/>
      <c r="F94" s="11"/>
      <c r="G94" s="11"/>
      <c r="H94" s="11"/>
      <c r="I94" s="11">
        <f>6328571-I93-I92-I91</f>
        <v>54948.097183500417</v>
      </c>
      <c r="J94" s="11">
        <f>I94-K94</f>
        <v>52777.647344752149</v>
      </c>
      <c r="K94" s="149">
        <f>I94*L94</f>
        <v>2170.4498387482663</v>
      </c>
      <c r="L94" s="13">
        <v>3.95E-2</v>
      </c>
      <c r="M94" s="11">
        <f>J94-K94</f>
        <v>50607.197506003882</v>
      </c>
      <c r="N94" s="11">
        <f>M94-K94</f>
        <v>48436.747667255615</v>
      </c>
      <c r="O94" s="12">
        <f>N94-K94</f>
        <v>46266.297828507348</v>
      </c>
      <c r="Q94" s="149">
        <f>K94</f>
        <v>2170.4498387482663</v>
      </c>
      <c r="R94" s="209">
        <f t="shared" ref="R94:S94" si="24">Q94</f>
        <v>2170.4498387482663</v>
      </c>
      <c r="S94" s="210">
        <f t="shared" si="24"/>
        <v>2170.4498387482663</v>
      </c>
      <c r="U94" s="45">
        <f>I94</f>
        <v>54948.097183500417</v>
      </c>
    </row>
    <row r="95" spans="2:68" x14ac:dyDescent="0.2">
      <c r="B95" s="158" t="s">
        <v>1329</v>
      </c>
      <c r="C95" s="145"/>
      <c r="D95" s="145"/>
      <c r="E95" s="145"/>
      <c r="F95" s="145"/>
      <c r="G95" s="145"/>
      <c r="H95" s="145"/>
      <c r="I95" s="145"/>
      <c r="J95" s="145">
        <f>6069102-SUM(J91:J94)</f>
        <v>12461.547022248618</v>
      </c>
      <c r="K95" s="146">
        <f>J95*L95</f>
        <v>492.23110737882041</v>
      </c>
      <c r="L95" s="157">
        <v>3.95E-2</v>
      </c>
      <c r="M95" s="145">
        <f>J95-K95</f>
        <v>11969.315914869798</v>
      </c>
      <c r="N95" s="145">
        <f>M95-K95</f>
        <v>11477.084807490977</v>
      </c>
      <c r="O95" s="147">
        <f>N95-K95</f>
        <v>10984.853700112157</v>
      </c>
      <c r="Q95" s="146">
        <f>K95</f>
        <v>492.23110737882041</v>
      </c>
      <c r="R95" s="211">
        <f t="shared" ref="R95:S95" si="25">Q95</f>
        <v>492.23110737882041</v>
      </c>
      <c r="S95" s="212">
        <f t="shared" si="25"/>
        <v>492.23110737882041</v>
      </c>
      <c r="U95" s="153">
        <f>J95</f>
        <v>12461.547022248618</v>
      </c>
    </row>
    <row r="96" spans="2:68" x14ac:dyDescent="0.2">
      <c r="B96" s="26" t="s">
        <v>970</v>
      </c>
      <c r="C96" s="24">
        <f>SUM(C91:C95)</f>
        <v>0</v>
      </c>
      <c r="D96" s="24">
        <f>SUM(D91:D95)</f>
        <v>0</v>
      </c>
      <c r="E96" s="24">
        <f t="shared" ref="E96:O96" si="26">SUM(E91:E95)</f>
        <v>412628</v>
      </c>
      <c r="F96" s="24">
        <f t="shared" si="26"/>
        <v>396319</v>
      </c>
      <c r="G96" s="24">
        <f t="shared" si="26"/>
        <v>6374984</v>
      </c>
      <c r="H96" s="24">
        <f t="shared" si="26"/>
        <v>6543383</v>
      </c>
      <c r="I96" s="24">
        <f t="shared" si="26"/>
        <v>6328571</v>
      </c>
      <c r="J96" s="24">
        <f t="shared" si="26"/>
        <v>6069102</v>
      </c>
      <c r="K96" s="24"/>
      <c r="L96" s="24"/>
      <c r="M96" s="24">
        <f t="shared" si="26"/>
        <v>5796679.2218703739</v>
      </c>
      <c r="N96" s="24">
        <f t="shared" si="26"/>
        <v>5524256.443740746</v>
      </c>
      <c r="O96" s="24">
        <f t="shared" si="26"/>
        <v>5251833.665611119</v>
      </c>
      <c r="Q96" s="23"/>
      <c r="R96" s="24"/>
      <c r="S96" s="44"/>
    </row>
    <row r="97" spans="2:24" x14ac:dyDescent="0.2">
      <c r="C97" s="11"/>
      <c r="D97" s="11"/>
      <c r="E97" s="11"/>
      <c r="F97" s="11"/>
      <c r="G97" s="11"/>
      <c r="H97" s="11"/>
      <c r="I97" s="11"/>
      <c r="J97" s="11"/>
      <c r="L97" s="25"/>
      <c r="Q97" s="150"/>
      <c r="S97" s="135"/>
    </row>
    <row r="98" spans="2:24" x14ac:dyDescent="0.2">
      <c r="B98" s="42" t="s">
        <v>1331</v>
      </c>
      <c r="C98" s="143">
        <v>336024</v>
      </c>
      <c r="D98" s="41">
        <v>302043</v>
      </c>
      <c r="E98" s="41">
        <v>258024</v>
      </c>
      <c r="F98" s="41">
        <f>E98-K98</f>
        <v>214004.856</v>
      </c>
      <c r="G98" s="41">
        <f>F98-K98</f>
        <v>169985.712</v>
      </c>
      <c r="H98" s="41">
        <f>G98-K98</f>
        <v>125966.568</v>
      </c>
      <c r="I98" s="41">
        <f>H98-K98</f>
        <v>81947.423999999999</v>
      </c>
      <c r="J98" s="41">
        <f>I98-K98</f>
        <v>37928.28</v>
      </c>
      <c r="K98" s="143">
        <f>C98*L98</f>
        <v>44019.144</v>
      </c>
      <c r="L98" s="205">
        <v>0.13100000000000001</v>
      </c>
      <c r="M98" s="41">
        <v>0</v>
      </c>
      <c r="N98" s="159">
        <v>0</v>
      </c>
      <c r="O98" s="127">
        <v>0</v>
      </c>
      <c r="Q98" s="143">
        <v>0</v>
      </c>
      <c r="R98" s="41">
        <v>0</v>
      </c>
      <c r="S98" s="40">
        <v>0</v>
      </c>
      <c r="U98" s="46">
        <f>C98</f>
        <v>336024</v>
      </c>
    </row>
    <row r="99" spans="2:24" x14ac:dyDescent="0.2">
      <c r="B99" s="10" t="s">
        <v>1332</v>
      </c>
      <c r="C99" s="149"/>
      <c r="D99" s="11"/>
      <c r="E99" s="11"/>
      <c r="F99" s="208">
        <f>1801043-F98</f>
        <v>1587038.1440000001</v>
      </c>
      <c r="G99" s="11">
        <f>F99-K99</f>
        <v>1388658.3760000002</v>
      </c>
      <c r="H99" s="11">
        <f>G99-K99</f>
        <v>1190278.6080000002</v>
      </c>
      <c r="I99" s="11">
        <f>H99-K99</f>
        <v>991898.8400000002</v>
      </c>
      <c r="J99" s="11">
        <f>I99-K99</f>
        <v>793519.07200000016</v>
      </c>
      <c r="K99" s="149">
        <f>L99*F99</f>
        <v>198379.76800000001</v>
      </c>
      <c r="L99" s="13">
        <v>0.125</v>
      </c>
      <c r="M99" s="11">
        <f>J99-K99</f>
        <v>595139.30400000012</v>
      </c>
      <c r="N99" s="11">
        <f>M99-K99</f>
        <v>396759.53600000008</v>
      </c>
      <c r="O99" s="12">
        <f>N99-K99</f>
        <v>198379.76800000007</v>
      </c>
      <c r="Q99" s="149">
        <f>K99</f>
        <v>198379.76800000001</v>
      </c>
      <c r="R99" s="11">
        <f t="shared" ref="R99:S101" si="27">Q99</f>
        <v>198379.76800000001</v>
      </c>
      <c r="S99" s="12">
        <f t="shared" si="27"/>
        <v>198379.76800000001</v>
      </c>
      <c r="U99" s="45">
        <f>F99</f>
        <v>1587038.1440000001</v>
      </c>
    </row>
    <row r="100" spans="2:24" x14ac:dyDescent="0.2">
      <c r="B100" s="10" t="s">
        <v>1333</v>
      </c>
      <c r="C100" s="150"/>
      <c r="G100" s="208">
        <f>2232169-G99-G98</f>
        <v>673524.91199999978</v>
      </c>
      <c r="H100" s="11">
        <f>G100-K100</f>
        <v>585293.14852799976</v>
      </c>
      <c r="I100" s="11">
        <f>H100-K100</f>
        <v>497061.3850559998</v>
      </c>
      <c r="J100" s="11">
        <f>I100-L100</f>
        <v>497061.2540559998</v>
      </c>
      <c r="K100" s="149">
        <f>L100*G100</f>
        <v>88231.763471999977</v>
      </c>
      <c r="L100" s="13">
        <v>0.13100000000000001</v>
      </c>
      <c r="M100" s="11">
        <f>J100-K100</f>
        <v>408829.49058399984</v>
      </c>
      <c r="N100" s="11">
        <f>M100-K100</f>
        <v>320597.72711199988</v>
      </c>
      <c r="O100" s="12">
        <f>N100-K100</f>
        <v>232365.96363999991</v>
      </c>
      <c r="Q100" s="149">
        <f>K100</f>
        <v>88231.763471999977</v>
      </c>
      <c r="R100" s="11">
        <f t="shared" si="27"/>
        <v>88231.763471999977</v>
      </c>
      <c r="S100" s="12">
        <f t="shared" si="27"/>
        <v>88231.763471999977</v>
      </c>
      <c r="U100" s="45">
        <f>G100</f>
        <v>673524.91199999978</v>
      </c>
    </row>
    <row r="101" spans="2:24" x14ac:dyDescent="0.2">
      <c r="B101" s="10" t="s">
        <v>1334</v>
      </c>
      <c r="C101" s="150"/>
      <c r="H101" s="775">
        <f>2352511-H100-H99-H98</f>
        <v>450972.67547199992</v>
      </c>
      <c r="I101" s="11">
        <f>H101-K101</f>
        <v>391895.25498516794</v>
      </c>
      <c r="J101" s="11">
        <f>I101-L101</f>
        <v>391895.12398516794</v>
      </c>
      <c r="K101" s="149">
        <f>L101*H101</f>
        <v>59077.420486831994</v>
      </c>
      <c r="L101" s="13">
        <v>0.13100000000000001</v>
      </c>
      <c r="M101" s="11">
        <f>J101-K101</f>
        <v>332817.70349833596</v>
      </c>
      <c r="N101" s="11">
        <f>M101-K101</f>
        <v>273740.28301150398</v>
      </c>
      <c r="O101" s="12">
        <f>N101-K101</f>
        <v>214662.862524672</v>
      </c>
      <c r="Q101" s="149">
        <f>K101</f>
        <v>59077.420486831994</v>
      </c>
      <c r="R101" s="11">
        <f t="shared" si="27"/>
        <v>59077.420486831994</v>
      </c>
      <c r="S101" s="12">
        <f t="shared" si="27"/>
        <v>59077.420486831994</v>
      </c>
      <c r="U101" s="45">
        <f>H101</f>
        <v>450972.67547199992</v>
      </c>
    </row>
    <row r="102" spans="2:24" x14ac:dyDescent="0.2">
      <c r="B102" s="10" t="s">
        <v>1335</v>
      </c>
      <c r="C102" s="150"/>
      <c r="I102" s="11">
        <f>2137598-SUM(I98:I101)</f>
        <v>174795.09595883219</v>
      </c>
      <c r="J102" s="11">
        <f>I102-K102-85429.81</f>
        <v>54406.266767065739</v>
      </c>
      <c r="K102" s="149">
        <f>L102*I102</f>
        <v>34959.019191766442</v>
      </c>
      <c r="L102" s="13">
        <v>0.2</v>
      </c>
      <c r="M102" s="11">
        <f>J102-K102</f>
        <v>19447.247575299298</v>
      </c>
      <c r="N102" s="11">
        <v>0</v>
      </c>
      <c r="O102" s="135">
        <v>0</v>
      </c>
      <c r="Q102" s="149">
        <f>K102</f>
        <v>34959.019191766442</v>
      </c>
      <c r="R102" s="11">
        <f>M102</f>
        <v>19447.247575299298</v>
      </c>
      <c r="S102" s="12">
        <v>0</v>
      </c>
      <c r="U102" s="45">
        <f>I102</f>
        <v>174795.09595883219</v>
      </c>
    </row>
    <row r="103" spans="2:24" x14ac:dyDescent="0.2">
      <c r="B103" s="7" t="s">
        <v>1525</v>
      </c>
      <c r="C103" s="678"/>
      <c r="D103" s="4"/>
      <c r="E103" s="4"/>
      <c r="F103" s="4"/>
      <c r="G103" s="4"/>
      <c r="H103" s="4"/>
      <c r="I103" s="8"/>
      <c r="J103" s="8">
        <v>0</v>
      </c>
      <c r="K103" s="679">
        <f>L103*U103</f>
        <v>59997.36</v>
      </c>
      <c r="L103" s="680">
        <v>0.12</v>
      </c>
      <c r="M103" s="737">
        <f>U103-K151</f>
        <v>439978</v>
      </c>
      <c r="N103" s="8">
        <f>M103-L151</f>
        <v>379978</v>
      </c>
      <c r="O103" s="9">
        <f>N103-M151</f>
        <v>319978</v>
      </c>
      <c r="P103" s="8"/>
      <c r="Q103" s="679">
        <f>K103</f>
        <v>59997.36</v>
      </c>
      <c r="R103" s="8">
        <f>Q103</f>
        <v>59997.36</v>
      </c>
      <c r="S103" s="9">
        <f>R103</f>
        <v>59997.36</v>
      </c>
      <c r="T103" s="4"/>
      <c r="U103" s="738">
        <v>499978</v>
      </c>
      <c r="W103" s="5" t="s">
        <v>1605</v>
      </c>
      <c r="X103" s="26" t="s">
        <v>1454</v>
      </c>
    </row>
    <row r="104" spans="2:24" x14ac:dyDescent="0.2">
      <c r="B104" s="729" t="s">
        <v>971</v>
      </c>
      <c r="C104" s="730"/>
      <c r="D104" s="724"/>
      <c r="E104" s="724"/>
      <c r="F104" s="724"/>
      <c r="G104" s="724"/>
      <c r="H104" s="724"/>
      <c r="I104" s="731"/>
      <c r="J104" s="731">
        <v>85429.81</v>
      </c>
      <c r="K104" s="732"/>
      <c r="L104" s="733"/>
      <c r="M104" s="724"/>
      <c r="N104" s="724"/>
      <c r="O104" s="734"/>
      <c r="Q104" s="146"/>
      <c r="R104" s="145"/>
      <c r="S104" s="147"/>
      <c r="U104" s="153"/>
    </row>
    <row r="105" spans="2:24" x14ac:dyDescent="0.2">
      <c r="B105" s="26" t="s">
        <v>970</v>
      </c>
      <c r="C105" s="24">
        <f>C98</f>
        <v>336024</v>
      </c>
      <c r="D105" s="24">
        <f t="shared" ref="D105:E105" si="28">D98</f>
        <v>302043</v>
      </c>
      <c r="E105" s="24">
        <f t="shared" si="28"/>
        <v>258024</v>
      </c>
      <c r="F105" s="24">
        <f>SUM(F98:F102)</f>
        <v>1801043</v>
      </c>
      <c r="G105" s="24">
        <f>SUM(G98:G104)</f>
        <v>2232169</v>
      </c>
      <c r="H105" s="24">
        <f>SUM(H98:H102)</f>
        <v>2352511</v>
      </c>
      <c r="I105" s="24">
        <f>SUM(I98:I102)</f>
        <v>2137598</v>
      </c>
      <c r="J105" s="24">
        <v>1774810</v>
      </c>
      <c r="K105" s="26"/>
      <c r="L105" s="27"/>
      <c r="M105" s="24">
        <f>SUM(M98:M103)</f>
        <v>1796211.7456576354</v>
      </c>
      <c r="N105" s="24">
        <f>SUM(N98:N102)</f>
        <v>991097.54612350394</v>
      </c>
      <c r="O105" s="24">
        <f>SUM(O98:O102)</f>
        <v>645408.59416467207</v>
      </c>
      <c r="Q105" s="23"/>
      <c r="R105" s="24"/>
      <c r="S105" s="44"/>
    </row>
    <row r="106" spans="2:24" x14ac:dyDescent="0.2">
      <c r="C106" s="11"/>
      <c r="D106" s="11"/>
      <c r="E106" s="11"/>
      <c r="F106" s="11"/>
      <c r="G106" s="11"/>
      <c r="H106" s="11"/>
      <c r="I106" s="11"/>
      <c r="J106" s="11"/>
      <c r="K106" s="11"/>
      <c r="L106" s="25"/>
      <c r="M106" s="11"/>
      <c r="N106" s="11"/>
      <c r="O106" s="11"/>
      <c r="Q106" s="149"/>
      <c r="R106" s="11"/>
      <c r="S106" s="12"/>
    </row>
    <row r="107" spans="2:24" x14ac:dyDescent="0.2">
      <c r="B107" s="126" t="s">
        <v>1336</v>
      </c>
      <c r="C107" s="143">
        <v>133231</v>
      </c>
      <c r="D107" s="41">
        <f>C107-K107</f>
        <v>121240.21</v>
      </c>
      <c r="E107" s="41">
        <f>D107-K107</f>
        <v>109249.42000000001</v>
      </c>
      <c r="F107" s="41">
        <f>E107-K107</f>
        <v>97258.630000000019</v>
      </c>
      <c r="G107" s="41">
        <f>F107-K107</f>
        <v>85267.840000000026</v>
      </c>
      <c r="H107" s="41">
        <f>G107-K107</f>
        <v>73277.050000000032</v>
      </c>
      <c r="I107" s="41">
        <f>H107-K107</f>
        <v>61286.260000000031</v>
      </c>
      <c r="J107" s="40">
        <f>I107-K107</f>
        <v>49295.47000000003</v>
      </c>
      <c r="K107" s="41">
        <f>L107*C107</f>
        <v>11990.789999999999</v>
      </c>
      <c r="L107" s="213">
        <v>0.09</v>
      </c>
      <c r="M107" s="143">
        <f>J107-K107</f>
        <v>37304.680000000029</v>
      </c>
      <c r="N107" s="41">
        <f>M107-K107</f>
        <v>25313.890000000029</v>
      </c>
      <c r="O107" s="40">
        <f>N107-K107</f>
        <v>13323.100000000029</v>
      </c>
      <c r="Q107" s="143">
        <f>K107</f>
        <v>11990.789999999999</v>
      </c>
      <c r="R107" s="41">
        <f>Q107</f>
        <v>11990.789999999999</v>
      </c>
      <c r="S107" s="40">
        <f>R107</f>
        <v>11990.789999999999</v>
      </c>
      <c r="U107" s="46">
        <f>C107</f>
        <v>133231</v>
      </c>
    </row>
    <row r="108" spans="2:24" x14ac:dyDescent="0.2">
      <c r="B108" s="728" t="s">
        <v>971</v>
      </c>
      <c r="C108" s="23"/>
      <c r="D108" s="24"/>
      <c r="E108" s="24">
        <v>-5518.85</v>
      </c>
      <c r="F108" s="24"/>
      <c r="G108" s="24"/>
      <c r="H108" s="24"/>
      <c r="I108" s="24"/>
      <c r="J108" s="44"/>
      <c r="K108" s="24"/>
      <c r="L108" s="27"/>
      <c r="M108" s="23"/>
      <c r="N108" s="24"/>
      <c r="O108" s="44"/>
      <c r="Q108" s="149"/>
      <c r="R108" s="11"/>
      <c r="S108" s="12"/>
      <c r="U108" s="10"/>
    </row>
    <row r="109" spans="2:24" x14ac:dyDescent="0.2">
      <c r="B109" s="150" t="s">
        <v>1337</v>
      </c>
      <c r="C109" s="149"/>
      <c r="D109" s="11">
        <f>130147-D107</f>
        <v>8906.7899999999936</v>
      </c>
      <c r="E109" s="11">
        <f>D109-K109</f>
        <v>7125.4319999999952</v>
      </c>
      <c r="F109" s="11">
        <f>E109-K109</f>
        <v>5344.0739999999969</v>
      </c>
      <c r="G109" s="11">
        <f>F109-K109</f>
        <v>3562.7159999999981</v>
      </c>
      <c r="H109" s="11">
        <f>G109-K109</f>
        <v>1781.3579999999993</v>
      </c>
      <c r="I109" s="11">
        <f>H109-K109</f>
        <v>0</v>
      </c>
      <c r="J109" s="12">
        <v>0</v>
      </c>
      <c r="K109" s="11">
        <f>L109*D109</f>
        <v>1781.3579999999988</v>
      </c>
      <c r="L109" s="25">
        <v>0.2</v>
      </c>
      <c r="M109" s="149">
        <v>0</v>
      </c>
      <c r="N109" s="11">
        <v>0</v>
      </c>
      <c r="O109" s="12">
        <v>0</v>
      </c>
      <c r="Q109" s="149">
        <v>0</v>
      </c>
      <c r="R109" s="11">
        <v>0</v>
      </c>
      <c r="S109" s="214">
        <v>0</v>
      </c>
      <c r="U109" s="45">
        <f>D109</f>
        <v>8906.7899999999936</v>
      </c>
    </row>
    <row r="110" spans="2:24" x14ac:dyDescent="0.2">
      <c r="B110" s="150" t="s">
        <v>1338</v>
      </c>
      <c r="C110" s="149"/>
      <c r="D110" s="11"/>
      <c r="E110" s="11"/>
      <c r="F110" s="11">
        <f>141111-SUM(F107:F109)</f>
        <v>38508.295999999988</v>
      </c>
      <c r="G110" s="11">
        <f>F110-$K$110</f>
        <v>35042.54935999999</v>
      </c>
      <c r="H110" s="11">
        <f t="shared" ref="H110:I110" si="29">G110-$K$110</f>
        <v>31576.802719999992</v>
      </c>
      <c r="I110" s="11">
        <f t="shared" si="29"/>
        <v>28111.056079999995</v>
      </c>
      <c r="J110" s="12">
        <f>I110-$K$110</f>
        <v>24645.309439999997</v>
      </c>
      <c r="K110" s="11">
        <f>L110*F110</f>
        <v>3465.7466399999989</v>
      </c>
      <c r="L110" s="25">
        <v>0.09</v>
      </c>
      <c r="M110" s="149">
        <f>J110-K110</f>
        <v>21179.5628</v>
      </c>
      <c r="N110" s="11">
        <f>M110-K110</f>
        <v>17713.816160000002</v>
      </c>
      <c r="O110" s="12">
        <f>N110-K110</f>
        <v>14248.069520000003</v>
      </c>
      <c r="Q110" s="149">
        <f>K110</f>
        <v>3465.7466399999989</v>
      </c>
      <c r="R110" s="11">
        <f t="shared" ref="R110:S114" si="30">Q110</f>
        <v>3465.7466399999989</v>
      </c>
      <c r="S110" s="12">
        <f t="shared" si="30"/>
        <v>3465.7466399999989</v>
      </c>
      <c r="U110" s="45">
        <f>F110</f>
        <v>38508.295999999988</v>
      </c>
    </row>
    <row r="111" spans="2:24" x14ac:dyDescent="0.2">
      <c r="B111" s="150" t="s">
        <v>1339</v>
      </c>
      <c r="C111" s="149"/>
      <c r="D111" s="11"/>
      <c r="E111" s="11"/>
      <c r="F111" s="11"/>
      <c r="G111" s="11">
        <f>168289-SUM(G107:G110)</f>
        <v>44415.894639999984</v>
      </c>
      <c r="H111" s="11">
        <f>G111-K111</f>
        <v>40418.464122399986</v>
      </c>
      <c r="I111" s="11">
        <f>H111-K111</f>
        <v>36421.033604799988</v>
      </c>
      <c r="J111" s="12">
        <f>I111-K111</f>
        <v>32423.60308719999</v>
      </c>
      <c r="K111" s="11">
        <f>L111*G111</f>
        <v>3997.4305175999984</v>
      </c>
      <c r="L111" s="25">
        <v>0.09</v>
      </c>
      <c r="M111" s="149">
        <f>J111-K111</f>
        <v>28426.172569599992</v>
      </c>
      <c r="N111" s="11">
        <f>M111-K111</f>
        <v>24428.742051999994</v>
      </c>
      <c r="O111" s="12">
        <f>N111-K111</f>
        <v>20431.311534399996</v>
      </c>
      <c r="Q111" s="149">
        <f>K111</f>
        <v>3997.4305175999984</v>
      </c>
      <c r="R111" s="11">
        <f t="shared" si="30"/>
        <v>3997.4305175999984</v>
      </c>
      <c r="S111" s="12">
        <f t="shared" si="30"/>
        <v>3997.4305175999984</v>
      </c>
      <c r="U111" s="45">
        <f>G111</f>
        <v>44415.894639999984</v>
      </c>
    </row>
    <row r="112" spans="2:24" x14ac:dyDescent="0.2">
      <c r="B112" s="150" t="s">
        <v>1340</v>
      </c>
      <c r="C112" s="149"/>
      <c r="D112" s="11"/>
      <c r="E112" s="11"/>
      <c r="F112" s="11"/>
      <c r="G112" s="11"/>
      <c r="H112" s="11">
        <f>184756-SUM(H107:H111)</f>
        <v>37702.325157599989</v>
      </c>
      <c r="I112" s="11">
        <f>H112-K112</f>
        <v>34309.11589341599</v>
      </c>
      <c r="J112" s="12">
        <f>I112-K112</f>
        <v>30915.906629231991</v>
      </c>
      <c r="K112" s="11">
        <f>H112*L112</f>
        <v>3393.209264183999</v>
      </c>
      <c r="L112" s="25">
        <v>0.09</v>
      </c>
      <c r="M112" s="149">
        <f>J112-K112</f>
        <v>27522.697365047992</v>
      </c>
      <c r="N112" s="11">
        <f>M112-K112</f>
        <v>24129.488100863993</v>
      </c>
      <c r="O112" s="12">
        <f>N112-K112</f>
        <v>20736.278836679994</v>
      </c>
      <c r="Q112" s="149">
        <f>K112</f>
        <v>3393.209264183999</v>
      </c>
      <c r="R112" s="11">
        <f t="shared" si="30"/>
        <v>3393.209264183999</v>
      </c>
      <c r="S112" s="12">
        <f t="shared" si="30"/>
        <v>3393.209264183999</v>
      </c>
      <c r="U112" s="45">
        <f>H112</f>
        <v>37702.325157599989</v>
      </c>
    </row>
    <row r="113" spans="2:21" x14ac:dyDescent="0.2">
      <c r="B113" s="150" t="s">
        <v>1341</v>
      </c>
      <c r="C113" s="149"/>
      <c r="D113" s="11"/>
      <c r="E113" s="11"/>
      <c r="F113" s="11"/>
      <c r="G113" s="11"/>
      <c r="H113" s="11"/>
      <c r="I113" s="11">
        <f>187192-SUM(I107:I112)</f>
        <v>27064.534421783988</v>
      </c>
      <c r="J113" s="12">
        <f>I113-K113</f>
        <v>24628.72632382343</v>
      </c>
      <c r="K113" s="11">
        <f>L113*I113</f>
        <v>2435.8080979605588</v>
      </c>
      <c r="L113" s="25">
        <v>0.09</v>
      </c>
      <c r="M113" s="149">
        <f>J113-K113</f>
        <v>22192.918225862872</v>
      </c>
      <c r="N113" s="11">
        <f>M113-K113</f>
        <v>19757.110127902313</v>
      </c>
      <c r="O113" s="12">
        <f>N113-K113</f>
        <v>17321.302029941755</v>
      </c>
      <c r="Q113" s="149">
        <f>K113</f>
        <v>2435.8080979605588</v>
      </c>
      <c r="R113" s="11">
        <f t="shared" si="30"/>
        <v>2435.8080979605588</v>
      </c>
      <c r="S113" s="12">
        <f t="shared" si="30"/>
        <v>2435.8080979605588</v>
      </c>
      <c r="U113" s="45">
        <f>I113</f>
        <v>27064.534421783988</v>
      </c>
    </row>
    <row r="114" spans="2:21" x14ac:dyDescent="0.2">
      <c r="B114" s="136" t="s">
        <v>1342</v>
      </c>
      <c r="C114" s="146"/>
      <c r="D114" s="145"/>
      <c r="E114" s="145"/>
      <c r="F114" s="145"/>
      <c r="G114" s="145"/>
      <c r="H114" s="145"/>
      <c r="I114" s="145"/>
      <c r="J114" s="147">
        <f>197170-SUM(J107:J113)</f>
        <v>35260.984519744583</v>
      </c>
      <c r="K114" s="145">
        <f>J114*L114</f>
        <v>3173.4886067770121</v>
      </c>
      <c r="L114" s="156">
        <v>0.09</v>
      </c>
      <c r="M114" s="146">
        <f>J114-K114</f>
        <v>32087.49591296757</v>
      </c>
      <c r="N114" s="145">
        <f>M114-K114</f>
        <v>28914.007306190557</v>
      </c>
      <c r="O114" s="147">
        <f>N114-K114</f>
        <v>25740.518699413544</v>
      </c>
      <c r="Q114" s="146">
        <f>K114</f>
        <v>3173.4886067770121</v>
      </c>
      <c r="R114" s="145">
        <f t="shared" si="30"/>
        <v>3173.4886067770121</v>
      </c>
      <c r="S114" s="147">
        <f t="shared" si="30"/>
        <v>3173.4886067770121</v>
      </c>
      <c r="U114" s="153">
        <f>J114</f>
        <v>35260.984519744583</v>
      </c>
    </row>
    <row r="115" spans="2:21" x14ac:dyDescent="0.2">
      <c r="B115" s="26" t="s">
        <v>970</v>
      </c>
      <c r="C115" s="24">
        <f>SUM(C107:C114)</f>
        <v>133231</v>
      </c>
      <c r="D115" s="24">
        <f t="shared" ref="D115:O115" si="31">SUM(D107:D114)</f>
        <v>130147</v>
      </c>
      <c r="E115" s="24">
        <f t="shared" si="31"/>
        <v>110856.00200000001</v>
      </c>
      <c r="F115" s="24">
        <f t="shared" si="31"/>
        <v>141111</v>
      </c>
      <c r="G115" s="24">
        <f t="shared" si="31"/>
        <v>168289</v>
      </c>
      <c r="H115" s="24">
        <f t="shared" si="31"/>
        <v>184756</v>
      </c>
      <c r="I115" s="24">
        <f t="shared" si="31"/>
        <v>187192</v>
      </c>
      <c r="J115" s="24">
        <f t="shared" si="31"/>
        <v>197170</v>
      </c>
      <c r="K115" s="24"/>
      <c r="L115" s="24"/>
      <c r="M115" s="24">
        <f t="shared" si="31"/>
        <v>168713.52687347846</v>
      </c>
      <c r="N115" s="24">
        <f t="shared" si="31"/>
        <v>140257.05374695687</v>
      </c>
      <c r="O115" s="24">
        <f t="shared" si="31"/>
        <v>111800.58062043533</v>
      </c>
      <c r="Q115" s="23"/>
      <c r="R115" s="24"/>
      <c r="S115" s="44"/>
    </row>
    <row r="116" spans="2:21" x14ac:dyDescent="0.2">
      <c r="C116" s="11"/>
      <c r="D116" s="11"/>
      <c r="E116" s="11"/>
      <c r="F116" s="11"/>
      <c r="G116" s="11"/>
      <c r="H116" s="11"/>
      <c r="I116" s="11"/>
      <c r="J116" s="11"/>
      <c r="K116" s="11"/>
      <c r="M116" s="11"/>
      <c r="N116" s="11"/>
      <c r="O116" s="11"/>
      <c r="Q116" s="149"/>
      <c r="R116" s="11"/>
      <c r="S116" s="12"/>
    </row>
    <row r="117" spans="2:21" x14ac:dyDescent="0.2">
      <c r="B117" s="42" t="s">
        <v>1343</v>
      </c>
      <c r="C117" s="41">
        <f>97918-C118</f>
        <v>5527</v>
      </c>
      <c r="D117" s="41">
        <v>0</v>
      </c>
      <c r="E117" s="41">
        <v>0</v>
      </c>
      <c r="F117" s="41">
        <v>0</v>
      </c>
      <c r="G117" s="41">
        <v>0</v>
      </c>
      <c r="H117" s="41">
        <v>0</v>
      </c>
      <c r="I117" s="41">
        <v>0</v>
      </c>
      <c r="J117" s="41">
        <v>0</v>
      </c>
      <c r="K117" s="143">
        <v>5527</v>
      </c>
      <c r="L117" s="215" t="s">
        <v>972</v>
      </c>
      <c r="M117" s="41">
        <v>0</v>
      </c>
      <c r="N117" s="41">
        <v>0</v>
      </c>
      <c r="O117" s="40">
        <v>0</v>
      </c>
      <c r="Q117" s="143">
        <v>0</v>
      </c>
      <c r="R117" s="41">
        <v>0</v>
      </c>
      <c r="S117" s="40">
        <v>0</v>
      </c>
      <c r="U117" s="46">
        <f>C117</f>
        <v>5527</v>
      </c>
    </row>
    <row r="118" spans="2:21" x14ac:dyDescent="0.2">
      <c r="B118" s="10" t="s">
        <v>1343</v>
      </c>
      <c r="C118" s="11">
        <f>D118+K118</f>
        <v>92391</v>
      </c>
      <c r="D118" s="11">
        <v>68843</v>
      </c>
      <c r="E118" s="11">
        <v>45295</v>
      </c>
      <c r="F118" s="11">
        <f>E118-K118</f>
        <v>21747</v>
      </c>
      <c r="G118" s="11">
        <v>0</v>
      </c>
      <c r="H118" s="11">
        <v>0</v>
      </c>
      <c r="I118" s="11">
        <v>0</v>
      </c>
      <c r="J118" s="11">
        <v>0</v>
      </c>
      <c r="K118" s="149">
        <f>D118-E118</f>
        <v>23548</v>
      </c>
      <c r="L118" s="13">
        <v>0.2</v>
      </c>
      <c r="M118" s="11">
        <v>0</v>
      </c>
      <c r="N118" s="11">
        <v>0</v>
      </c>
      <c r="O118" s="12">
        <v>0</v>
      </c>
      <c r="Q118" s="149">
        <v>0</v>
      </c>
      <c r="R118" s="11">
        <v>0</v>
      </c>
      <c r="S118" s="12">
        <v>0</v>
      </c>
      <c r="U118" s="45">
        <f>C118</f>
        <v>92391</v>
      </c>
    </row>
    <row r="119" spans="2:21" x14ac:dyDescent="0.2">
      <c r="B119" s="10" t="s">
        <v>1343</v>
      </c>
      <c r="C119" s="11"/>
      <c r="D119" s="11"/>
      <c r="E119" s="11">
        <f>116965-E118</f>
        <v>71670</v>
      </c>
      <c r="F119" s="11">
        <f>E119-K119</f>
        <v>57336</v>
      </c>
      <c r="G119" s="11">
        <f>F119-K119</f>
        <v>43002</v>
      </c>
      <c r="H119" s="11">
        <f>G119-K119</f>
        <v>28668</v>
      </c>
      <c r="I119" s="11">
        <f>H119-K119</f>
        <v>14334</v>
      </c>
      <c r="J119" s="11">
        <v>0</v>
      </c>
      <c r="K119" s="149">
        <f>L119*E119</f>
        <v>14334</v>
      </c>
      <c r="L119" s="13">
        <v>0.2</v>
      </c>
      <c r="M119" s="11">
        <v>0</v>
      </c>
      <c r="N119" s="11">
        <v>0</v>
      </c>
      <c r="O119" s="12">
        <v>0</v>
      </c>
      <c r="Q119" s="149">
        <v>0</v>
      </c>
      <c r="R119" s="11">
        <v>0</v>
      </c>
      <c r="S119" s="12">
        <v>0</v>
      </c>
      <c r="U119" s="45">
        <f>E119</f>
        <v>71670</v>
      </c>
    </row>
    <row r="120" spans="2:21" x14ac:dyDescent="0.2">
      <c r="B120" s="10" t="s">
        <v>1343</v>
      </c>
      <c r="C120" s="11"/>
      <c r="D120" s="11"/>
      <c r="E120" s="11"/>
      <c r="F120" s="11">
        <f>236539-SUM(F117:F119)</f>
        <v>157456</v>
      </c>
      <c r="G120" s="11">
        <f>F120-K120</f>
        <v>125964.8</v>
      </c>
      <c r="H120" s="11">
        <f>G120-K120</f>
        <v>94473.600000000006</v>
      </c>
      <c r="I120" s="11">
        <f>H120-K120</f>
        <v>62982.400000000009</v>
      </c>
      <c r="J120" s="11">
        <f>I120-K120</f>
        <v>31491.200000000008</v>
      </c>
      <c r="K120" s="149">
        <f>L120*F120</f>
        <v>31491.200000000001</v>
      </c>
      <c r="L120" s="13">
        <v>0.2</v>
      </c>
      <c r="M120" s="11">
        <v>0</v>
      </c>
      <c r="N120" s="11">
        <v>0</v>
      </c>
      <c r="O120" s="12">
        <v>0</v>
      </c>
      <c r="Q120" s="149">
        <v>0</v>
      </c>
      <c r="R120" s="11">
        <v>0</v>
      </c>
      <c r="S120" s="12">
        <v>0</v>
      </c>
      <c r="U120" s="45">
        <f>F120</f>
        <v>157456</v>
      </c>
    </row>
    <row r="121" spans="2:21" x14ac:dyDescent="0.2">
      <c r="B121" s="158" t="s">
        <v>1343</v>
      </c>
      <c r="C121" s="145"/>
      <c r="D121" s="145"/>
      <c r="E121" s="145"/>
      <c r="F121" s="145"/>
      <c r="G121" s="145">
        <f>312178-SUM(G117:G120)</f>
        <v>143211.20000000001</v>
      </c>
      <c r="H121" s="145">
        <f>G121-K121</f>
        <v>121729.52000000002</v>
      </c>
      <c r="I121" s="145">
        <f>H121-K121</f>
        <v>100247.84000000003</v>
      </c>
      <c r="J121" s="145">
        <f>I121-K121</f>
        <v>78766.160000000033</v>
      </c>
      <c r="K121" s="146">
        <f>L121*G121</f>
        <v>21481.68</v>
      </c>
      <c r="L121" s="157">
        <v>0.15</v>
      </c>
      <c r="M121" s="145">
        <f>J121-K121</f>
        <v>57284.480000000032</v>
      </c>
      <c r="N121" s="145">
        <f>M121-K121</f>
        <v>35802.800000000032</v>
      </c>
      <c r="O121" s="147">
        <f>N121-K121</f>
        <v>14321.120000000032</v>
      </c>
      <c r="Q121" s="146">
        <f>K121</f>
        <v>21481.68</v>
      </c>
      <c r="R121" s="145">
        <f>Q121</f>
        <v>21481.68</v>
      </c>
      <c r="S121" s="147">
        <f>R121</f>
        <v>21481.68</v>
      </c>
      <c r="U121" s="153">
        <f>G121</f>
        <v>143211.20000000001</v>
      </c>
    </row>
    <row r="122" spans="2:21" x14ac:dyDescent="0.2">
      <c r="B122" s="26" t="s">
        <v>970</v>
      </c>
      <c r="C122" s="24">
        <f>SUM(C117:C121)</f>
        <v>97918</v>
      </c>
      <c r="D122" s="24">
        <f t="shared" ref="D122:O122" si="32">SUM(D117:D121)</f>
        <v>68843</v>
      </c>
      <c r="E122" s="24">
        <f t="shared" si="32"/>
        <v>116965</v>
      </c>
      <c r="F122" s="24">
        <f t="shared" si="32"/>
        <v>236539</v>
      </c>
      <c r="G122" s="24">
        <f t="shared" si="32"/>
        <v>312178</v>
      </c>
      <c r="H122" s="24">
        <f t="shared" si="32"/>
        <v>244871.12000000002</v>
      </c>
      <c r="I122" s="24">
        <f t="shared" si="32"/>
        <v>177564.24000000005</v>
      </c>
      <c r="J122" s="24">
        <f t="shared" si="32"/>
        <v>110257.36000000004</v>
      </c>
      <c r="K122" s="24"/>
      <c r="L122" s="24"/>
      <c r="M122" s="24">
        <f t="shared" si="32"/>
        <v>57284.480000000032</v>
      </c>
      <c r="N122" s="24">
        <f t="shared" si="32"/>
        <v>35802.800000000032</v>
      </c>
      <c r="O122" s="24">
        <f t="shared" si="32"/>
        <v>14321.120000000032</v>
      </c>
      <c r="Q122" s="23"/>
      <c r="R122" s="24"/>
      <c r="S122" s="44"/>
    </row>
    <row r="123" spans="2:21" x14ac:dyDescent="0.2">
      <c r="B123" s="26"/>
      <c r="C123" s="24"/>
      <c r="D123" s="24"/>
      <c r="E123" s="24"/>
      <c r="F123" s="24"/>
      <c r="G123" s="24"/>
      <c r="H123" s="24"/>
      <c r="I123" s="24"/>
      <c r="J123" s="24"/>
      <c r="K123" s="24"/>
      <c r="L123" s="24"/>
      <c r="M123" s="24"/>
      <c r="N123" s="24"/>
      <c r="O123" s="24"/>
      <c r="Q123" s="78"/>
      <c r="R123" s="24"/>
      <c r="S123" s="44"/>
    </row>
    <row r="124" spans="2:21" x14ac:dyDescent="0.2">
      <c r="B124" s="674" t="str">
        <f>B60</f>
        <v xml:space="preserve">   B.II.5. Imm. in corso/acconti</v>
      </c>
      <c r="C124" s="677">
        <f>J60</f>
        <v>0</v>
      </c>
      <c r="D124" s="773">
        <f>I60</f>
        <v>266650</v>
      </c>
      <c r="E124" s="773">
        <f>H60</f>
        <v>1767239</v>
      </c>
      <c r="F124" s="773">
        <f>G60</f>
        <v>4569586</v>
      </c>
      <c r="G124" s="774">
        <f>F60</f>
        <v>418529</v>
      </c>
      <c r="H124" s="776">
        <f>E60</f>
        <v>23700</v>
      </c>
      <c r="I124" s="776">
        <f>D60</f>
        <v>119891</v>
      </c>
      <c r="J124" s="777">
        <f>C60</f>
        <v>475770</v>
      </c>
      <c r="K124" s="677"/>
      <c r="L124" s="676"/>
      <c r="M124" s="675">
        <f>J124</f>
        <v>475770</v>
      </c>
      <c r="N124" s="675">
        <f>M124</f>
        <v>475770</v>
      </c>
      <c r="O124" s="676">
        <f>N124</f>
        <v>475770</v>
      </c>
      <c r="P124" s="11"/>
      <c r="Q124" s="677">
        <v>0</v>
      </c>
      <c r="R124" s="675">
        <v>0</v>
      </c>
      <c r="S124" s="676">
        <v>0</v>
      </c>
      <c r="U124" s="177">
        <v>0</v>
      </c>
    </row>
    <row r="125" spans="2:21" x14ac:dyDescent="0.2">
      <c r="C125" s="11"/>
      <c r="D125" s="11"/>
      <c r="E125" s="11"/>
      <c r="F125" s="11"/>
      <c r="G125" s="11"/>
      <c r="H125" s="11"/>
      <c r="I125" s="11"/>
      <c r="J125" s="11"/>
      <c r="K125" s="11"/>
      <c r="M125" s="11"/>
      <c r="N125" s="11"/>
      <c r="O125" s="11"/>
      <c r="Q125" s="149"/>
      <c r="R125" s="11"/>
      <c r="S125" s="12"/>
    </row>
    <row r="126" spans="2:21" x14ac:dyDescent="0.2">
      <c r="B126" s="177" t="s">
        <v>960</v>
      </c>
      <c r="C126" s="195"/>
      <c r="D126" s="195"/>
      <c r="E126" s="195"/>
      <c r="F126" s="195"/>
      <c r="G126" s="195">
        <v>58702</v>
      </c>
      <c r="H126" s="195">
        <v>58702</v>
      </c>
      <c r="I126" s="195">
        <v>58702</v>
      </c>
      <c r="J126" s="195">
        <v>58702</v>
      </c>
      <c r="K126" s="216"/>
      <c r="L126" s="217"/>
      <c r="M126" s="195">
        <v>58702</v>
      </c>
      <c r="N126" s="195">
        <v>58702</v>
      </c>
      <c r="O126" s="196">
        <v>58702</v>
      </c>
      <c r="Q126" s="143">
        <v>0</v>
      </c>
      <c r="R126" s="41">
        <v>0</v>
      </c>
      <c r="S126" s="40">
        <v>0</v>
      </c>
      <c r="U126" s="218">
        <f>G126</f>
        <v>58702</v>
      </c>
    </row>
    <row r="127" spans="2:21" x14ac:dyDescent="0.2">
      <c r="C127" s="11"/>
      <c r="D127" s="11"/>
      <c r="E127" s="11"/>
      <c r="F127" s="11"/>
      <c r="G127" s="11"/>
      <c r="H127" s="11"/>
      <c r="I127" s="11"/>
      <c r="J127" s="11"/>
      <c r="K127" s="11"/>
      <c r="M127" s="11"/>
      <c r="N127" s="11"/>
      <c r="O127" s="11"/>
      <c r="P127" s="760" t="s">
        <v>1316</v>
      </c>
      <c r="Q127" s="52">
        <f>SUM(Q85:Q126)</f>
        <v>799296.26240674732</v>
      </c>
      <c r="R127" s="52">
        <f t="shared" ref="R127:S127" si="33">SUM(R85:R126)</f>
        <v>749688.49079028028</v>
      </c>
      <c r="S127" s="51">
        <f t="shared" si="33"/>
        <v>730241.24321498093</v>
      </c>
    </row>
    <row r="128" spans="2:21" x14ac:dyDescent="0.2">
      <c r="B128" s="5" t="s">
        <v>974</v>
      </c>
      <c r="C128" s="11"/>
      <c r="D128" s="11"/>
      <c r="E128" s="11"/>
      <c r="F128" s="11"/>
      <c r="G128" s="11"/>
      <c r="H128" s="11"/>
      <c r="I128" s="11"/>
      <c r="J128" s="11"/>
      <c r="K128" s="11"/>
      <c r="M128" s="11"/>
      <c r="N128" s="11"/>
      <c r="O128" s="11"/>
    </row>
    <row r="129" spans="2:17" x14ac:dyDescent="0.2">
      <c r="C129" s="11"/>
      <c r="D129" s="11"/>
      <c r="E129" s="11"/>
      <c r="F129" s="11"/>
      <c r="G129" s="11"/>
      <c r="H129" s="11"/>
      <c r="I129" s="11"/>
      <c r="J129" s="11"/>
      <c r="K129" s="11"/>
      <c r="M129" s="11"/>
      <c r="N129" s="11"/>
      <c r="O129" s="11"/>
    </row>
    <row r="130" spans="2:17" x14ac:dyDescent="0.2">
      <c r="C130" s="11"/>
      <c r="D130" s="11"/>
      <c r="E130" s="11"/>
      <c r="F130" s="11"/>
      <c r="G130" s="11"/>
      <c r="H130" s="11"/>
      <c r="I130" s="11"/>
      <c r="J130" s="11"/>
      <c r="K130" s="11"/>
      <c r="M130" s="11"/>
      <c r="N130" s="11"/>
      <c r="O130" s="11"/>
    </row>
    <row r="131" spans="2:17" x14ac:dyDescent="0.2">
      <c r="C131" s="11"/>
      <c r="D131" s="11"/>
      <c r="E131" s="11"/>
      <c r="F131" s="11"/>
      <c r="G131" s="11"/>
      <c r="H131" s="11"/>
      <c r="I131" s="11"/>
      <c r="J131" s="11"/>
      <c r="K131" s="944" t="s">
        <v>1528</v>
      </c>
      <c r="L131" s="944"/>
      <c r="M131" s="944"/>
      <c r="N131" s="11"/>
      <c r="O131" s="11"/>
    </row>
    <row r="132" spans="2:17" ht="19" x14ac:dyDescent="0.2">
      <c r="B132" s="463" t="s">
        <v>1346</v>
      </c>
      <c r="C132" s="536">
        <v>2017</v>
      </c>
      <c r="D132" s="423">
        <v>2018</v>
      </c>
      <c r="E132" s="423">
        <v>2019</v>
      </c>
      <c r="F132" s="423">
        <v>2020</v>
      </c>
      <c r="G132" s="423">
        <v>2021</v>
      </c>
      <c r="H132" s="423">
        <v>2022</v>
      </c>
      <c r="I132" s="423">
        <v>2023</v>
      </c>
      <c r="J132" s="441">
        <v>2024</v>
      </c>
      <c r="K132" s="516">
        <v>2025</v>
      </c>
      <c r="L132" s="516">
        <v>2026</v>
      </c>
      <c r="M132" s="424">
        <v>2027</v>
      </c>
      <c r="N132" s="422" t="s">
        <v>966</v>
      </c>
      <c r="O132" s="540" t="s">
        <v>1347</v>
      </c>
      <c r="P132" s="540" t="s">
        <v>1348</v>
      </c>
      <c r="Q132" s="541" t="s">
        <v>988</v>
      </c>
    </row>
    <row r="133" spans="2:17" x14ac:dyDescent="0.2">
      <c r="B133" s="126" t="s">
        <v>965</v>
      </c>
      <c r="C133" s="41">
        <f>IF(C85&gt;1,$K$85,0)</f>
        <v>0</v>
      </c>
      <c r="D133" s="41">
        <f>IF(D85&gt;1,$K85,0)</f>
        <v>0</v>
      </c>
      <c r="E133" s="41">
        <f t="shared" ref="E133:J133" si="34">IF(E85&gt;1,$K$85,0)</f>
        <v>0</v>
      </c>
      <c r="F133" s="41">
        <f t="shared" si="34"/>
        <v>992</v>
      </c>
      <c r="G133" s="41">
        <f t="shared" si="34"/>
        <v>992</v>
      </c>
      <c r="H133" s="41">
        <f t="shared" si="34"/>
        <v>992</v>
      </c>
      <c r="I133" s="41">
        <f t="shared" si="34"/>
        <v>992</v>
      </c>
      <c r="J133" s="46">
        <f t="shared" si="34"/>
        <v>992</v>
      </c>
      <c r="K133" s="41">
        <f>IF(M85&gt;1,$K85,0)</f>
        <v>0</v>
      </c>
      <c r="L133" s="41">
        <f>IF(N85&gt;1,$K$85,0)</f>
        <v>0</v>
      </c>
      <c r="M133" s="40">
        <f>IF(O85&gt;1,$K$85,0)</f>
        <v>0</v>
      </c>
      <c r="N133" s="152">
        <f>L85</f>
        <v>0.2</v>
      </c>
      <c r="O133" s="5">
        <f>COUNTIF(C133:M133,"&gt;10")</f>
        <v>5</v>
      </c>
      <c r="P133" s="5">
        <f>(100%/N133)-O133</f>
        <v>0</v>
      </c>
      <c r="Q133" s="12">
        <f>SUM(C133:M133)-U85</f>
        <v>0</v>
      </c>
    </row>
    <row r="134" spans="2:17" x14ac:dyDescent="0.2">
      <c r="B134" s="150" t="s">
        <v>967</v>
      </c>
      <c r="C134" s="11">
        <v>0</v>
      </c>
      <c r="D134" s="11">
        <f>IF(D86&gt;1,$K86,0)</f>
        <v>0</v>
      </c>
      <c r="E134" s="11">
        <f t="shared" ref="E134:J136" si="35">IF(E86&gt;1,$K86,0)</f>
        <v>0</v>
      </c>
      <c r="F134" s="11">
        <f t="shared" si="35"/>
        <v>0</v>
      </c>
      <c r="G134" s="11">
        <f t="shared" si="35"/>
        <v>0</v>
      </c>
      <c r="H134" s="11">
        <f t="shared" si="35"/>
        <v>34096</v>
      </c>
      <c r="I134" s="11">
        <f t="shared" si="35"/>
        <v>34096</v>
      </c>
      <c r="J134" s="45">
        <f t="shared" si="35"/>
        <v>34096</v>
      </c>
      <c r="K134" s="11">
        <f>IF(M86&gt;1,$K86,0)</f>
        <v>34096</v>
      </c>
      <c r="L134" s="11">
        <f t="shared" ref="L134:M136" si="36">IF(N86&gt;1,$K86,0)</f>
        <v>34096</v>
      </c>
      <c r="M134" s="12">
        <f t="shared" si="36"/>
        <v>0</v>
      </c>
      <c r="N134" s="152">
        <f>L86</f>
        <v>0.26805874398565993</v>
      </c>
      <c r="O134" s="5">
        <f>COUNTIF(C134:M134,"&gt;10")</f>
        <v>5</v>
      </c>
      <c r="P134" s="5">
        <f>(100%/N134)-O134</f>
        <v>-1.2694744251525107</v>
      </c>
      <c r="Q134" s="12">
        <f>SUM(C134:M134)-U86</f>
        <v>43284</v>
      </c>
    </row>
    <row r="135" spans="2:17" x14ac:dyDescent="0.2">
      <c r="B135" s="150" t="s">
        <v>968</v>
      </c>
      <c r="C135" s="11">
        <v>0</v>
      </c>
      <c r="D135" s="11">
        <f>IF(D87&gt;1,$K87,0)</f>
        <v>0</v>
      </c>
      <c r="E135" s="11">
        <f t="shared" si="35"/>
        <v>0</v>
      </c>
      <c r="F135" s="11">
        <f t="shared" si="35"/>
        <v>0</v>
      </c>
      <c r="G135" s="11">
        <f t="shared" si="35"/>
        <v>0</v>
      </c>
      <c r="H135" s="11">
        <f t="shared" si="35"/>
        <v>546</v>
      </c>
      <c r="I135" s="11">
        <f t="shared" si="35"/>
        <v>546</v>
      </c>
      <c r="J135" s="45">
        <f t="shared" si="35"/>
        <v>546</v>
      </c>
      <c r="K135" s="11">
        <f>IF(M87&gt;1,$K87,0)</f>
        <v>546</v>
      </c>
      <c r="L135" s="11">
        <f t="shared" si="36"/>
        <v>546</v>
      </c>
      <c r="M135" s="12">
        <f t="shared" si="36"/>
        <v>546</v>
      </c>
      <c r="N135" s="152">
        <f>L87</f>
        <v>5.72027239392352E-2</v>
      </c>
      <c r="O135" s="5">
        <f>COUNTIF(C135:M135,"&gt;10")</f>
        <v>6</v>
      </c>
      <c r="P135" s="174">
        <f>(100%/N135)-O135</f>
        <v>11.481684981684982</v>
      </c>
      <c r="Q135" s="12">
        <f>IF(SUM(C135:M135)=U87,SUM(C135:M135)-U87,SUM(C135:M135))</f>
        <v>3276</v>
      </c>
    </row>
    <row r="136" spans="2:17" x14ac:dyDescent="0.2">
      <c r="B136" s="150" t="str">
        <f>B88</f>
        <v>altre immobilizzazioni immateriali</v>
      </c>
      <c r="C136" s="11">
        <f>C88</f>
        <v>0</v>
      </c>
      <c r="D136" s="11">
        <f>IF(D88&gt;1,$K88,0)</f>
        <v>0</v>
      </c>
      <c r="E136" s="11">
        <f t="shared" si="35"/>
        <v>0</v>
      </c>
      <c r="F136" s="11">
        <f t="shared" si="35"/>
        <v>0</v>
      </c>
      <c r="G136" s="11">
        <f t="shared" si="35"/>
        <v>0</v>
      </c>
      <c r="H136" s="11">
        <f t="shared" si="35"/>
        <v>0</v>
      </c>
      <c r="I136" s="11">
        <f t="shared" si="35"/>
        <v>0</v>
      </c>
      <c r="J136" s="45">
        <f t="shared" si="35"/>
        <v>1648</v>
      </c>
      <c r="K136" s="11">
        <f>IF(M88&gt;1,$K88,0)</f>
        <v>1648</v>
      </c>
      <c r="L136" s="11">
        <f t="shared" si="36"/>
        <v>1648</v>
      </c>
      <c r="M136" s="12">
        <f t="shared" si="36"/>
        <v>1648</v>
      </c>
      <c r="N136" s="152">
        <f>L88</f>
        <v>0.1</v>
      </c>
      <c r="O136" s="5">
        <f>COUNTIF(C136:M136,"&gt;10")</f>
        <v>4</v>
      </c>
      <c r="P136" s="174">
        <f>(100%/N136)-O136</f>
        <v>6</v>
      </c>
      <c r="Q136" s="12">
        <f>IF(SUM(C136:M136)=U88,SUM(C136:M136)-U88,SUM(C136:M136))</f>
        <v>6592</v>
      </c>
    </row>
    <row r="137" spans="2:17" x14ac:dyDescent="0.2">
      <c r="B137" s="48" t="s">
        <v>986</v>
      </c>
      <c r="C137" s="52"/>
      <c r="D137" s="52"/>
      <c r="E137" s="52"/>
      <c r="F137" s="52"/>
      <c r="G137" s="52"/>
      <c r="H137" s="52"/>
      <c r="I137" s="52"/>
      <c r="J137" s="740" cm="1">
        <f t="array" ref="J137">SUM(K137-K135:K136)</f>
        <v>197250</v>
      </c>
      <c r="K137" s="52" cm="1">
        <f t="array" ref="K137">SUM(L137-L135:L136)</f>
        <v>99722</v>
      </c>
      <c r="L137" s="52">
        <f>M137-SUM(M133:M136)</f>
        <v>50958</v>
      </c>
      <c r="M137" s="51">
        <f>Q137</f>
        <v>53152</v>
      </c>
      <c r="N137" s="53"/>
      <c r="O137" s="49"/>
      <c r="P137" s="54"/>
      <c r="Q137" s="51">
        <f>SUM(Q133:Q136)</f>
        <v>53152</v>
      </c>
    </row>
    <row r="138" spans="2:17" x14ac:dyDescent="0.2">
      <c r="B138" s="150"/>
      <c r="C138" s="11"/>
      <c r="D138" s="11"/>
      <c r="E138" s="11"/>
      <c r="F138" s="11"/>
      <c r="G138" s="11"/>
      <c r="H138" s="11"/>
      <c r="I138" s="11"/>
      <c r="J138" s="45"/>
      <c r="K138" s="11"/>
      <c r="L138" s="11"/>
      <c r="M138" s="12"/>
      <c r="N138" s="152"/>
      <c r="P138" s="174"/>
      <c r="Q138" s="12"/>
    </row>
    <row r="139" spans="2:17" x14ac:dyDescent="0.2">
      <c r="B139" s="150" t="str">
        <f t="shared" ref="B139:C143" si="37">B91</f>
        <v>Terreno o fabbricato 1</v>
      </c>
      <c r="C139" s="11">
        <f t="shared" si="37"/>
        <v>0</v>
      </c>
      <c r="D139" s="11">
        <f t="shared" ref="D139:J143" si="38">IF(D91&gt;1,$K91,0)</f>
        <v>0</v>
      </c>
      <c r="E139" s="11">
        <f t="shared" si="38"/>
        <v>16309</v>
      </c>
      <c r="F139" s="11">
        <f t="shared" si="38"/>
        <v>16309</v>
      </c>
      <c r="G139" s="11">
        <f t="shared" si="38"/>
        <v>16309</v>
      </c>
      <c r="H139" s="11">
        <f t="shared" si="38"/>
        <v>16309</v>
      </c>
      <c r="I139" s="11">
        <f t="shared" si="38"/>
        <v>16309</v>
      </c>
      <c r="J139" s="45">
        <f t="shared" si="38"/>
        <v>16309</v>
      </c>
      <c r="K139" s="11">
        <f t="shared" ref="K139:M143" si="39">IF(M91&gt;1,$K91,0)</f>
        <v>16309</v>
      </c>
      <c r="L139" s="11">
        <f t="shared" si="39"/>
        <v>16309</v>
      </c>
      <c r="M139" s="12">
        <f t="shared" si="39"/>
        <v>16309</v>
      </c>
      <c r="N139" s="152">
        <f>L91</f>
        <v>3.9524705061217365E-2</v>
      </c>
      <c r="O139" s="5">
        <f t="shared" ref="O139:O168" si="40">COUNTIF(C139:M139,"&gt;10")</f>
        <v>9</v>
      </c>
      <c r="P139" s="174">
        <f t="shared" ref="P139:P167" si="41">(100%/N139)-O139</f>
        <v>16.300631553130174</v>
      </c>
      <c r="Q139" s="12">
        <f>IF(SUM(C139:M139)=U91,SUM(C139:M139)-U91,SUM(C139:M139))</f>
        <v>146781</v>
      </c>
    </row>
    <row r="140" spans="2:17" x14ac:dyDescent="0.2">
      <c r="B140" s="150" t="str">
        <f t="shared" si="37"/>
        <v>Terreno o fabbricato 2</v>
      </c>
      <c r="C140" s="11">
        <f t="shared" si="37"/>
        <v>0</v>
      </c>
      <c r="D140" s="11">
        <f t="shared" si="38"/>
        <v>0</v>
      </c>
      <c r="E140" s="11">
        <f t="shared" si="38"/>
        <v>0</v>
      </c>
      <c r="F140" s="11">
        <f t="shared" si="38"/>
        <v>0</v>
      </c>
      <c r="G140" s="11">
        <f t="shared" si="38"/>
        <v>236801.473</v>
      </c>
      <c r="H140" s="11">
        <f t="shared" si="38"/>
        <v>236801.473</v>
      </c>
      <c r="I140" s="11">
        <f t="shared" si="38"/>
        <v>236801.473</v>
      </c>
      <c r="J140" s="45">
        <f t="shared" si="38"/>
        <v>236801.473</v>
      </c>
      <c r="K140" s="11">
        <f t="shared" si="39"/>
        <v>236801.473</v>
      </c>
      <c r="L140" s="11">
        <f t="shared" si="39"/>
        <v>236801.473</v>
      </c>
      <c r="M140" s="12">
        <f t="shared" si="39"/>
        <v>236801.473</v>
      </c>
      <c r="N140" s="152">
        <f>L92</f>
        <v>3.95E-2</v>
      </c>
      <c r="O140" s="5">
        <f t="shared" si="40"/>
        <v>7</v>
      </c>
      <c r="P140" s="174">
        <f t="shared" si="41"/>
        <v>18.316455696202532</v>
      </c>
      <c r="Q140" s="12">
        <f>IF(SUM(C140:M140)=U92,SUM(C140:M140)-U92,SUM(C140:M140))</f>
        <v>1657610.311</v>
      </c>
    </row>
    <row r="141" spans="2:17" x14ac:dyDescent="0.2">
      <c r="B141" s="150" t="str">
        <f t="shared" si="37"/>
        <v>Terreno o fabbricato 3</v>
      </c>
      <c r="C141" s="11">
        <f t="shared" si="37"/>
        <v>0</v>
      </c>
      <c r="D141" s="11">
        <f t="shared" si="38"/>
        <v>0</v>
      </c>
      <c r="E141" s="11">
        <f t="shared" si="38"/>
        <v>0</v>
      </c>
      <c r="F141" s="11">
        <f t="shared" si="38"/>
        <v>0</v>
      </c>
      <c r="G141" s="11">
        <f t="shared" si="38"/>
        <v>0</v>
      </c>
      <c r="H141" s="11">
        <f t="shared" si="38"/>
        <v>16649.624183500011</v>
      </c>
      <c r="I141" s="11">
        <f t="shared" si="38"/>
        <v>16649.624183500011</v>
      </c>
      <c r="J141" s="45">
        <f t="shared" si="38"/>
        <v>16649.624183500011</v>
      </c>
      <c r="K141" s="11">
        <f t="shared" si="39"/>
        <v>16649.624183500011</v>
      </c>
      <c r="L141" s="11">
        <f t="shared" si="39"/>
        <v>16649.624183500011</v>
      </c>
      <c r="M141" s="12">
        <f t="shared" si="39"/>
        <v>16649.624183500011</v>
      </c>
      <c r="N141" s="152">
        <f>L93</f>
        <v>3.95E-2</v>
      </c>
      <c r="O141" s="5">
        <f t="shared" si="40"/>
        <v>6</v>
      </c>
      <c r="P141" s="174">
        <f t="shared" si="41"/>
        <v>19.316455696202532</v>
      </c>
      <c r="Q141" s="12">
        <f>IF(SUM(C141:M141)=U93,SUM(C141:M141)-U93,SUM(C141:M141))</f>
        <v>99897.745101000066</v>
      </c>
    </row>
    <row r="142" spans="2:17" x14ac:dyDescent="0.2">
      <c r="B142" s="150" t="str">
        <f t="shared" si="37"/>
        <v>Terreno o fabbricato 4</v>
      </c>
      <c r="C142" s="11">
        <f t="shared" si="37"/>
        <v>0</v>
      </c>
      <c r="D142" s="11">
        <f t="shared" si="38"/>
        <v>0</v>
      </c>
      <c r="E142" s="11">
        <f t="shared" si="38"/>
        <v>0</v>
      </c>
      <c r="F142" s="11">
        <f t="shared" si="38"/>
        <v>0</v>
      </c>
      <c r="G142" s="11">
        <f t="shared" si="38"/>
        <v>0</v>
      </c>
      <c r="H142" s="11">
        <f t="shared" si="38"/>
        <v>0</v>
      </c>
      <c r="I142" s="11">
        <f t="shared" si="38"/>
        <v>2170.4498387482663</v>
      </c>
      <c r="J142" s="45">
        <f t="shared" si="38"/>
        <v>2170.4498387482663</v>
      </c>
      <c r="K142" s="11">
        <f t="shared" si="39"/>
        <v>2170.4498387482663</v>
      </c>
      <c r="L142" s="11">
        <f t="shared" si="39"/>
        <v>2170.4498387482663</v>
      </c>
      <c r="M142" s="12">
        <f t="shared" si="39"/>
        <v>2170.4498387482663</v>
      </c>
      <c r="N142" s="152">
        <f>L94</f>
        <v>3.95E-2</v>
      </c>
      <c r="O142" s="5">
        <f t="shared" si="40"/>
        <v>5</v>
      </c>
      <c r="P142" s="174">
        <f t="shared" si="41"/>
        <v>20.316455696202532</v>
      </c>
      <c r="Q142" s="12">
        <f>IF(SUM(C142:M142)=U94,SUM(C142:M142)-U94,SUM(C142:M142))</f>
        <v>10852.249193741332</v>
      </c>
    </row>
    <row r="143" spans="2:17" x14ac:dyDescent="0.2">
      <c r="B143" s="150" t="str">
        <f t="shared" si="37"/>
        <v>Terreno o fabbricato 5</v>
      </c>
      <c r="C143" s="11">
        <f t="shared" si="37"/>
        <v>0</v>
      </c>
      <c r="D143" s="11">
        <f t="shared" si="38"/>
        <v>0</v>
      </c>
      <c r="E143" s="11">
        <f t="shared" si="38"/>
        <v>0</v>
      </c>
      <c r="F143" s="11">
        <f t="shared" si="38"/>
        <v>0</v>
      </c>
      <c r="G143" s="11">
        <f t="shared" si="38"/>
        <v>0</v>
      </c>
      <c r="H143" s="11">
        <f t="shared" si="38"/>
        <v>0</v>
      </c>
      <c r="I143" s="11">
        <f t="shared" si="38"/>
        <v>0</v>
      </c>
      <c r="J143" s="45">
        <f t="shared" si="38"/>
        <v>492.23110737882041</v>
      </c>
      <c r="K143" s="11">
        <f t="shared" si="39"/>
        <v>492.23110737882041</v>
      </c>
      <c r="L143" s="11">
        <f t="shared" si="39"/>
        <v>492.23110737882041</v>
      </c>
      <c r="M143" s="12">
        <f t="shared" si="39"/>
        <v>492.23110737882041</v>
      </c>
      <c r="N143" s="152">
        <f>L95</f>
        <v>3.95E-2</v>
      </c>
      <c r="O143" s="5">
        <f t="shared" si="40"/>
        <v>4</v>
      </c>
      <c r="P143" s="174">
        <f t="shared" si="41"/>
        <v>21.316455696202532</v>
      </c>
      <c r="Q143" s="12">
        <f>IF(SUM(C143:M143)=U95,SUM(C143:M143)-U95,SUM(C143:M143))</f>
        <v>1968.9244295152816</v>
      </c>
    </row>
    <row r="144" spans="2:17" x14ac:dyDescent="0.2">
      <c r="B144" s="150"/>
      <c r="C144" s="11"/>
      <c r="D144" s="11"/>
      <c r="E144" s="11"/>
      <c r="F144" s="11"/>
      <c r="G144" s="11"/>
      <c r="H144" s="11"/>
      <c r="I144" s="11"/>
      <c r="J144" s="45"/>
      <c r="K144" s="11"/>
      <c r="L144" s="11"/>
      <c r="M144" s="12"/>
      <c r="N144" s="152"/>
      <c r="P144" s="174"/>
      <c r="Q144" s="12"/>
    </row>
    <row r="145" spans="2:18" x14ac:dyDescent="0.2">
      <c r="B145" s="150"/>
      <c r="C145" s="11"/>
      <c r="D145" s="11"/>
      <c r="E145" s="11"/>
      <c r="F145" s="11"/>
      <c r="G145" s="11"/>
      <c r="H145" s="11"/>
      <c r="I145" s="11"/>
      <c r="J145" s="45"/>
      <c r="K145" s="11"/>
      <c r="L145" s="11"/>
      <c r="M145" s="12"/>
      <c r="N145" s="152"/>
      <c r="P145" s="174"/>
      <c r="Q145" s="12"/>
    </row>
    <row r="146" spans="2:18" x14ac:dyDescent="0.2">
      <c r="B146" s="150" t="str">
        <f t="shared" ref="B146:C150" si="42">B98</f>
        <v>Impianto 1</v>
      </c>
      <c r="C146" s="11">
        <f t="shared" si="42"/>
        <v>336024</v>
      </c>
      <c r="D146" s="11">
        <f t="shared" ref="D146:J149" si="43">IF(D98&gt;1,$K98,0)</f>
        <v>44019.144</v>
      </c>
      <c r="E146" s="11">
        <f t="shared" si="43"/>
        <v>44019.144</v>
      </c>
      <c r="F146" s="11">
        <f t="shared" si="43"/>
        <v>44019.144</v>
      </c>
      <c r="G146" s="11">
        <f t="shared" si="43"/>
        <v>44019.144</v>
      </c>
      <c r="H146" s="11">
        <f t="shared" si="43"/>
        <v>44019.144</v>
      </c>
      <c r="I146" s="11">
        <f t="shared" si="43"/>
        <v>44019.144</v>
      </c>
      <c r="J146" s="45">
        <f t="shared" si="43"/>
        <v>44019.144</v>
      </c>
      <c r="K146" s="11">
        <f t="shared" ref="K146:M150" si="44">IF(M98&gt;1,$K98,0)</f>
        <v>0</v>
      </c>
      <c r="L146" s="11">
        <f t="shared" si="44"/>
        <v>0</v>
      </c>
      <c r="M146" s="12">
        <f t="shared" si="44"/>
        <v>0</v>
      </c>
      <c r="N146" s="152">
        <f>L98</f>
        <v>0.13100000000000001</v>
      </c>
      <c r="O146" s="5">
        <f t="shared" si="40"/>
        <v>8</v>
      </c>
      <c r="P146" s="174">
        <v>0</v>
      </c>
      <c r="Q146" s="12">
        <v>0</v>
      </c>
      <c r="R146" s="138" t="s">
        <v>985</v>
      </c>
    </row>
    <row r="147" spans="2:18" x14ac:dyDescent="0.2">
      <c r="B147" s="150" t="str">
        <f t="shared" si="42"/>
        <v>Impianto 2</v>
      </c>
      <c r="C147" s="11">
        <f t="shared" si="42"/>
        <v>0</v>
      </c>
      <c r="D147" s="11">
        <f t="shared" si="43"/>
        <v>0</v>
      </c>
      <c r="E147" s="11">
        <f t="shared" si="43"/>
        <v>0</v>
      </c>
      <c r="F147" s="11">
        <f t="shared" si="43"/>
        <v>198379.76800000001</v>
      </c>
      <c r="G147" s="11">
        <f t="shared" si="43"/>
        <v>198379.76800000001</v>
      </c>
      <c r="H147" s="11">
        <f t="shared" si="43"/>
        <v>198379.76800000001</v>
      </c>
      <c r="I147" s="11">
        <f t="shared" si="43"/>
        <v>198379.76800000001</v>
      </c>
      <c r="J147" s="45">
        <f t="shared" si="43"/>
        <v>198379.76800000001</v>
      </c>
      <c r="K147" s="11">
        <f t="shared" si="44"/>
        <v>198379.76800000001</v>
      </c>
      <c r="L147" s="11">
        <f t="shared" si="44"/>
        <v>198379.76800000001</v>
      </c>
      <c r="M147" s="12">
        <f t="shared" si="44"/>
        <v>198379.76800000001</v>
      </c>
      <c r="N147" s="152">
        <f>L99</f>
        <v>0.125</v>
      </c>
      <c r="O147" s="5">
        <f t="shared" si="40"/>
        <v>8</v>
      </c>
      <c r="P147" s="174">
        <f t="shared" si="41"/>
        <v>0</v>
      </c>
      <c r="Q147" s="12">
        <v>0</v>
      </c>
      <c r="R147" s="138" t="s">
        <v>985</v>
      </c>
    </row>
    <row r="148" spans="2:18" x14ac:dyDescent="0.2">
      <c r="B148" s="150" t="str">
        <f t="shared" si="42"/>
        <v>Impianto 3</v>
      </c>
      <c r="C148" s="11">
        <f t="shared" si="42"/>
        <v>0</v>
      </c>
      <c r="D148" s="11">
        <f t="shared" si="43"/>
        <v>0</v>
      </c>
      <c r="E148" s="11">
        <f t="shared" si="43"/>
        <v>0</v>
      </c>
      <c r="F148" s="11">
        <f t="shared" si="43"/>
        <v>0</v>
      </c>
      <c r="G148" s="11">
        <f t="shared" si="43"/>
        <v>88231.763471999977</v>
      </c>
      <c r="H148" s="11">
        <f t="shared" si="43"/>
        <v>88231.763471999977</v>
      </c>
      <c r="I148" s="11">
        <f t="shared" si="43"/>
        <v>88231.763471999977</v>
      </c>
      <c r="J148" s="45">
        <f t="shared" si="43"/>
        <v>88231.763471999977</v>
      </c>
      <c r="K148" s="11">
        <f t="shared" si="44"/>
        <v>88231.763471999977</v>
      </c>
      <c r="L148" s="11">
        <f t="shared" si="44"/>
        <v>88231.763471999977</v>
      </c>
      <c r="M148" s="12">
        <f t="shared" si="44"/>
        <v>88231.763471999977</v>
      </c>
      <c r="N148" s="152">
        <f>L100</f>
        <v>0.13100000000000001</v>
      </c>
      <c r="O148" s="5">
        <f t="shared" si="40"/>
        <v>7</v>
      </c>
      <c r="P148" s="174">
        <f t="shared" si="41"/>
        <v>0.63358778625954137</v>
      </c>
      <c r="Q148" s="12">
        <f>IF(SUM(C148:M148)=U100,SUM(C148:M148)-U100,SUM(C148:M148))</f>
        <v>617622.34430399991</v>
      </c>
      <c r="R148" s="138"/>
    </row>
    <row r="149" spans="2:18" x14ac:dyDescent="0.2">
      <c r="B149" s="150" t="str">
        <f t="shared" si="42"/>
        <v>Impianto 4</v>
      </c>
      <c r="C149" s="11">
        <f t="shared" si="42"/>
        <v>0</v>
      </c>
      <c r="D149" s="11">
        <f t="shared" si="43"/>
        <v>0</v>
      </c>
      <c r="E149" s="11">
        <f t="shared" si="43"/>
        <v>0</v>
      </c>
      <c r="F149" s="11">
        <f t="shared" si="43"/>
        <v>0</v>
      </c>
      <c r="G149" s="11">
        <f t="shared" si="43"/>
        <v>0</v>
      </c>
      <c r="H149" s="11">
        <f t="shared" si="43"/>
        <v>59077.420486831994</v>
      </c>
      <c r="I149" s="11">
        <f t="shared" si="43"/>
        <v>59077.420486831994</v>
      </c>
      <c r="J149" s="45">
        <f t="shared" si="43"/>
        <v>59077.420486831994</v>
      </c>
      <c r="K149" s="11">
        <f t="shared" si="44"/>
        <v>59077.420486831994</v>
      </c>
      <c r="L149" s="11">
        <f t="shared" si="44"/>
        <v>59077.420486831994</v>
      </c>
      <c r="M149" s="12">
        <f t="shared" si="44"/>
        <v>59077.420486831994</v>
      </c>
      <c r="N149" s="152">
        <f>L101</f>
        <v>0.13100000000000001</v>
      </c>
      <c r="O149" s="5">
        <f t="shared" si="40"/>
        <v>6</v>
      </c>
      <c r="P149" s="174">
        <f t="shared" si="41"/>
        <v>1.6335877862595414</v>
      </c>
      <c r="Q149" s="12">
        <f>IF(SUM(C149:M149)=U101,SUM(C149:M149)-U101,SUM(C149:M149))</f>
        <v>354464.52292099193</v>
      </c>
      <c r="R149" s="138"/>
    </row>
    <row r="150" spans="2:18" x14ac:dyDescent="0.2">
      <c r="B150" s="150" t="str">
        <f t="shared" si="42"/>
        <v>Impianto 5</v>
      </c>
      <c r="C150" s="11">
        <f t="shared" si="42"/>
        <v>0</v>
      </c>
      <c r="D150" s="11">
        <f>IF(D102&gt;1,$K102,0)</f>
        <v>0</v>
      </c>
      <c r="E150" s="11">
        <f>IF(E102&gt;1,$K102,0)</f>
        <v>0</v>
      </c>
      <c r="F150" s="11">
        <f>IF(F102&gt;1,$K102,0)</f>
        <v>0</v>
      </c>
      <c r="G150" s="11">
        <f>IF(G104&gt;1,$K102,0)</f>
        <v>0</v>
      </c>
      <c r="H150" s="11">
        <f>IF(H102&gt;1,$K102,0)</f>
        <v>0</v>
      </c>
      <c r="I150" s="11">
        <f>IF(I102&gt;1,$K102,0)</f>
        <v>34959.019191766442</v>
      </c>
      <c r="J150" s="45">
        <f>IF(J102&gt;1,$K102,0)</f>
        <v>34959.019191766442</v>
      </c>
      <c r="K150" s="11">
        <f t="shared" si="44"/>
        <v>34959.019191766442</v>
      </c>
      <c r="L150" s="11">
        <f t="shared" si="44"/>
        <v>0</v>
      </c>
      <c r="M150" s="12">
        <f t="shared" si="44"/>
        <v>0</v>
      </c>
      <c r="N150" s="152">
        <f>L102</f>
        <v>0.2</v>
      </c>
      <c r="O150" s="5">
        <v>4</v>
      </c>
      <c r="P150" s="174">
        <v>0</v>
      </c>
      <c r="Q150" s="12">
        <v>0</v>
      </c>
      <c r="R150" s="138" t="s">
        <v>985</v>
      </c>
    </row>
    <row r="151" spans="2:18" x14ac:dyDescent="0.2">
      <c r="B151" s="682" t="str">
        <f>B103</f>
        <v>impianto nuovo (imm.in corso 2022-2025)</v>
      </c>
      <c r="C151" s="8">
        <v>0</v>
      </c>
      <c r="D151" s="8">
        <v>0</v>
      </c>
      <c r="E151" s="8">
        <v>0</v>
      </c>
      <c r="F151" s="8">
        <v>0</v>
      </c>
      <c r="G151" s="8">
        <v>0</v>
      </c>
      <c r="H151" s="8">
        <v>0</v>
      </c>
      <c r="I151" s="8">
        <v>0</v>
      </c>
      <c r="J151" s="681">
        <v>0</v>
      </c>
      <c r="K151" s="737">
        <v>60000</v>
      </c>
      <c r="L151" s="737">
        <f>K151</f>
        <v>60000</v>
      </c>
      <c r="M151" s="739">
        <f>L151</f>
        <v>60000</v>
      </c>
      <c r="N151" s="683">
        <v>0.12</v>
      </c>
      <c r="O151" s="4">
        <v>3</v>
      </c>
      <c r="P151" s="684">
        <f>100/12-3</f>
        <v>5.3333333333333339</v>
      </c>
      <c r="Q151" s="9">
        <v>180000</v>
      </c>
      <c r="R151" s="138"/>
    </row>
    <row r="152" spans="2:18" x14ac:dyDescent="0.2">
      <c r="B152" s="150"/>
      <c r="C152" s="11"/>
      <c r="D152" s="11"/>
      <c r="E152" s="11"/>
      <c r="F152" s="11"/>
      <c r="G152" s="11"/>
      <c r="H152" s="11"/>
      <c r="I152" s="11"/>
      <c r="J152" s="45"/>
      <c r="K152" s="11"/>
      <c r="L152" s="11"/>
      <c r="M152" s="12"/>
      <c r="N152" s="152"/>
      <c r="P152" s="174"/>
      <c r="Q152" s="12"/>
      <c r="R152" s="138"/>
    </row>
    <row r="153" spans="2:18" x14ac:dyDescent="0.2">
      <c r="B153" s="150"/>
      <c r="C153" s="11"/>
      <c r="D153" s="11"/>
      <c r="E153" s="11"/>
      <c r="F153" s="11"/>
      <c r="G153" s="11"/>
      <c r="H153" s="11"/>
      <c r="I153" s="11"/>
      <c r="J153" s="45"/>
      <c r="K153" s="11"/>
      <c r="L153" s="11"/>
      <c r="M153" s="12"/>
      <c r="N153" s="152"/>
      <c r="P153" s="174"/>
      <c r="Q153" s="12"/>
      <c r="R153" s="138"/>
    </row>
    <row r="154" spans="2:18" x14ac:dyDescent="0.2">
      <c r="B154" s="150" t="str">
        <f>B107</f>
        <v>Attrez. industriale 1</v>
      </c>
      <c r="C154" s="11">
        <f>C107</f>
        <v>133231</v>
      </c>
      <c r="D154" s="11">
        <f t="shared" ref="D154:J154" si="45">IF(D107&gt;1,$K107,0)</f>
        <v>11990.789999999999</v>
      </c>
      <c r="E154" s="11">
        <f t="shared" si="45"/>
        <v>11990.789999999999</v>
      </c>
      <c r="F154" s="11">
        <f t="shared" si="45"/>
        <v>11990.789999999999</v>
      </c>
      <c r="G154" s="11">
        <f t="shared" si="45"/>
        <v>11990.789999999999</v>
      </c>
      <c r="H154" s="11">
        <f t="shared" si="45"/>
        <v>11990.789999999999</v>
      </c>
      <c r="I154" s="11">
        <f t="shared" si="45"/>
        <v>11990.789999999999</v>
      </c>
      <c r="J154" s="45">
        <f t="shared" si="45"/>
        <v>11990.789999999999</v>
      </c>
      <c r="K154" s="11">
        <f>IF(M107&gt;1,$K107,0)</f>
        <v>11990.789999999999</v>
      </c>
      <c r="L154" s="11">
        <f>IF(N107&gt;1,$K107,0)</f>
        <v>11990.789999999999</v>
      </c>
      <c r="M154" s="12">
        <f>IF(O107&gt;1,$K107,0)</f>
        <v>11990.789999999999</v>
      </c>
      <c r="N154" s="152">
        <f>L107</f>
        <v>0.09</v>
      </c>
      <c r="O154" s="5">
        <f t="shared" si="40"/>
        <v>11</v>
      </c>
      <c r="P154" s="174">
        <f t="shared" si="41"/>
        <v>0.11111111111111072</v>
      </c>
      <c r="Q154" s="12">
        <f>M154*O154</f>
        <v>131898.69</v>
      </c>
      <c r="R154" s="138"/>
    </row>
    <row r="155" spans="2:18" x14ac:dyDescent="0.2">
      <c r="B155" s="150"/>
      <c r="C155" s="11"/>
      <c r="D155" s="11"/>
      <c r="E155" s="11"/>
      <c r="F155" s="11"/>
      <c r="G155" s="11"/>
      <c r="H155" s="11"/>
      <c r="I155" s="11"/>
      <c r="J155" s="45"/>
      <c r="K155" s="11"/>
      <c r="L155" s="11"/>
      <c r="M155" s="12"/>
      <c r="N155" s="152"/>
      <c r="P155" s="174"/>
      <c r="Q155" s="12"/>
      <c r="R155" s="138"/>
    </row>
    <row r="156" spans="2:18" x14ac:dyDescent="0.2">
      <c r="B156" s="150" t="str">
        <f t="shared" ref="B156:C161" si="46">B109</f>
        <v>Attrez. industriale 2</v>
      </c>
      <c r="C156" s="11">
        <f t="shared" si="46"/>
        <v>0</v>
      </c>
      <c r="D156" s="11">
        <f t="shared" ref="D156:J161" si="47">IF(D109&gt;1,$K109,0)</f>
        <v>1781.3579999999988</v>
      </c>
      <c r="E156" s="11">
        <f t="shared" si="47"/>
        <v>1781.3579999999988</v>
      </c>
      <c r="F156" s="11">
        <f t="shared" si="47"/>
        <v>1781.3579999999988</v>
      </c>
      <c r="G156" s="11">
        <f t="shared" si="47"/>
        <v>1781.3579999999988</v>
      </c>
      <c r="H156" s="11">
        <f t="shared" si="47"/>
        <v>1781.3579999999988</v>
      </c>
      <c r="I156" s="11">
        <f t="shared" si="47"/>
        <v>0</v>
      </c>
      <c r="J156" s="45">
        <f t="shared" si="47"/>
        <v>0</v>
      </c>
      <c r="K156" s="11">
        <f t="shared" ref="K156:M161" si="48">IF(M109&gt;1,$K109,0)</f>
        <v>0</v>
      </c>
      <c r="L156" s="11">
        <f t="shared" si="48"/>
        <v>0</v>
      </c>
      <c r="M156" s="12">
        <f t="shared" si="48"/>
        <v>0</v>
      </c>
      <c r="N156" s="152">
        <f t="shared" ref="N156:N161" si="49">L109</f>
        <v>0.2</v>
      </c>
      <c r="O156" s="5">
        <f t="shared" si="40"/>
        <v>5</v>
      </c>
      <c r="P156" s="174">
        <f t="shared" si="41"/>
        <v>0</v>
      </c>
      <c r="Q156" s="12">
        <f t="shared" ref="Q156:Q161" si="50">IF(SUM(C156:M156)=U109,SUM(C156:M156)-U109,SUM(C156:M156))</f>
        <v>0</v>
      </c>
      <c r="R156" s="138"/>
    </row>
    <row r="157" spans="2:18" x14ac:dyDescent="0.2">
      <c r="B157" s="150" t="str">
        <f t="shared" si="46"/>
        <v>Attrez. industriale 3</v>
      </c>
      <c r="C157" s="11">
        <f t="shared" si="46"/>
        <v>0</v>
      </c>
      <c r="D157" s="11">
        <f t="shared" si="47"/>
        <v>0</v>
      </c>
      <c r="E157" s="11">
        <f t="shared" si="47"/>
        <v>0</v>
      </c>
      <c r="F157" s="11">
        <f t="shared" si="47"/>
        <v>3465.7466399999989</v>
      </c>
      <c r="G157" s="11">
        <f t="shared" si="47"/>
        <v>3465.7466399999989</v>
      </c>
      <c r="H157" s="11">
        <f t="shared" si="47"/>
        <v>3465.7466399999989</v>
      </c>
      <c r="I157" s="11">
        <f t="shared" si="47"/>
        <v>3465.7466399999989</v>
      </c>
      <c r="J157" s="45">
        <f t="shared" si="47"/>
        <v>3465.7466399999989</v>
      </c>
      <c r="K157" s="11">
        <f t="shared" si="48"/>
        <v>3465.7466399999989</v>
      </c>
      <c r="L157" s="11">
        <f t="shared" si="48"/>
        <v>3465.7466399999989</v>
      </c>
      <c r="M157" s="12">
        <f t="shared" si="48"/>
        <v>3465.7466399999989</v>
      </c>
      <c r="N157" s="152">
        <f t="shared" si="49"/>
        <v>0.09</v>
      </c>
      <c r="O157" s="5">
        <f t="shared" si="40"/>
        <v>8</v>
      </c>
      <c r="P157" s="174">
        <f t="shared" si="41"/>
        <v>3.1111111111111107</v>
      </c>
      <c r="Q157" s="12">
        <f t="shared" si="50"/>
        <v>27725.973119999988</v>
      </c>
      <c r="R157" s="138"/>
    </row>
    <row r="158" spans="2:18" x14ac:dyDescent="0.2">
      <c r="B158" s="150" t="str">
        <f t="shared" si="46"/>
        <v>Attrez. industriale 4</v>
      </c>
      <c r="C158" s="11">
        <f t="shared" si="46"/>
        <v>0</v>
      </c>
      <c r="D158" s="11">
        <f t="shared" si="47"/>
        <v>0</v>
      </c>
      <c r="E158" s="11">
        <f t="shared" si="47"/>
        <v>0</v>
      </c>
      <c r="F158" s="11">
        <f t="shared" si="47"/>
        <v>0</v>
      </c>
      <c r="G158" s="11">
        <f t="shared" si="47"/>
        <v>3997.4305175999984</v>
      </c>
      <c r="H158" s="11">
        <f t="shared" si="47"/>
        <v>3997.4305175999984</v>
      </c>
      <c r="I158" s="11">
        <f t="shared" si="47"/>
        <v>3997.4305175999984</v>
      </c>
      <c r="J158" s="45">
        <f t="shared" si="47"/>
        <v>3997.4305175999984</v>
      </c>
      <c r="K158" s="11">
        <f t="shared" si="48"/>
        <v>3997.4305175999984</v>
      </c>
      <c r="L158" s="11">
        <f t="shared" si="48"/>
        <v>3997.4305175999984</v>
      </c>
      <c r="M158" s="12">
        <f t="shared" si="48"/>
        <v>3997.4305175999984</v>
      </c>
      <c r="N158" s="152">
        <f t="shared" si="49"/>
        <v>0.09</v>
      </c>
      <c r="O158" s="5">
        <f t="shared" si="40"/>
        <v>7</v>
      </c>
      <c r="P158" s="174">
        <f t="shared" si="41"/>
        <v>4.1111111111111107</v>
      </c>
      <c r="Q158" s="12">
        <f t="shared" si="50"/>
        <v>27982.01362319999</v>
      </c>
      <c r="R158" s="138"/>
    </row>
    <row r="159" spans="2:18" x14ac:dyDescent="0.2">
      <c r="B159" s="150" t="str">
        <f t="shared" si="46"/>
        <v>Attrez. industriale 5</v>
      </c>
      <c r="C159" s="11">
        <f t="shared" si="46"/>
        <v>0</v>
      </c>
      <c r="D159" s="11">
        <f t="shared" si="47"/>
        <v>0</v>
      </c>
      <c r="E159" s="11">
        <f t="shared" si="47"/>
        <v>0</v>
      </c>
      <c r="F159" s="11">
        <f t="shared" si="47"/>
        <v>0</v>
      </c>
      <c r="G159" s="11">
        <f t="shared" si="47"/>
        <v>0</v>
      </c>
      <c r="H159" s="11">
        <f t="shared" si="47"/>
        <v>3393.209264183999</v>
      </c>
      <c r="I159" s="11">
        <f t="shared" si="47"/>
        <v>3393.209264183999</v>
      </c>
      <c r="J159" s="45">
        <f t="shared" si="47"/>
        <v>3393.209264183999</v>
      </c>
      <c r="K159" s="11">
        <f t="shared" si="48"/>
        <v>3393.209264183999</v>
      </c>
      <c r="L159" s="11">
        <f t="shared" si="48"/>
        <v>3393.209264183999</v>
      </c>
      <c r="M159" s="12">
        <f t="shared" si="48"/>
        <v>3393.209264183999</v>
      </c>
      <c r="N159" s="152">
        <f t="shared" si="49"/>
        <v>0.09</v>
      </c>
      <c r="O159" s="5">
        <f t="shared" si="40"/>
        <v>6</v>
      </c>
      <c r="P159" s="174">
        <f t="shared" si="41"/>
        <v>5.1111111111111107</v>
      </c>
      <c r="Q159" s="12">
        <f t="shared" si="50"/>
        <v>20359.255585103994</v>
      </c>
      <c r="R159" s="138"/>
    </row>
    <row r="160" spans="2:18" x14ac:dyDescent="0.2">
      <c r="B160" s="150" t="str">
        <f t="shared" si="46"/>
        <v>Attrez. industriale 6</v>
      </c>
      <c r="C160" s="11">
        <f t="shared" si="46"/>
        <v>0</v>
      </c>
      <c r="D160" s="11">
        <f t="shared" si="47"/>
        <v>0</v>
      </c>
      <c r="E160" s="11">
        <f t="shared" si="47"/>
        <v>0</v>
      </c>
      <c r="F160" s="11">
        <f t="shared" si="47"/>
        <v>0</v>
      </c>
      <c r="G160" s="11">
        <f t="shared" si="47"/>
        <v>0</v>
      </c>
      <c r="H160" s="11">
        <f t="shared" si="47"/>
        <v>0</v>
      </c>
      <c r="I160" s="11">
        <f t="shared" si="47"/>
        <v>2435.8080979605588</v>
      </c>
      <c r="J160" s="45">
        <f t="shared" si="47"/>
        <v>2435.8080979605588</v>
      </c>
      <c r="K160" s="11">
        <f t="shared" si="48"/>
        <v>2435.8080979605588</v>
      </c>
      <c r="L160" s="11">
        <f t="shared" si="48"/>
        <v>2435.8080979605588</v>
      </c>
      <c r="M160" s="12">
        <f t="shared" si="48"/>
        <v>2435.8080979605588</v>
      </c>
      <c r="N160" s="152">
        <f t="shared" si="49"/>
        <v>0.09</v>
      </c>
      <c r="O160" s="5">
        <f t="shared" si="40"/>
        <v>5</v>
      </c>
      <c r="P160" s="174">
        <f t="shared" si="41"/>
        <v>6.1111111111111107</v>
      </c>
      <c r="Q160" s="12">
        <f t="shared" si="50"/>
        <v>12179.040489802794</v>
      </c>
      <c r="R160" s="138"/>
    </row>
    <row r="161" spans="2:18" x14ac:dyDescent="0.2">
      <c r="B161" s="150" t="str">
        <f t="shared" si="46"/>
        <v>Attrez. industriale 7</v>
      </c>
      <c r="C161" s="11">
        <f t="shared" si="46"/>
        <v>0</v>
      </c>
      <c r="D161" s="11">
        <f t="shared" si="47"/>
        <v>0</v>
      </c>
      <c r="E161" s="11">
        <f t="shared" si="47"/>
        <v>0</v>
      </c>
      <c r="F161" s="11">
        <f t="shared" si="47"/>
        <v>0</v>
      </c>
      <c r="G161" s="11">
        <f t="shared" si="47"/>
        <v>0</v>
      </c>
      <c r="H161" s="11">
        <f t="shared" si="47"/>
        <v>0</v>
      </c>
      <c r="I161" s="11">
        <f t="shared" si="47"/>
        <v>0</v>
      </c>
      <c r="J161" s="45">
        <f t="shared" si="47"/>
        <v>3173.4886067770121</v>
      </c>
      <c r="K161" s="11">
        <f t="shared" si="48"/>
        <v>3173.4886067770121</v>
      </c>
      <c r="L161" s="11">
        <f t="shared" si="48"/>
        <v>3173.4886067770121</v>
      </c>
      <c r="M161" s="12">
        <f t="shared" si="48"/>
        <v>3173.4886067770121</v>
      </c>
      <c r="N161" s="152">
        <f t="shared" si="49"/>
        <v>0.09</v>
      </c>
      <c r="O161" s="5">
        <f t="shared" si="40"/>
        <v>4</v>
      </c>
      <c r="P161" s="174">
        <f t="shared" si="41"/>
        <v>7.1111111111111107</v>
      </c>
      <c r="Q161" s="12">
        <f t="shared" si="50"/>
        <v>12693.954427108049</v>
      </c>
      <c r="R161" s="138"/>
    </row>
    <row r="162" spans="2:18" x14ac:dyDescent="0.2">
      <c r="B162" s="150"/>
      <c r="C162" s="11"/>
      <c r="D162" s="11"/>
      <c r="E162" s="11"/>
      <c r="F162" s="11"/>
      <c r="G162" s="11"/>
      <c r="H162" s="11"/>
      <c r="I162" s="11"/>
      <c r="J162" s="45"/>
      <c r="K162" s="11"/>
      <c r="L162" s="11"/>
      <c r="M162" s="12"/>
      <c r="N162" s="152"/>
      <c r="P162" s="174"/>
      <c r="Q162" s="12"/>
      <c r="R162" s="138"/>
    </row>
    <row r="163" spans="2:18" x14ac:dyDescent="0.2">
      <c r="B163" s="150"/>
      <c r="C163" s="11"/>
      <c r="D163" s="11"/>
      <c r="E163" s="11"/>
      <c r="F163" s="11"/>
      <c r="G163" s="11"/>
      <c r="H163" s="11"/>
      <c r="I163" s="11"/>
      <c r="J163" s="45"/>
      <c r="K163" s="11"/>
      <c r="L163" s="11"/>
      <c r="M163" s="12"/>
      <c r="N163" s="152"/>
      <c r="P163" s="174"/>
      <c r="Q163" s="12"/>
      <c r="R163" s="138"/>
    </row>
    <row r="164" spans="2:18" x14ac:dyDescent="0.2">
      <c r="B164" s="150" t="str">
        <f t="shared" ref="B164:C168" si="51">B117</f>
        <v xml:space="preserve">Altri beni immobilizzati </v>
      </c>
      <c r="C164" s="11">
        <f t="shared" si="51"/>
        <v>5527</v>
      </c>
      <c r="D164" s="11">
        <f t="shared" ref="D164:J168" si="52">IF(D117&gt;1,$K117,0)</f>
        <v>0</v>
      </c>
      <c r="E164" s="11">
        <f t="shared" si="52"/>
        <v>0</v>
      </c>
      <c r="F164" s="11">
        <f t="shared" si="52"/>
        <v>0</v>
      </c>
      <c r="G164" s="11">
        <f t="shared" si="52"/>
        <v>0</v>
      </c>
      <c r="H164" s="11">
        <f t="shared" si="52"/>
        <v>0</v>
      </c>
      <c r="I164" s="11">
        <f t="shared" si="52"/>
        <v>0</v>
      </c>
      <c r="J164" s="45">
        <f t="shared" si="52"/>
        <v>0</v>
      </c>
      <c r="K164" s="11">
        <f t="shared" ref="K164:M168" si="53">IF(M117&gt;1,$K117,0)</f>
        <v>0</v>
      </c>
      <c r="L164" s="11">
        <f t="shared" si="53"/>
        <v>0</v>
      </c>
      <c r="M164" s="12">
        <f t="shared" si="53"/>
        <v>0</v>
      </c>
      <c r="N164" s="152" t="str">
        <f>L117</f>
        <v>n.d</v>
      </c>
      <c r="O164" s="5">
        <f t="shared" si="40"/>
        <v>1</v>
      </c>
      <c r="P164" s="174">
        <v>0</v>
      </c>
      <c r="Q164" s="12">
        <v>0</v>
      </c>
      <c r="R164" s="138"/>
    </row>
    <row r="165" spans="2:18" x14ac:dyDescent="0.2">
      <c r="B165" s="150" t="str">
        <f t="shared" si="51"/>
        <v xml:space="preserve">Altri beni immobilizzati </v>
      </c>
      <c r="C165" s="11">
        <f t="shared" si="51"/>
        <v>92391</v>
      </c>
      <c r="D165" s="11">
        <f t="shared" si="52"/>
        <v>23548</v>
      </c>
      <c r="E165" s="11">
        <f t="shared" si="52"/>
        <v>23548</v>
      </c>
      <c r="F165" s="11">
        <f t="shared" si="52"/>
        <v>23548</v>
      </c>
      <c r="G165" s="11">
        <f t="shared" si="52"/>
        <v>0</v>
      </c>
      <c r="H165" s="11">
        <f t="shared" si="52"/>
        <v>0</v>
      </c>
      <c r="I165" s="11">
        <f t="shared" si="52"/>
        <v>0</v>
      </c>
      <c r="J165" s="45">
        <f t="shared" si="52"/>
        <v>0</v>
      </c>
      <c r="K165" s="11">
        <f t="shared" si="53"/>
        <v>0</v>
      </c>
      <c r="L165" s="11">
        <f t="shared" si="53"/>
        <v>0</v>
      </c>
      <c r="M165" s="12">
        <f t="shared" si="53"/>
        <v>0</v>
      </c>
      <c r="N165" s="152">
        <f>L118</f>
        <v>0.2</v>
      </c>
      <c r="O165" s="5">
        <f t="shared" si="40"/>
        <v>4</v>
      </c>
      <c r="P165" s="174">
        <f t="shared" si="41"/>
        <v>1</v>
      </c>
      <c r="Q165" s="12">
        <v>0</v>
      </c>
      <c r="R165" s="138" t="s">
        <v>985</v>
      </c>
    </row>
    <row r="166" spans="2:18" x14ac:dyDescent="0.2">
      <c r="B166" s="150" t="str">
        <f t="shared" si="51"/>
        <v xml:space="preserve">Altri beni immobilizzati </v>
      </c>
      <c r="C166" s="11">
        <f t="shared" si="51"/>
        <v>0</v>
      </c>
      <c r="D166" s="11">
        <f t="shared" si="52"/>
        <v>0</v>
      </c>
      <c r="E166" s="11">
        <f t="shared" si="52"/>
        <v>14334</v>
      </c>
      <c r="F166" s="11">
        <f t="shared" si="52"/>
        <v>14334</v>
      </c>
      <c r="G166" s="11">
        <f t="shared" si="52"/>
        <v>14334</v>
      </c>
      <c r="H166" s="11">
        <f t="shared" si="52"/>
        <v>14334</v>
      </c>
      <c r="I166" s="11">
        <f t="shared" si="52"/>
        <v>14334</v>
      </c>
      <c r="J166" s="45">
        <f t="shared" si="52"/>
        <v>0</v>
      </c>
      <c r="K166" s="11">
        <f t="shared" si="53"/>
        <v>0</v>
      </c>
      <c r="L166" s="11">
        <f t="shared" si="53"/>
        <v>0</v>
      </c>
      <c r="M166" s="12">
        <f t="shared" si="53"/>
        <v>0</v>
      </c>
      <c r="N166" s="152">
        <f>L119</f>
        <v>0.2</v>
      </c>
      <c r="O166" s="5">
        <f t="shared" si="40"/>
        <v>5</v>
      </c>
      <c r="P166" s="174">
        <f t="shared" si="41"/>
        <v>0</v>
      </c>
      <c r="Q166" s="12">
        <f>IF(SUM(C166:M166)=U119,SUM(C166:M166)-U119,SUM(C166:M166))</f>
        <v>0</v>
      </c>
      <c r="R166" s="138"/>
    </row>
    <row r="167" spans="2:18" x14ac:dyDescent="0.2">
      <c r="B167" s="150" t="str">
        <f t="shared" si="51"/>
        <v xml:space="preserve">Altri beni immobilizzati </v>
      </c>
      <c r="C167" s="11">
        <f t="shared" si="51"/>
        <v>0</v>
      </c>
      <c r="D167" s="11">
        <f t="shared" si="52"/>
        <v>0</v>
      </c>
      <c r="E167" s="11">
        <f t="shared" si="52"/>
        <v>0</v>
      </c>
      <c r="F167" s="11">
        <f t="shared" si="52"/>
        <v>31491.200000000001</v>
      </c>
      <c r="G167" s="11">
        <f t="shared" si="52"/>
        <v>31491.200000000001</v>
      </c>
      <c r="H167" s="11">
        <f t="shared" si="52"/>
        <v>31491.200000000001</v>
      </c>
      <c r="I167" s="11">
        <f t="shared" si="52"/>
        <v>31491.200000000001</v>
      </c>
      <c r="J167" s="45">
        <f t="shared" si="52"/>
        <v>31491.200000000001</v>
      </c>
      <c r="K167" s="11">
        <f t="shared" si="53"/>
        <v>0</v>
      </c>
      <c r="L167" s="11">
        <f t="shared" si="53"/>
        <v>0</v>
      </c>
      <c r="M167" s="12">
        <f t="shared" si="53"/>
        <v>0</v>
      </c>
      <c r="N167" s="152">
        <f>L120</f>
        <v>0.2</v>
      </c>
      <c r="O167" s="5">
        <f t="shared" si="40"/>
        <v>5</v>
      </c>
      <c r="P167" s="174">
        <f t="shared" si="41"/>
        <v>0</v>
      </c>
      <c r="Q167" s="12">
        <f>IF(SUM(C167:M167)=U120,SUM(C167:M167)-U120,SUM(C167:M167))</f>
        <v>0</v>
      </c>
      <c r="R167" s="138"/>
    </row>
    <row r="168" spans="2:18" x14ac:dyDescent="0.2">
      <c r="B168" s="136" t="str">
        <f t="shared" si="51"/>
        <v xml:space="preserve">Altri beni immobilizzati </v>
      </c>
      <c r="C168" s="145">
        <f t="shared" si="51"/>
        <v>0</v>
      </c>
      <c r="D168" s="145">
        <f t="shared" si="52"/>
        <v>0</v>
      </c>
      <c r="E168" s="145">
        <f t="shared" si="52"/>
        <v>0</v>
      </c>
      <c r="F168" s="145">
        <f t="shared" si="52"/>
        <v>0</v>
      </c>
      <c r="G168" s="145">
        <f t="shared" si="52"/>
        <v>21481.68</v>
      </c>
      <c r="H168" s="145">
        <f t="shared" si="52"/>
        <v>21481.68</v>
      </c>
      <c r="I168" s="145">
        <f t="shared" si="52"/>
        <v>21481.68</v>
      </c>
      <c r="J168" s="153">
        <f t="shared" si="52"/>
        <v>21481.68</v>
      </c>
      <c r="K168" s="145">
        <f t="shared" si="53"/>
        <v>21481.68</v>
      </c>
      <c r="L168" s="145">
        <f t="shared" si="53"/>
        <v>21481.68</v>
      </c>
      <c r="M168" s="147">
        <f t="shared" si="53"/>
        <v>21481.68</v>
      </c>
      <c r="N168" s="155">
        <f>L121</f>
        <v>0.15</v>
      </c>
      <c r="O168" s="181">
        <f t="shared" si="40"/>
        <v>7</v>
      </c>
      <c r="P168" s="219">
        <v>0</v>
      </c>
      <c r="Q168" s="147">
        <v>0</v>
      </c>
      <c r="R168" s="138" t="s">
        <v>985</v>
      </c>
    </row>
    <row r="169" spans="2:18" x14ac:dyDescent="0.2">
      <c r="B169" s="48" t="s">
        <v>987</v>
      </c>
      <c r="C169" s="52"/>
      <c r="D169" s="52"/>
      <c r="E169" s="52"/>
      <c r="F169" s="52"/>
      <c r="G169" s="52"/>
      <c r="H169" s="52"/>
      <c r="I169" s="52"/>
      <c r="J169" s="740">
        <f>K169-SUM(K139:K168)</f>
        <v>1082927.3553577536</v>
      </c>
      <c r="K169" s="52">
        <f>L169-SUM(L139:L168)</f>
        <v>1845936.257764501</v>
      </c>
      <c r="L169" s="52">
        <f>M169-SUM(M139:M168)</f>
        <v>2573986.1409794819</v>
      </c>
      <c r="M169" s="52">
        <f>Q169</f>
        <v>3302036.0241944627</v>
      </c>
      <c r="N169" s="55"/>
      <c r="O169" s="49"/>
      <c r="P169" s="54"/>
      <c r="Q169" s="51">
        <f>SUM(Q138:Q168)</f>
        <v>3302036.0241944627</v>
      </c>
    </row>
    <row r="170" spans="2:18" x14ac:dyDescent="0.2">
      <c r="B170" s="4"/>
      <c r="C170" s="8"/>
      <c r="D170" s="8"/>
      <c r="E170" s="8"/>
      <c r="F170" s="8"/>
      <c r="G170" s="8"/>
      <c r="H170" s="8"/>
      <c r="I170" s="8"/>
      <c r="J170" s="8"/>
      <c r="K170" s="8"/>
      <c r="L170" s="8"/>
      <c r="M170" s="8"/>
      <c r="N170" s="725"/>
      <c r="O170" s="4"/>
      <c r="P170" s="684"/>
      <c r="Q170" s="8"/>
    </row>
    <row r="171" spans="2:18" x14ac:dyDescent="0.2">
      <c r="B171" s="5" t="s">
        <v>1529</v>
      </c>
      <c r="C171" s="8"/>
      <c r="D171" s="8"/>
      <c r="E171" s="8"/>
      <c r="F171" s="8"/>
      <c r="G171" s="8"/>
      <c r="H171" s="8"/>
      <c r="I171" s="8"/>
      <c r="J171" s="8"/>
      <c r="K171" s="8"/>
      <c r="L171" s="8"/>
      <c r="M171" s="8"/>
      <c r="N171" s="725"/>
      <c r="O171" s="4"/>
      <c r="P171" s="684"/>
      <c r="Q171" s="8"/>
    </row>
    <row r="172" spans="2:18" x14ac:dyDescent="0.2">
      <c r="B172" s="4"/>
      <c r="C172" s="8"/>
      <c r="D172" s="8"/>
      <c r="E172" s="8"/>
      <c r="F172" s="8"/>
      <c r="G172" s="8"/>
      <c r="H172" s="8"/>
      <c r="I172" s="8"/>
      <c r="J172" s="8"/>
      <c r="K172" s="8"/>
      <c r="L172" s="8"/>
      <c r="M172" s="8"/>
      <c r="N172" s="5" t="s">
        <v>1313</v>
      </c>
      <c r="O172" s="5" t="s">
        <v>1314</v>
      </c>
      <c r="P172" s="684"/>
      <c r="Q172" s="8"/>
    </row>
    <row r="173" spans="2:18" x14ac:dyDescent="0.2">
      <c r="B173" s="4"/>
      <c r="C173" s="8"/>
      <c r="D173" s="8"/>
      <c r="E173" s="8"/>
      <c r="F173" s="8"/>
      <c r="G173" s="8"/>
      <c r="H173" s="8"/>
      <c r="I173" s="8"/>
      <c r="J173" s="8"/>
      <c r="K173" s="8"/>
      <c r="L173" s="8"/>
      <c r="M173" s="8"/>
      <c r="O173" s="5" t="s">
        <v>974</v>
      </c>
      <c r="P173" s="684"/>
      <c r="Q173" s="8"/>
    </row>
    <row r="174" spans="2:18" x14ac:dyDescent="0.2">
      <c r="B174" s="4"/>
      <c r="C174" s="8"/>
      <c r="D174" s="8"/>
      <c r="E174" s="8"/>
      <c r="F174" s="8"/>
      <c r="G174" s="8"/>
      <c r="H174" s="8"/>
      <c r="I174" s="8"/>
      <c r="J174" s="8"/>
      <c r="K174" s="8"/>
      <c r="L174" s="8"/>
      <c r="M174" s="8"/>
      <c r="N174" s="725"/>
      <c r="O174" s="4"/>
      <c r="P174" s="684"/>
      <c r="Q174" s="8"/>
    </row>
    <row r="175" spans="2:18" x14ac:dyDescent="0.2">
      <c r="B175" s="4"/>
      <c r="C175" s="8"/>
      <c r="D175" s="8"/>
      <c r="E175" s="8"/>
      <c r="F175" s="8"/>
      <c r="G175" s="8"/>
      <c r="H175" s="8"/>
      <c r="I175" s="8"/>
      <c r="J175" s="8"/>
      <c r="K175" s="8"/>
      <c r="L175" s="8"/>
      <c r="M175" s="8"/>
      <c r="N175" s="725"/>
      <c r="O175" s="4"/>
      <c r="P175" s="684"/>
      <c r="Q175" s="8"/>
    </row>
    <row r="176" spans="2:18" x14ac:dyDescent="0.2">
      <c r="C176" s="11"/>
      <c r="D176" s="11"/>
      <c r="E176" s="11"/>
      <c r="F176" s="11"/>
      <c r="G176" s="11"/>
      <c r="H176" s="11"/>
      <c r="I176" s="11"/>
      <c r="J176" s="11"/>
      <c r="K176" s="11"/>
      <c r="L176" s="11"/>
      <c r="M176" s="11"/>
      <c r="N176" s="25"/>
      <c r="P176" s="174"/>
      <c r="Q176" s="11"/>
    </row>
    <row r="177" spans="2:17" s="726" customFormat="1" ht="7" customHeight="1" x14ac:dyDescent="0.2"/>
    <row r="178" spans="2:17" ht="17" hidden="1" thickBot="1" x14ac:dyDescent="0.25">
      <c r="C178" s="11"/>
      <c r="D178" s="11"/>
      <c r="E178" s="11"/>
      <c r="F178" s="11"/>
      <c r="G178" s="11"/>
      <c r="H178" s="11"/>
      <c r="I178" s="11"/>
      <c r="J178" s="11"/>
      <c r="K178" s="11"/>
      <c r="L178" s="11"/>
      <c r="M178" s="11"/>
      <c r="N178" s="25"/>
      <c r="P178" s="174"/>
      <c r="Q178" s="11"/>
    </row>
    <row r="179" spans="2:17" ht="22" hidden="1" customHeight="1" x14ac:dyDescent="0.2">
      <c r="B179" s="938" t="s">
        <v>1182</v>
      </c>
      <c r="C179" s="939"/>
      <c r="D179" s="940"/>
      <c r="E179" s="5" t="s">
        <v>1530</v>
      </c>
    </row>
    <row r="180" spans="2:17" ht="21" hidden="1" customHeight="1" thickBot="1" x14ac:dyDescent="0.25">
      <c r="B180" s="941"/>
      <c r="C180" s="942"/>
      <c r="D180" s="943"/>
    </row>
    <row r="181" spans="2:17" hidden="1" x14ac:dyDescent="0.2"/>
    <row r="182" spans="2:17" ht="19" hidden="1" x14ac:dyDescent="0.2">
      <c r="B182" s="422" t="s">
        <v>1183</v>
      </c>
      <c r="C182" s="536">
        <v>2020</v>
      </c>
      <c r="D182" s="423">
        <v>2021</v>
      </c>
      <c r="E182" s="424">
        <v>2022</v>
      </c>
      <c r="F182" s="536">
        <v>2023</v>
      </c>
      <c r="G182" s="423">
        <v>2024</v>
      </c>
      <c r="H182" s="536">
        <v>2025</v>
      </c>
      <c r="I182" s="423">
        <v>2026</v>
      </c>
      <c r="J182" s="424">
        <v>2027</v>
      </c>
    </row>
    <row r="183" spans="2:17" hidden="1" x14ac:dyDescent="0.2">
      <c r="B183" s="126" t="s">
        <v>1184</v>
      </c>
      <c r="C183" s="143">
        <f>D199</f>
        <v>1587038.1440000001</v>
      </c>
      <c r="D183" s="41">
        <f>D197</f>
        <v>5994974</v>
      </c>
      <c r="E183" s="40">
        <f>D198</f>
        <v>421509.47300000023</v>
      </c>
      <c r="F183" s="78">
        <v>0</v>
      </c>
      <c r="G183" s="24">
        <v>0</v>
      </c>
      <c r="H183" s="78">
        <v>0</v>
      </c>
      <c r="I183" s="24">
        <v>0</v>
      </c>
      <c r="J183" s="44">
        <v>0</v>
      </c>
    </row>
    <row r="184" spans="2:17" hidden="1" x14ac:dyDescent="0.2">
      <c r="B184" s="97"/>
      <c r="C184" s="136"/>
      <c r="D184" s="145">
        <f>D200</f>
        <v>673524.91199999978</v>
      </c>
      <c r="E184" s="147">
        <f>D200</f>
        <v>673524.91199999978</v>
      </c>
      <c r="F184" s="78"/>
      <c r="G184" s="24"/>
      <c r="H184" s="78"/>
      <c r="I184" s="24"/>
      <c r="J184" s="44"/>
    </row>
    <row r="185" spans="2:17" hidden="1" x14ac:dyDescent="0.2">
      <c r="B185" s="4"/>
      <c r="C185" s="98">
        <f>C183*0.8</f>
        <v>1269630.5152000003</v>
      </c>
      <c r="D185" s="104">
        <f>SUM(D183:D184)*0.8</f>
        <v>5334799.1295999996</v>
      </c>
      <c r="E185" s="99">
        <f>SUM(E183:E184)*0.8</f>
        <v>876027.50800000003</v>
      </c>
      <c r="F185" s="151"/>
      <c r="G185" s="11"/>
      <c r="H185" s="78"/>
      <c r="I185" s="24"/>
      <c r="J185" s="44"/>
      <c r="L185" s="5" t="s">
        <v>1192</v>
      </c>
      <c r="N185" s="163" t="s">
        <v>1195</v>
      </c>
    </row>
    <row r="186" spans="2:17" hidden="1" x14ac:dyDescent="0.2">
      <c r="B186" s="126" t="s">
        <v>1185</v>
      </c>
      <c r="C186" s="143">
        <v>2923930</v>
      </c>
      <c r="D186" s="41">
        <v>3495062</v>
      </c>
      <c r="E186" s="40">
        <v>4519420</v>
      </c>
      <c r="F186" s="41">
        <v>3987523</v>
      </c>
      <c r="G186" s="41">
        <v>3395294</v>
      </c>
      <c r="H186" s="106">
        <f>E372</f>
        <v>2496805.9314280739</v>
      </c>
      <c r="I186" s="107">
        <f>F372</f>
        <v>2395832.0582025242</v>
      </c>
      <c r="J186" s="108">
        <f>G372</f>
        <v>2094676.3014357602</v>
      </c>
      <c r="L186" s="5" t="s">
        <v>1189</v>
      </c>
      <c r="N186" s="5" t="s">
        <v>1196</v>
      </c>
    </row>
    <row r="187" spans="2:17" hidden="1" x14ac:dyDescent="0.2">
      <c r="B187" s="220" t="s">
        <v>1187</v>
      </c>
      <c r="C187" s="151">
        <v>0</v>
      </c>
      <c r="D187" s="11">
        <f t="shared" ref="D187:I187" si="54">D186-C186</f>
        <v>571132</v>
      </c>
      <c r="E187" s="12">
        <f t="shared" si="54"/>
        <v>1024358</v>
      </c>
      <c r="F187" s="11">
        <f t="shared" si="54"/>
        <v>-531897</v>
      </c>
      <c r="G187" s="11">
        <f t="shared" si="54"/>
        <v>-592229</v>
      </c>
      <c r="H187" s="151">
        <f t="shared" si="54"/>
        <v>-898488.06857192609</v>
      </c>
      <c r="I187" s="11">
        <f t="shared" si="54"/>
        <v>-100973.8732255497</v>
      </c>
      <c r="J187" s="12">
        <f>J186-I186</f>
        <v>-301155.75676676398</v>
      </c>
      <c r="L187" s="5" t="s">
        <v>1190</v>
      </c>
    </row>
    <row r="188" spans="2:17" hidden="1" x14ac:dyDescent="0.2">
      <c r="B188" s="128" t="s">
        <v>1186</v>
      </c>
      <c r="C188" s="151">
        <v>6304053</v>
      </c>
      <c r="D188" s="11">
        <v>7333471</v>
      </c>
      <c r="E188" s="12">
        <v>6691933</v>
      </c>
      <c r="F188" s="11">
        <v>6691873</v>
      </c>
      <c r="G188" s="11">
        <v>5110204</v>
      </c>
      <c r="H188" s="78">
        <f>E371</f>
        <v>4857769.316936125</v>
      </c>
      <c r="I188" s="24">
        <f>F371</f>
        <v>4104879.9250192153</v>
      </c>
      <c r="J188" s="44">
        <f>G371</f>
        <v>3616722.4851197023</v>
      </c>
    </row>
    <row r="189" spans="2:17" hidden="1" x14ac:dyDescent="0.2">
      <c r="B189" s="180" t="s">
        <v>1187</v>
      </c>
      <c r="C189" s="146">
        <v>0</v>
      </c>
      <c r="D189" s="145">
        <f t="shared" ref="D189:I189" si="55">D188-C188</f>
        <v>1029418</v>
      </c>
      <c r="E189" s="147">
        <f t="shared" si="55"/>
        <v>-641538</v>
      </c>
      <c r="F189" s="145">
        <f t="shared" si="55"/>
        <v>-60</v>
      </c>
      <c r="G189" s="145">
        <f t="shared" si="55"/>
        <v>-1581669</v>
      </c>
      <c r="H189" s="146">
        <f t="shared" si="55"/>
        <v>-252434.68306387495</v>
      </c>
      <c r="I189" s="145">
        <f t="shared" si="55"/>
        <v>-752889.39191690972</v>
      </c>
      <c r="J189" s="147">
        <f>J188-I188</f>
        <v>-488157.43989951303</v>
      </c>
    </row>
    <row r="190" spans="2:17" hidden="1" x14ac:dyDescent="0.2">
      <c r="B190" s="221" t="s">
        <v>348</v>
      </c>
      <c r="C190" s="146">
        <v>581221</v>
      </c>
      <c r="D190" s="145">
        <v>633756</v>
      </c>
      <c r="E190" s="147">
        <v>733286</v>
      </c>
      <c r="F190" s="145">
        <v>669806</v>
      </c>
      <c r="G190" s="145">
        <v>820065</v>
      </c>
      <c r="H190" s="78">
        <f>G190-(G190-F190)</f>
        <v>669806</v>
      </c>
      <c r="I190" s="24">
        <f>H190-K190</f>
        <v>519547</v>
      </c>
      <c r="J190" s="44">
        <f>I190-K190</f>
        <v>369288</v>
      </c>
      <c r="K190" s="11">
        <f>G190-F190</f>
        <v>150259</v>
      </c>
      <c r="L190" s="5" t="s">
        <v>1191</v>
      </c>
    </row>
    <row r="191" spans="2:17" hidden="1" x14ac:dyDescent="0.2">
      <c r="B191" s="180" t="s">
        <v>1188</v>
      </c>
      <c r="C191" s="100">
        <v>0</v>
      </c>
      <c r="D191" s="105">
        <f>D189+D187+D190-C190</f>
        <v>1653085</v>
      </c>
      <c r="E191" s="102">
        <f t="shared" ref="E191:G191" si="56">E189+E187+E190-D190</f>
        <v>482350</v>
      </c>
      <c r="F191" s="103">
        <f t="shared" si="56"/>
        <v>-595437</v>
      </c>
      <c r="G191" s="103">
        <f t="shared" si="56"/>
        <v>-2023639</v>
      </c>
      <c r="H191" s="100">
        <f>H189+H187+H190-G190</f>
        <v>-1301181.751635801</v>
      </c>
      <c r="I191" s="101">
        <f>I190-H190+I189+I187</f>
        <v>-1004122.2651424594</v>
      </c>
      <c r="J191" s="102">
        <f>J190-I190+J189+J187</f>
        <v>-939572.19666627701</v>
      </c>
    </row>
    <row r="192" spans="2:17" hidden="1" x14ac:dyDescent="0.2">
      <c r="B192" s="542" t="s">
        <v>350</v>
      </c>
      <c r="C192" s="543">
        <f>C186+C188+C190</f>
        <v>9809204</v>
      </c>
      <c r="D192" s="465">
        <f>D190+D188+D186</f>
        <v>11462289</v>
      </c>
      <c r="E192" s="466">
        <f t="shared" ref="E192:J192" si="57">E186+E188+E190</f>
        <v>11944639</v>
      </c>
      <c r="F192" s="465">
        <f t="shared" si="57"/>
        <v>11349202</v>
      </c>
      <c r="G192" s="465">
        <f t="shared" si="57"/>
        <v>9325563</v>
      </c>
      <c r="H192" s="501">
        <f t="shared" si="57"/>
        <v>8024381.248364199</v>
      </c>
      <c r="I192" s="110">
        <f t="shared" si="57"/>
        <v>7020258.9832217395</v>
      </c>
      <c r="J192" s="458">
        <f t="shared" si="57"/>
        <v>6080686.7865554625</v>
      </c>
    </row>
    <row r="193" spans="2:13" hidden="1" x14ac:dyDescent="0.2">
      <c r="B193" s="4"/>
      <c r="C193" s="4"/>
      <c r="D193" s="8"/>
      <c r="E193" s="8"/>
    </row>
    <row r="194" spans="2:13" hidden="1" x14ac:dyDescent="0.2"/>
    <row r="195" spans="2:13" hidden="1" x14ac:dyDescent="0.2">
      <c r="B195" s="5" t="s">
        <v>999</v>
      </c>
    </row>
    <row r="196" spans="2:13" ht="19" hidden="1" x14ac:dyDescent="0.2">
      <c r="B196" s="463" t="s">
        <v>1349</v>
      </c>
      <c r="C196" s="423" t="s">
        <v>149</v>
      </c>
      <c r="D196" s="423" t="s">
        <v>1000</v>
      </c>
      <c r="E196" s="423" t="s">
        <v>1001</v>
      </c>
      <c r="F196" s="423" t="s">
        <v>1002</v>
      </c>
      <c r="G196" s="423" t="s">
        <v>1003</v>
      </c>
      <c r="H196" s="423" t="s">
        <v>1004</v>
      </c>
      <c r="I196" s="423" t="s">
        <v>1012</v>
      </c>
      <c r="J196" s="541" t="s">
        <v>1005</v>
      </c>
      <c r="K196"/>
    </row>
    <row r="197" spans="2:13" hidden="1" x14ac:dyDescent="0.2">
      <c r="B197" s="10" t="s">
        <v>1326</v>
      </c>
      <c r="C197" s="5">
        <v>2021</v>
      </c>
      <c r="D197" s="11">
        <f>G92</f>
        <v>5994974</v>
      </c>
      <c r="E197" s="11">
        <f>0.2*D197</f>
        <v>1198994.8</v>
      </c>
      <c r="F197" s="11">
        <f>D197-E197</f>
        <v>4795979.2</v>
      </c>
      <c r="G197" s="56">
        <v>1.7299999999999999E-2</v>
      </c>
      <c r="H197" s="5">
        <v>30</v>
      </c>
      <c r="I197" s="11">
        <f>F197/H197</f>
        <v>159865.97333333333</v>
      </c>
      <c r="J197" s="135" t="s">
        <v>1006</v>
      </c>
      <c r="L197" s="5" t="s">
        <v>1387</v>
      </c>
    </row>
    <row r="198" spans="2:13" hidden="1" x14ac:dyDescent="0.2">
      <c r="B198" s="10" t="s">
        <v>1327</v>
      </c>
      <c r="C198" s="5">
        <v>2022</v>
      </c>
      <c r="D198" s="11">
        <f>H93</f>
        <v>421509.47300000023</v>
      </c>
      <c r="E198" s="11">
        <f>0.2*D198</f>
        <v>84301.894600000058</v>
      </c>
      <c r="F198" s="11">
        <f>D198-E198</f>
        <v>337207.57840000017</v>
      </c>
      <c r="G198" s="56">
        <v>1.6E-2</v>
      </c>
      <c r="H198" s="5">
        <v>26</v>
      </c>
      <c r="I198" s="11">
        <f>F198/H198</f>
        <v>12969.522246153852</v>
      </c>
      <c r="J198" s="135" t="s">
        <v>1006</v>
      </c>
      <c r="L198" s="5" t="s">
        <v>1386</v>
      </c>
    </row>
    <row r="199" spans="2:13" hidden="1" x14ac:dyDescent="0.2">
      <c r="B199" s="10" t="s">
        <v>1332</v>
      </c>
      <c r="C199" s="5">
        <v>2020</v>
      </c>
      <c r="D199" s="11">
        <f>F99</f>
        <v>1587038.1440000001</v>
      </c>
      <c r="E199" s="11">
        <f>0.3*D199</f>
        <v>476111.44319999998</v>
      </c>
      <c r="F199" s="11">
        <f>D199-E199</f>
        <v>1110926.7008000002</v>
      </c>
      <c r="G199" s="25">
        <v>2.4400000000000002E-2</v>
      </c>
      <c r="H199" s="5">
        <v>30</v>
      </c>
      <c r="I199" s="11">
        <f>F199/H199</f>
        <v>37030.890026666675</v>
      </c>
      <c r="J199" s="135" t="s">
        <v>1007</v>
      </c>
      <c r="L199" s="5" t="s">
        <v>1008</v>
      </c>
      <c r="M199" s="5" t="s">
        <v>1009</v>
      </c>
    </row>
    <row r="200" spans="2:13" hidden="1" x14ac:dyDescent="0.2">
      <c r="B200" s="10" t="s">
        <v>1333</v>
      </c>
      <c r="C200" s="5">
        <v>2021</v>
      </c>
      <c r="D200" s="11">
        <f>G100</f>
        <v>673524.91199999978</v>
      </c>
      <c r="E200" s="11">
        <f>0.3*D200</f>
        <v>202057.47359999994</v>
      </c>
      <c r="F200" s="11">
        <f>D200-E200</f>
        <v>471467.43839999987</v>
      </c>
      <c r="G200" s="25">
        <v>1.2699999999999999E-2</v>
      </c>
      <c r="H200" s="5">
        <v>8</v>
      </c>
      <c r="I200" s="11">
        <f>F200/H200</f>
        <v>58933.429799999984</v>
      </c>
      <c r="J200" s="135" t="s">
        <v>1007</v>
      </c>
      <c r="L200" s="5" t="s">
        <v>1010</v>
      </c>
    </row>
    <row r="201" spans="2:13" hidden="1" x14ac:dyDescent="0.2">
      <c r="B201" s="158" t="s">
        <v>1334</v>
      </c>
      <c r="C201" s="181">
        <v>2022</v>
      </c>
      <c r="D201" s="145">
        <f>H101</f>
        <v>450972.67547199992</v>
      </c>
      <c r="E201" s="145">
        <f>0.3*D201</f>
        <v>135291.80264159996</v>
      </c>
      <c r="F201" s="145">
        <f>D201-E201</f>
        <v>315680.87283039995</v>
      </c>
      <c r="G201" s="156">
        <v>3.44E-2</v>
      </c>
      <c r="H201" s="181">
        <v>8</v>
      </c>
      <c r="I201" s="145">
        <f>F201/H201</f>
        <v>39460.109103799994</v>
      </c>
      <c r="J201" s="137" t="s">
        <v>1007</v>
      </c>
      <c r="L201" s="5" t="s">
        <v>1011</v>
      </c>
    </row>
    <row r="202" spans="2:13" hidden="1" x14ac:dyDescent="0.2">
      <c r="D202" s="11"/>
      <c r="E202" s="11"/>
      <c r="F202" s="11"/>
      <c r="G202" s="25"/>
      <c r="I202" s="11"/>
    </row>
    <row r="203" spans="2:13" hidden="1" x14ac:dyDescent="0.2">
      <c r="B203" s="5" t="s">
        <v>1385</v>
      </c>
      <c r="D203" s="11">
        <f>SUM(D197:D201)</f>
        <v>9128019.2044720016</v>
      </c>
      <c r="F203" s="11"/>
    </row>
    <row r="204" spans="2:13" hidden="1" x14ac:dyDescent="0.2">
      <c r="B204" s="5" t="s">
        <v>1026</v>
      </c>
      <c r="D204" s="11">
        <f>F85+H86+H87+J88+E91+G92+H93+I94+J95+C98+F99+G100+H101+I102+J104+C107+D109+F110+G111+H112+I113+J114+C117+C118+E119+F120+G121</f>
        <v>11157831.779375711</v>
      </c>
      <c r="E204" s="96">
        <f>D204-D203</f>
        <v>2029812.5749037098</v>
      </c>
    </row>
    <row r="205" spans="2:13" hidden="1" x14ac:dyDescent="0.2">
      <c r="B205" s="159" t="s">
        <v>1027</v>
      </c>
      <c r="C205" s="159"/>
      <c r="D205" s="213">
        <f>D203/D204</f>
        <v>0.81808180881023473</v>
      </c>
      <c r="E205" s="222">
        <f>1-D205</f>
        <v>0.18191819118976527</v>
      </c>
      <c r="F205" s="5" t="s">
        <v>1028</v>
      </c>
    </row>
    <row r="206" spans="2:13" hidden="1" x14ac:dyDescent="0.2"/>
    <row r="207" spans="2:13" hidden="1" x14ac:dyDescent="0.2"/>
    <row r="208" spans="2:13" ht="17" hidden="1" thickBot="1" x14ac:dyDescent="0.25"/>
    <row r="209" spans="2:10" ht="22" hidden="1" customHeight="1" x14ac:dyDescent="0.2">
      <c r="B209" s="920" t="s">
        <v>1350</v>
      </c>
      <c r="C209" s="921"/>
      <c r="D209" s="922"/>
    </row>
    <row r="210" spans="2:10" ht="22" hidden="1" customHeight="1" thickBot="1" x14ac:dyDescent="0.25">
      <c r="B210" s="923"/>
      <c r="C210" s="924"/>
      <c r="D210" s="925"/>
    </row>
    <row r="211" spans="2:10" hidden="1" x14ac:dyDescent="0.2"/>
    <row r="212" spans="2:10" hidden="1" x14ac:dyDescent="0.2"/>
    <row r="213" spans="2:10" hidden="1" x14ac:dyDescent="0.2">
      <c r="B213" s="48" t="s">
        <v>1014</v>
      </c>
      <c r="C213" s="49" t="s">
        <v>1006</v>
      </c>
      <c r="D213" s="49" t="str">
        <f>B197</f>
        <v>Terreno o fabbricato 2</v>
      </c>
      <c r="E213" s="223"/>
      <c r="F213" s="223" t="s">
        <v>1017</v>
      </c>
      <c r="G213" s="223" t="s">
        <v>1018</v>
      </c>
      <c r="H213" s="223">
        <f>H197</f>
        <v>30</v>
      </c>
      <c r="I213" s="224">
        <f>G197</f>
        <v>1.7299999999999999E-2</v>
      </c>
    </row>
    <row r="214" spans="2:10" ht="7" hidden="1" customHeight="1" x14ac:dyDescent="0.2"/>
    <row r="215" spans="2:10" hidden="1" x14ac:dyDescent="0.2">
      <c r="B215" s="48" t="s">
        <v>1015</v>
      </c>
      <c r="C215" s="49" t="s">
        <v>1016</v>
      </c>
      <c r="D215" s="49" t="s">
        <v>1013</v>
      </c>
      <c r="E215" s="49" t="s">
        <v>1019</v>
      </c>
      <c r="F215" s="49" t="s">
        <v>1020</v>
      </c>
      <c r="G215" s="50" t="s">
        <v>1021</v>
      </c>
      <c r="H215" s="5" t="s">
        <v>1022</v>
      </c>
      <c r="J215" s="388" t="s">
        <v>1264</v>
      </c>
    </row>
    <row r="216" spans="2:10" hidden="1" x14ac:dyDescent="0.2">
      <c r="B216" s="150">
        <v>1</v>
      </c>
      <c r="C216" s="164">
        <v>206272.26</v>
      </c>
      <c r="D216" s="164">
        <v>82970.44</v>
      </c>
      <c r="E216" s="164">
        <v>123301.82</v>
      </c>
      <c r="F216" s="164">
        <v>4795979.2</v>
      </c>
      <c r="G216" s="165">
        <v>4672677.38</v>
      </c>
      <c r="H216" s="164">
        <f>E216+D216</f>
        <v>206272.26</v>
      </c>
      <c r="I216" s="4">
        <v>2021</v>
      </c>
    </row>
    <row r="217" spans="2:10" hidden="1" x14ac:dyDescent="0.2">
      <c r="B217" s="150">
        <v>2</v>
      </c>
      <c r="C217" s="164">
        <v>206272.26</v>
      </c>
      <c r="D217" s="164">
        <v>80837.320000000007</v>
      </c>
      <c r="E217" s="164">
        <v>125434.94</v>
      </c>
      <c r="F217" s="164">
        <v>4672677.38</v>
      </c>
      <c r="G217" s="165">
        <v>4547242.4400000004</v>
      </c>
      <c r="H217" s="164">
        <f t="shared" ref="H217:H245" si="58">E217+D217</f>
        <v>206272.26</v>
      </c>
    </row>
    <row r="218" spans="2:10" hidden="1" x14ac:dyDescent="0.2">
      <c r="B218" s="150">
        <v>3</v>
      </c>
      <c r="C218" s="164">
        <v>206272.26</v>
      </c>
      <c r="D218" s="164">
        <v>78667.289999999994</v>
      </c>
      <c r="E218" s="164">
        <v>127604.97</v>
      </c>
      <c r="F218" s="164">
        <v>4547242.4400000004</v>
      </c>
      <c r="G218" s="165">
        <v>4419637.47</v>
      </c>
      <c r="H218" s="164">
        <f t="shared" si="58"/>
        <v>206272.26</v>
      </c>
    </row>
    <row r="219" spans="2:10" hidden="1" x14ac:dyDescent="0.2">
      <c r="B219" s="150">
        <v>4</v>
      </c>
      <c r="C219" s="164">
        <v>206272.26</v>
      </c>
      <c r="D219" s="164">
        <v>76459.73</v>
      </c>
      <c r="E219" s="164">
        <v>129812.53</v>
      </c>
      <c r="F219" s="164">
        <v>4419637.47</v>
      </c>
      <c r="G219" s="165">
        <v>4289824.9400000004</v>
      </c>
      <c r="H219" s="164">
        <f t="shared" si="58"/>
        <v>206272.26</v>
      </c>
    </row>
    <row r="220" spans="2:10" hidden="1" x14ac:dyDescent="0.2">
      <c r="B220" s="150">
        <v>5</v>
      </c>
      <c r="C220" s="164">
        <v>206272.26</v>
      </c>
      <c r="D220" s="164">
        <v>74213.97</v>
      </c>
      <c r="E220" s="164">
        <v>132058.29</v>
      </c>
      <c r="F220" s="164">
        <v>4289824.9400000004</v>
      </c>
      <c r="G220" s="165">
        <v>4157766.65</v>
      </c>
      <c r="H220" s="164">
        <f t="shared" si="58"/>
        <v>206272.26</v>
      </c>
    </row>
    <row r="221" spans="2:10" hidden="1" x14ac:dyDescent="0.2">
      <c r="B221" s="150">
        <v>6</v>
      </c>
      <c r="C221" s="164">
        <v>206272.26</v>
      </c>
      <c r="D221" s="164">
        <v>71929.36</v>
      </c>
      <c r="E221" s="164">
        <v>134342.9</v>
      </c>
      <c r="F221" s="164">
        <v>4157766.65</v>
      </c>
      <c r="G221" s="165">
        <v>4023423.75</v>
      </c>
      <c r="H221" s="164">
        <f t="shared" si="58"/>
        <v>206272.26</v>
      </c>
    </row>
    <row r="222" spans="2:10" hidden="1" x14ac:dyDescent="0.2">
      <c r="B222" s="150">
        <v>7</v>
      </c>
      <c r="C222" s="164">
        <v>206272.26</v>
      </c>
      <c r="D222" s="164">
        <v>69605.23</v>
      </c>
      <c r="E222" s="164">
        <v>136667.03</v>
      </c>
      <c r="F222" s="164">
        <v>4023423.75</v>
      </c>
      <c r="G222" s="165">
        <v>3886756.72</v>
      </c>
      <c r="H222" s="164">
        <f t="shared" si="58"/>
        <v>206272.26</v>
      </c>
    </row>
    <row r="223" spans="2:10" hidden="1" x14ac:dyDescent="0.2">
      <c r="B223" s="150">
        <v>8</v>
      </c>
      <c r="C223" s="164">
        <v>206272.26</v>
      </c>
      <c r="D223" s="164">
        <v>67240.89</v>
      </c>
      <c r="E223" s="164">
        <v>139031.37</v>
      </c>
      <c r="F223" s="164">
        <v>3886756.72</v>
      </c>
      <c r="G223" s="165">
        <v>3747725.35</v>
      </c>
      <c r="H223" s="164">
        <f t="shared" si="58"/>
        <v>206272.26</v>
      </c>
    </row>
    <row r="224" spans="2:10" hidden="1" x14ac:dyDescent="0.2">
      <c r="B224" s="150">
        <v>9</v>
      </c>
      <c r="C224" s="164">
        <v>206272.26</v>
      </c>
      <c r="D224" s="164">
        <v>64835.65</v>
      </c>
      <c r="E224" s="164">
        <v>141436.60999999999</v>
      </c>
      <c r="F224" s="164">
        <v>3747725.35</v>
      </c>
      <c r="G224" s="165">
        <v>3606288.74</v>
      </c>
      <c r="H224" s="164">
        <f t="shared" si="58"/>
        <v>206272.25999999998</v>
      </c>
    </row>
    <row r="225" spans="2:8" hidden="1" x14ac:dyDescent="0.2">
      <c r="B225" s="150">
        <v>10</v>
      </c>
      <c r="C225" s="164">
        <v>206272.26</v>
      </c>
      <c r="D225" s="164">
        <v>62388.800000000003</v>
      </c>
      <c r="E225" s="164">
        <v>143883.46</v>
      </c>
      <c r="F225" s="164">
        <v>3606288.74</v>
      </c>
      <c r="G225" s="165">
        <v>3462405.28</v>
      </c>
      <c r="H225" s="164">
        <f t="shared" si="58"/>
        <v>206272.26</v>
      </c>
    </row>
    <row r="226" spans="2:8" hidden="1" x14ac:dyDescent="0.2">
      <c r="B226" s="150">
        <v>11</v>
      </c>
      <c r="C226" s="164">
        <v>206272.26</v>
      </c>
      <c r="D226" s="164">
        <v>59899.61</v>
      </c>
      <c r="E226" s="164">
        <v>146372.65</v>
      </c>
      <c r="F226" s="164">
        <v>3462405.28</v>
      </c>
      <c r="G226" s="165">
        <v>3316032.63</v>
      </c>
      <c r="H226" s="164">
        <f t="shared" si="58"/>
        <v>206272.26</v>
      </c>
    </row>
    <row r="227" spans="2:8" hidden="1" x14ac:dyDescent="0.2">
      <c r="B227" s="150">
        <v>12</v>
      </c>
      <c r="C227" s="164">
        <v>206272.26</v>
      </c>
      <c r="D227" s="164">
        <v>57367.360000000001</v>
      </c>
      <c r="E227" s="164">
        <v>148904.9</v>
      </c>
      <c r="F227" s="164">
        <v>3316032.63</v>
      </c>
      <c r="G227" s="165">
        <v>3167127.73</v>
      </c>
      <c r="H227" s="164">
        <f t="shared" si="58"/>
        <v>206272.26</v>
      </c>
    </row>
    <row r="228" spans="2:8" hidden="1" x14ac:dyDescent="0.2">
      <c r="B228" s="150">
        <v>13</v>
      </c>
      <c r="C228" s="164">
        <v>206272.26</v>
      </c>
      <c r="D228" s="164">
        <v>54791.31</v>
      </c>
      <c r="E228" s="164">
        <v>151480.95000000001</v>
      </c>
      <c r="F228" s="164">
        <v>3167127.73</v>
      </c>
      <c r="G228" s="165">
        <v>3015646.78</v>
      </c>
      <c r="H228" s="164">
        <f t="shared" si="58"/>
        <v>206272.26</v>
      </c>
    </row>
    <row r="229" spans="2:8" hidden="1" x14ac:dyDescent="0.2">
      <c r="B229" s="150">
        <v>14</v>
      </c>
      <c r="C229" s="164">
        <v>206272.26</v>
      </c>
      <c r="D229" s="164">
        <v>52170.69</v>
      </c>
      <c r="E229" s="164">
        <v>154101.57</v>
      </c>
      <c r="F229" s="164">
        <v>3015646.78</v>
      </c>
      <c r="G229" s="165">
        <v>2861545.21</v>
      </c>
      <c r="H229" s="164">
        <f t="shared" si="58"/>
        <v>206272.26</v>
      </c>
    </row>
    <row r="230" spans="2:8" hidden="1" x14ac:dyDescent="0.2">
      <c r="B230" s="150">
        <v>15</v>
      </c>
      <c r="C230" s="164">
        <v>206272.26</v>
      </c>
      <c r="D230" s="164">
        <v>49504.73</v>
      </c>
      <c r="E230" s="164">
        <v>156767.53</v>
      </c>
      <c r="F230" s="164">
        <v>2861545.21</v>
      </c>
      <c r="G230" s="165">
        <v>2704777.68</v>
      </c>
      <c r="H230" s="164">
        <f t="shared" si="58"/>
        <v>206272.26</v>
      </c>
    </row>
    <row r="231" spans="2:8" hidden="1" x14ac:dyDescent="0.2">
      <c r="B231" s="150">
        <v>16</v>
      </c>
      <c r="C231" s="164">
        <v>206272.26</v>
      </c>
      <c r="D231" s="164">
        <v>46792.65</v>
      </c>
      <c r="E231" s="164">
        <v>159479.60999999999</v>
      </c>
      <c r="F231" s="164">
        <v>2704777.68</v>
      </c>
      <c r="G231" s="165">
        <v>2545298.0699999998</v>
      </c>
      <c r="H231" s="164">
        <f t="shared" si="58"/>
        <v>206272.25999999998</v>
      </c>
    </row>
    <row r="232" spans="2:8" hidden="1" x14ac:dyDescent="0.2">
      <c r="B232" s="150">
        <v>17</v>
      </c>
      <c r="C232" s="164">
        <v>206272.26</v>
      </c>
      <c r="D232" s="164">
        <v>44033.66</v>
      </c>
      <c r="E232" s="164">
        <v>162238.6</v>
      </c>
      <c r="F232" s="164">
        <v>2545298.0699999998</v>
      </c>
      <c r="G232" s="165">
        <v>2383059.4700000002</v>
      </c>
      <c r="H232" s="164">
        <f t="shared" si="58"/>
        <v>206272.26</v>
      </c>
    </row>
    <row r="233" spans="2:8" hidden="1" x14ac:dyDescent="0.2">
      <c r="B233" s="150">
        <v>18</v>
      </c>
      <c r="C233" s="164">
        <v>206272.26</v>
      </c>
      <c r="D233" s="164">
        <v>41226.93</v>
      </c>
      <c r="E233" s="164">
        <v>165045.32999999999</v>
      </c>
      <c r="F233" s="164">
        <v>2383059.4700000002</v>
      </c>
      <c r="G233" s="165">
        <v>2218014.14</v>
      </c>
      <c r="H233" s="164">
        <f t="shared" si="58"/>
        <v>206272.25999999998</v>
      </c>
    </row>
    <row r="234" spans="2:8" hidden="1" x14ac:dyDescent="0.2">
      <c r="B234" s="150">
        <v>19</v>
      </c>
      <c r="C234" s="164">
        <v>206272.26</v>
      </c>
      <c r="D234" s="164">
        <v>38371.64</v>
      </c>
      <c r="E234" s="164">
        <v>167900.62</v>
      </c>
      <c r="F234" s="164">
        <v>2218014.14</v>
      </c>
      <c r="G234" s="165">
        <v>2050113.52</v>
      </c>
      <c r="H234" s="164">
        <f t="shared" si="58"/>
        <v>206272.26</v>
      </c>
    </row>
    <row r="235" spans="2:8" hidden="1" x14ac:dyDescent="0.2">
      <c r="B235" s="150">
        <v>20</v>
      </c>
      <c r="C235" s="164">
        <v>206272.26</v>
      </c>
      <c r="D235" s="164">
        <v>35466.959999999999</v>
      </c>
      <c r="E235" s="164">
        <v>170805.3</v>
      </c>
      <c r="F235" s="164">
        <v>2050113.52</v>
      </c>
      <c r="G235" s="165">
        <v>1879308.22</v>
      </c>
      <c r="H235" s="164">
        <f t="shared" si="58"/>
        <v>206272.25999999998</v>
      </c>
    </row>
    <row r="236" spans="2:8" hidden="1" x14ac:dyDescent="0.2">
      <c r="B236" s="150">
        <v>21</v>
      </c>
      <c r="C236" s="164">
        <v>206272.26</v>
      </c>
      <c r="D236" s="164">
        <v>32512.03</v>
      </c>
      <c r="E236" s="164">
        <v>173760.23</v>
      </c>
      <c r="F236" s="164">
        <v>1879308.22</v>
      </c>
      <c r="G236" s="165">
        <v>1705547.99</v>
      </c>
      <c r="H236" s="164">
        <f t="shared" si="58"/>
        <v>206272.26</v>
      </c>
    </row>
    <row r="237" spans="2:8" hidden="1" x14ac:dyDescent="0.2">
      <c r="B237" s="150">
        <v>22</v>
      </c>
      <c r="C237" s="164">
        <v>206272.26</v>
      </c>
      <c r="D237" s="164">
        <v>29505.98</v>
      </c>
      <c r="E237" s="164">
        <v>176766.28</v>
      </c>
      <c r="F237" s="164">
        <v>1705547.99</v>
      </c>
      <c r="G237" s="165">
        <v>1528781.71</v>
      </c>
      <c r="H237" s="164">
        <f t="shared" si="58"/>
        <v>206272.26</v>
      </c>
    </row>
    <row r="238" spans="2:8" hidden="1" x14ac:dyDescent="0.2">
      <c r="B238" s="150">
        <v>23</v>
      </c>
      <c r="C238" s="164">
        <v>206272.26</v>
      </c>
      <c r="D238" s="164">
        <v>26447.919999999998</v>
      </c>
      <c r="E238" s="164">
        <v>179824.34</v>
      </c>
      <c r="F238" s="164">
        <v>1528781.71</v>
      </c>
      <c r="G238" s="165">
        <v>1348957.37</v>
      </c>
      <c r="H238" s="164">
        <f t="shared" si="58"/>
        <v>206272.26</v>
      </c>
    </row>
    <row r="239" spans="2:8" hidden="1" x14ac:dyDescent="0.2">
      <c r="B239" s="150">
        <v>24</v>
      </c>
      <c r="C239" s="164">
        <v>206272.26</v>
      </c>
      <c r="D239" s="164">
        <v>23336.959999999999</v>
      </c>
      <c r="E239" s="164">
        <v>182935.3</v>
      </c>
      <c r="F239" s="164">
        <v>1348957.37</v>
      </c>
      <c r="G239" s="165">
        <v>1166022.07</v>
      </c>
      <c r="H239" s="164">
        <f t="shared" si="58"/>
        <v>206272.25999999998</v>
      </c>
    </row>
    <row r="240" spans="2:8" hidden="1" x14ac:dyDescent="0.2">
      <c r="B240" s="150">
        <v>25</v>
      </c>
      <c r="C240" s="164">
        <v>206272.26</v>
      </c>
      <c r="D240" s="164">
        <v>20172.18</v>
      </c>
      <c r="E240" s="164">
        <v>186100.08</v>
      </c>
      <c r="F240" s="164">
        <v>1166022.07</v>
      </c>
      <c r="G240" s="165">
        <v>979921.99</v>
      </c>
      <c r="H240" s="164">
        <f t="shared" si="58"/>
        <v>206272.25999999998</v>
      </c>
    </row>
    <row r="241" spans="2:10" hidden="1" x14ac:dyDescent="0.2">
      <c r="B241" s="150">
        <v>26</v>
      </c>
      <c r="C241" s="164">
        <v>206272.26</v>
      </c>
      <c r="D241" s="164">
        <v>16952.650000000001</v>
      </c>
      <c r="E241" s="164">
        <v>189319.61</v>
      </c>
      <c r="F241" s="164">
        <v>979921.99</v>
      </c>
      <c r="G241" s="165">
        <v>790602.38</v>
      </c>
      <c r="H241" s="164">
        <f t="shared" si="58"/>
        <v>206272.25999999998</v>
      </c>
    </row>
    <row r="242" spans="2:10" hidden="1" x14ac:dyDescent="0.2">
      <c r="B242" s="150">
        <v>27</v>
      </c>
      <c r="C242" s="164">
        <v>206272.26</v>
      </c>
      <c r="D242" s="164">
        <v>13677.42</v>
      </c>
      <c r="E242" s="164">
        <v>192594.84</v>
      </c>
      <c r="F242" s="164">
        <v>790602.38</v>
      </c>
      <c r="G242" s="165">
        <v>598007.54</v>
      </c>
      <c r="H242" s="164">
        <f t="shared" si="58"/>
        <v>206272.26</v>
      </c>
    </row>
    <row r="243" spans="2:10" hidden="1" x14ac:dyDescent="0.2">
      <c r="B243" s="150">
        <v>28</v>
      </c>
      <c r="C243" s="164">
        <v>206272.26</v>
      </c>
      <c r="D243" s="164">
        <v>10345.530000000001</v>
      </c>
      <c r="E243" s="164">
        <v>195926.73</v>
      </c>
      <c r="F243" s="164">
        <v>598007.54</v>
      </c>
      <c r="G243" s="165">
        <v>402080.81</v>
      </c>
      <c r="H243" s="164">
        <f t="shared" si="58"/>
        <v>206272.26</v>
      </c>
    </row>
    <row r="244" spans="2:10" hidden="1" x14ac:dyDescent="0.2">
      <c r="B244" s="150">
        <v>29</v>
      </c>
      <c r="C244" s="164">
        <v>206272.26</v>
      </c>
      <c r="D244" s="164">
        <v>6956</v>
      </c>
      <c r="E244" s="164">
        <v>199316.26</v>
      </c>
      <c r="F244" s="164">
        <v>402080.81</v>
      </c>
      <c r="G244" s="165">
        <v>202764.55</v>
      </c>
      <c r="H244" s="164">
        <f t="shared" si="58"/>
        <v>206272.26</v>
      </c>
    </row>
    <row r="245" spans="2:10" hidden="1" x14ac:dyDescent="0.2">
      <c r="B245" s="136">
        <v>30</v>
      </c>
      <c r="C245" s="166">
        <v>206272.26</v>
      </c>
      <c r="D245" s="166">
        <v>3507.83</v>
      </c>
      <c r="E245" s="166">
        <v>202764.43</v>
      </c>
      <c r="F245" s="166">
        <v>202764.55</v>
      </c>
      <c r="G245" s="167">
        <v>0</v>
      </c>
      <c r="H245" s="164">
        <f t="shared" si="58"/>
        <v>206272.25999999998</v>
      </c>
    </row>
    <row r="246" spans="2:10" hidden="1" x14ac:dyDescent="0.2"/>
    <row r="247" spans="2:10" hidden="1" x14ac:dyDescent="0.2"/>
    <row r="248" spans="2:10" hidden="1" x14ac:dyDescent="0.2"/>
    <row r="249" spans="2:10" hidden="1" x14ac:dyDescent="0.2">
      <c r="B249" s="48" t="s">
        <v>1014</v>
      </c>
      <c r="C249" s="49" t="s">
        <v>1006</v>
      </c>
      <c r="D249" s="49" t="str">
        <f>B198</f>
        <v>Terreno o fabbricato 3</v>
      </c>
      <c r="E249" s="223"/>
      <c r="F249" s="223" t="s">
        <v>1017</v>
      </c>
      <c r="G249" s="223" t="s">
        <v>1018</v>
      </c>
      <c r="H249" s="223">
        <f>H198</f>
        <v>26</v>
      </c>
      <c r="I249" s="224">
        <f>G198</f>
        <v>1.6E-2</v>
      </c>
    </row>
    <row r="250" spans="2:10" hidden="1" x14ac:dyDescent="0.2"/>
    <row r="251" spans="2:10" hidden="1" x14ac:dyDescent="0.2">
      <c r="B251" s="48" t="s">
        <v>1015</v>
      </c>
      <c r="C251" s="49" t="s">
        <v>1016</v>
      </c>
      <c r="D251" s="49" t="s">
        <v>1013</v>
      </c>
      <c r="E251" s="49" t="s">
        <v>1019</v>
      </c>
      <c r="F251" s="49" t="s">
        <v>1020</v>
      </c>
      <c r="G251" s="50" t="s">
        <v>1021</v>
      </c>
      <c r="H251" s="5" t="s">
        <v>1022</v>
      </c>
      <c r="J251" s="388" t="s">
        <v>1264</v>
      </c>
    </row>
    <row r="252" spans="2:10" hidden="1" x14ac:dyDescent="0.2">
      <c r="B252" s="150">
        <v>1</v>
      </c>
      <c r="C252" s="164">
        <v>15955.7</v>
      </c>
      <c r="D252" s="164">
        <v>5395.32</v>
      </c>
      <c r="E252" s="164">
        <v>10560.38</v>
      </c>
      <c r="F252" s="164">
        <v>337207.58</v>
      </c>
      <c r="G252" s="165">
        <v>326647.2</v>
      </c>
      <c r="H252" s="164">
        <f>E252+D252</f>
        <v>15955.699999999999</v>
      </c>
      <c r="I252" s="4">
        <v>2022</v>
      </c>
    </row>
    <row r="253" spans="2:10" hidden="1" x14ac:dyDescent="0.2">
      <c r="B253" s="150">
        <v>2</v>
      </c>
      <c r="C253" s="164">
        <v>15955.7</v>
      </c>
      <c r="D253" s="164">
        <v>5226.3599999999997</v>
      </c>
      <c r="E253" s="164">
        <v>10729.34</v>
      </c>
      <c r="F253" s="164">
        <v>326647.2</v>
      </c>
      <c r="G253" s="165">
        <v>315917.86</v>
      </c>
      <c r="H253" s="164">
        <f t="shared" ref="H253:H277" si="59">E253+D253</f>
        <v>15955.7</v>
      </c>
    </row>
    <row r="254" spans="2:10" hidden="1" x14ac:dyDescent="0.2">
      <c r="B254" s="150">
        <v>3</v>
      </c>
      <c r="C254" s="164">
        <v>15955.7</v>
      </c>
      <c r="D254" s="164">
        <v>5054.6899999999996</v>
      </c>
      <c r="E254" s="164">
        <v>10901.01</v>
      </c>
      <c r="F254" s="164">
        <v>315917.86</v>
      </c>
      <c r="G254" s="165">
        <v>305016.84999999998</v>
      </c>
      <c r="H254" s="164">
        <f t="shared" si="59"/>
        <v>15955.7</v>
      </c>
    </row>
    <row r="255" spans="2:10" hidden="1" x14ac:dyDescent="0.2">
      <c r="B255" s="150">
        <v>4</v>
      </c>
      <c r="C255" s="164">
        <v>15955.7</v>
      </c>
      <c r="D255" s="164">
        <v>4880.2700000000004</v>
      </c>
      <c r="E255" s="164">
        <v>11075.43</v>
      </c>
      <c r="F255" s="164">
        <v>305016.84999999998</v>
      </c>
      <c r="G255" s="165">
        <v>293941.42</v>
      </c>
      <c r="H255" s="164">
        <f t="shared" si="59"/>
        <v>15955.7</v>
      </c>
    </row>
    <row r="256" spans="2:10" hidden="1" x14ac:dyDescent="0.2">
      <c r="B256" s="150">
        <v>5</v>
      </c>
      <c r="C256" s="164">
        <v>15955.7</v>
      </c>
      <c r="D256" s="164">
        <v>4703.0600000000004</v>
      </c>
      <c r="E256" s="164">
        <v>11252.64</v>
      </c>
      <c r="F256" s="164">
        <v>293941.42</v>
      </c>
      <c r="G256" s="165">
        <v>282688.78000000003</v>
      </c>
      <c r="H256" s="164">
        <f t="shared" si="59"/>
        <v>15955.7</v>
      </c>
    </row>
    <row r="257" spans="2:8" hidden="1" x14ac:dyDescent="0.2">
      <c r="B257" s="150">
        <v>6</v>
      </c>
      <c r="C257" s="164">
        <v>15955.7</v>
      </c>
      <c r="D257" s="164">
        <v>4523.0200000000004</v>
      </c>
      <c r="E257" s="164">
        <v>11432.68</v>
      </c>
      <c r="F257" s="164">
        <v>282688.78000000003</v>
      </c>
      <c r="G257" s="165">
        <v>271256.09999999998</v>
      </c>
      <c r="H257" s="164">
        <f t="shared" si="59"/>
        <v>15955.7</v>
      </c>
    </row>
    <row r="258" spans="2:8" hidden="1" x14ac:dyDescent="0.2">
      <c r="B258" s="150">
        <v>7</v>
      </c>
      <c r="C258" s="164">
        <v>15955.7</v>
      </c>
      <c r="D258" s="164">
        <v>4340.1000000000004</v>
      </c>
      <c r="E258" s="164">
        <v>11615.6</v>
      </c>
      <c r="F258" s="164">
        <v>271256.09999999998</v>
      </c>
      <c r="G258" s="165">
        <v>259640.5</v>
      </c>
      <c r="H258" s="164">
        <f t="shared" si="59"/>
        <v>15955.7</v>
      </c>
    </row>
    <row r="259" spans="2:8" hidden="1" x14ac:dyDescent="0.2">
      <c r="B259" s="150">
        <v>8</v>
      </c>
      <c r="C259" s="164">
        <v>15955.7</v>
      </c>
      <c r="D259" s="164">
        <v>4154.25</v>
      </c>
      <c r="E259" s="164">
        <v>11801.45</v>
      </c>
      <c r="F259" s="164">
        <v>259640.5</v>
      </c>
      <c r="G259" s="165">
        <v>247839.05</v>
      </c>
      <c r="H259" s="164">
        <f t="shared" si="59"/>
        <v>15955.7</v>
      </c>
    </row>
    <row r="260" spans="2:8" hidden="1" x14ac:dyDescent="0.2">
      <c r="B260" s="150">
        <v>9</v>
      </c>
      <c r="C260" s="164">
        <v>15955.7</v>
      </c>
      <c r="D260" s="164">
        <v>3965.42</v>
      </c>
      <c r="E260" s="164">
        <v>11990.28</v>
      </c>
      <c r="F260" s="164">
        <v>247839.05</v>
      </c>
      <c r="G260" s="165">
        <v>235848.77</v>
      </c>
      <c r="H260" s="164">
        <f t="shared" si="59"/>
        <v>15955.7</v>
      </c>
    </row>
    <row r="261" spans="2:8" hidden="1" x14ac:dyDescent="0.2">
      <c r="B261" s="150">
        <v>10</v>
      </c>
      <c r="C261" s="164">
        <v>15955.7</v>
      </c>
      <c r="D261" s="164">
        <v>3773.58</v>
      </c>
      <c r="E261" s="164">
        <v>12182.12</v>
      </c>
      <c r="F261" s="164">
        <v>235848.77</v>
      </c>
      <c r="G261" s="165">
        <v>223666.65</v>
      </c>
      <c r="H261" s="164">
        <f t="shared" si="59"/>
        <v>15955.7</v>
      </c>
    </row>
    <row r="262" spans="2:8" hidden="1" x14ac:dyDescent="0.2">
      <c r="B262" s="150">
        <v>11</v>
      </c>
      <c r="C262" s="164">
        <v>15955.7</v>
      </c>
      <c r="D262" s="164">
        <v>3578.67</v>
      </c>
      <c r="E262" s="164">
        <v>12377.03</v>
      </c>
      <c r="F262" s="164">
        <v>223666.65</v>
      </c>
      <c r="G262" s="165">
        <v>211289.62</v>
      </c>
      <c r="H262" s="164">
        <f t="shared" si="59"/>
        <v>15955.7</v>
      </c>
    </row>
    <row r="263" spans="2:8" hidden="1" x14ac:dyDescent="0.2">
      <c r="B263" s="150">
        <v>12</v>
      </c>
      <c r="C263" s="164">
        <v>15955.7</v>
      </c>
      <c r="D263" s="164">
        <v>3380.63</v>
      </c>
      <c r="E263" s="164">
        <v>12575.07</v>
      </c>
      <c r="F263" s="164">
        <v>211289.62</v>
      </c>
      <c r="G263" s="165">
        <v>198714.55</v>
      </c>
      <c r="H263" s="164">
        <f t="shared" si="59"/>
        <v>15955.7</v>
      </c>
    </row>
    <row r="264" spans="2:8" hidden="1" x14ac:dyDescent="0.2">
      <c r="B264" s="150">
        <v>13</v>
      </c>
      <c r="C264" s="164">
        <v>15955.7</v>
      </c>
      <c r="D264" s="164">
        <v>3179.43</v>
      </c>
      <c r="E264" s="164">
        <v>12776.27</v>
      </c>
      <c r="F264" s="164">
        <v>198714.55</v>
      </c>
      <c r="G264" s="165">
        <v>185938.28</v>
      </c>
      <c r="H264" s="164">
        <f t="shared" si="59"/>
        <v>15955.7</v>
      </c>
    </row>
    <row r="265" spans="2:8" hidden="1" x14ac:dyDescent="0.2">
      <c r="B265" s="150">
        <v>14</v>
      </c>
      <c r="C265" s="164">
        <v>15955.7</v>
      </c>
      <c r="D265" s="164">
        <v>2975.01</v>
      </c>
      <c r="E265" s="164">
        <v>12980.69</v>
      </c>
      <c r="F265" s="164">
        <v>185938.28</v>
      </c>
      <c r="G265" s="165">
        <v>172957.59</v>
      </c>
      <c r="H265" s="164">
        <f t="shared" si="59"/>
        <v>15955.7</v>
      </c>
    </row>
    <row r="266" spans="2:8" hidden="1" x14ac:dyDescent="0.2">
      <c r="B266" s="150">
        <v>15</v>
      </c>
      <c r="C266" s="164">
        <v>15955.7</v>
      </c>
      <c r="D266" s="164">
        <v>2767.32</v>
      </c>
      <c r="E266" s="164">
        <v>13188.38</v>
      </c>
      <c r="F266" s="164">
        <v>172957.59</v>
      </c>
      <c r="G266" s="165">
        <v>159769.21</v>
      </c>
      <c r="H266" s="164">
        <f t="shared" si="59"/>
        <v>15955.699999999999</v>
      </c>
    </row>
    <row r="267" spans="2:8" hidden="1" x14ac:dyDescent="0.2">
      <c r="B267" s="150">
        <v>16</v>
      </c>
      <c r="C267" s="164">
        <v>15955.7</v>
      </c>
      <c r="D267" s="164">
        <v>2556.31</v>
      </c>
      <c r="E267" s="164">
        <v>13399.39</v>
      </c>
      <c r="F267" s="164">
        <v>159769.21</v>
      </c>
      <c r="G267" s="165">
        <v>146369.82</v>
      </c>
      <c r="H267" s="164">
        <f t="shared" si="59"/>
        <v>15955.699999999999</v>
      </c>
    </row>
    <row r="268" spans="2:8" hidden="1" x14ac:dyDescent="0.2">
      <c r="B268" s="150">
        <v>17</v>
      </c>
      <c r="C268" s="164">
        <v>15955.7</v>
      </c>
      <c r="D268" s="164">
        <v>2341.92</v>
      </c>
      <c r="E268" s="164">
        <v>13613.78</v>
      </c>
      <c r="F268" s="164">
        <v>146369.82</v>
      </c>
      <c r="G268" s="165">
        <v>132756.04</v>
      </c>
      <c r="H268" s="164">
        <f t="shared" si="59"/>
        <v>15955.7</v>
      </c>
    </row>
    <row r="269" spans="2:8" hidden="1" x14ac:dyDescent="0.2">
      <c r="B269" s="150">
        <v>18</v>
      </c>
      <c r="C269" s="164">
        <v>15955.7</v>
      </c>
      <c r="D269" s="164">
        <v>2124.1</v>
      </c>
      <c r="E269" s="164">
        <v>13831.6</v>
      </c>
      <c r="F269" s="164">
        <v>132756.04</v>
      </c>
      <c r="G269" s="165">
        <v>118924.44</v>
      </c>
      <c r="H269" s="164">
        <f t="shared" si="59"/>
        <v>15955.7</v>
      </c>
    </row>
    <row r="270" spans="2:8" hidden="1" x14ac:dyDescent="0.2">
      <c r="B270" s="150">
        <v>19</v>
      </c>
      <c r="C270" s="164">
        <v>15955.7</v>
      </c>
      <c r="D270" s="164">
        <v>1902.79</v>
      </c>
      <c r="E270" s="164">
        <v>14052.91</v>
      </c>
      <c r="F270" s="164">
        <v>118924.44</v>
      </c>
      <c r="G270" s="165">
        <v>104871.53</v>
      </c>
      <c r="H270" s="164">
        <f t="shared" si="59"/>
        <v>15955.7</v>
      </c>
    </row>
    <row r="271" spans="2:8" hidden="1" x14ac:dyDescent="0.2">
      <c r="B271" s="150">
        <v>20</v>
      </c>
      <c r="C271" s="164">
        <v>15955.7</v>
      </c>
      <c r="D271" s="164">
        <v>1677.94</v>
      </c>
      <c r="E271" s="164">
        <v>14277.76</v>
      </c>
      <c r="F271" s="164">
        <v>104871.53</v>
      </c>
      <c r="G271" s="165">
        <v>90593.77</v>
      </c>
      <c r="H271" s="164">
        <f t="shared" si="59"/>
        <v>15955.7</v>
      </c>
    </row>
    <row r="272" spans="2:8" hidden="1" x14ac:dyDescent="0.2">
      <c r="B272" s="150">
        <v>21</v>
      </c>
      <c r="C272" s="164">
        <v>15955.7</v>
      </c>
      <c r="D272" s="164">
        <v>1449.5</v>
      </c>
      <c r="E272" s="164">
        <v>14506.2</v>
      </c>
      <c r="F272" s="164">
        <v>90593.77</v>
      </c>
      <c r="G272" s="165">
        <v>76087.570000000007</v>
      </c>
      <c r="H272" s="164">
        <f t="shared" si="59"/>
        <v>15955.7</v>
      </c>
    </row>
    <row r="273" spans="2:10" hidden="1" x14ac:dyDescent="0.2">
      <c r="B273" s="150">
        <v>22</v>
      </c>
      <c r="C273" s="164">
        <v>15955.7</v>
      </c>
      <c r="D273" s="164">
        <v>1217.4000000000001</v>
      </c>
      <c r="E273" s="164">
        <v>14738.3</v>
      </c>
      <c r="F273" s="164">
        <v>76087.570000000007</v>
      </c>
      <c r="G273" s="165">
        <v>61349.27</v>
      </c>
      <c r="H273" s="164">
        <f t="shared" si="59"/>
        <v>15955.699999999999</v>
      </c>
    </row>
    <row r="274" spans="2:10" hidden="1" x14ac:dyDescent="0.2">
      <c r="B274" s="150">
        <v>23</v>
      </c>
      <c r="C274" s="164">
        <v>15955.7</v>
      </c>
      <c r="D274" s="164">
        <v>981.59</v>
      </c>
      <c r="E274" s="164">
        <v>14974.11</v>
      </c>
      <c r="F274" s="164">
        <v>61349.27</v>
      </c>
      <c r="G274" s="165">
        <v>46375.16</v>
      </c>
      <c r="H274" s="164">
        <f t="shared" si="59"/>
        <v>15955.7</v>
      </c>
    </row>
    <row r="275" spans="2:10" hidden="1" x14ac:dyDescent="0.2">
      <c r="B275" s="150">
        <v>24</v>
      </c>
      <c r="C275" s="164">
        <v>15955.7</v>
      </c>
      <c r="D275" s="164">
        <v>742</v>
      </c>
      <c r="E275" s="164">
        <v>15213.7</v>
      </c>
      <c r="F275" s="164">
        <v>46375.16</v>
      </c>
      <c r="G275" s="165">
        <v>31161.46</v>
      </c>
      <c r="H275" s="164">
        <f t="shared" si="59"/>
        <v>15955.7</v>
      </c>
    </row>
    <row r="276" spans="2:10" hidden="1" x14ac:dyDescent="0.2">
      <c r="B276" s="150">
        <v>25</v>
      </c>
      <c r="C276" s="164">
        <v>15955.7</v>
      </c>
      <c r="D276" s="164">
        <v>498.58</v>
      </c>
      <c r="E276" s="164">
        <v>15457.12</v>
      </c>
      <c r="F276" s="164">
        <v>31161.46</v>
      </c>
      <c r="G276" s="165">
        <v>15704.34</v>
      </c>
      <c r="H276" s="164">
        <f t="shared" si="59"/>
        <v>15955.7</v>
      </c>
    </row>
    <row r="277" spans="2:10" hidden="1" x14ac:dyDescent="0.2">
      <c r="B277" s="136">
        <v>26</v>
      </c>
      <c r="C277" s="166">
        <v>15955.7</v>
      </c>
      <c r="D277" s="166">
        <v>251.27</v>
      </c>
      <c r="E277" s="166">
        <v>15704.43</v>
      </c>
      <c r="F277" s="166">
        <v>15704.34</v>
      </c>
      <c r="G277" s="167">
        <v>0</v>
      </c>
      <c r="H277" s="164">
        <f t="shared" si="59"/>
        <v>15955.7</v>
      </c>
    </row>
    <row r="278" spans="2:10" hidden="1" x14ac:dyDescent="0.2"/>
    <row r="279" spans="2:10" hidden="1" x14ac:dyDescent="0.2"/>
    <row r="280" spans="2:10" hidden="1" x14ac:dyDescent="0.2"/>
    <row r="281" spans="2:10" hidden="1" x14ac:dyDescent="0.2">
      <c r="B281" s="48" t="s">
        <v>1014</v>
      </c>
      <c r="C281" s="49" t="s">
        <v>1007</v>
      </c>
      <c r="D281" s="49" t="str">
        <f>B199</f>
        <v>Impianto 2</v>
      </c>
      <c r="E281" s="223"/>
      <c r="F281" s="223" t="s">
        <v>1017</v>
      </c>
      <c r="G281" s="223" t="s">
        <v>1018</v>
      </c>
      <c r="H281" s="223">
        <f>H199</f>
        <v>30</v>
      </c>
      <c r="I281" s="224">
        <f>G199</f>
        <v>2.4400000000000002E-2</v>
      </c>
    </row>
    <row r="282" spans="2:10" ht="7" hidden="1" customHeight="1" x14ac:dyDescent="0.2"/>
    <row r="283" spans="2:10" hidden="1" x14ac:dyDescent="0.2">
      <c r="B283" s="48" t="s">
        <v>1015</v>
      </c>
      <c r="C283" s="49" t="s">
        <v>1016</v>
      </c>
      <c r="D283" s="49" t="s">
        <v>1013</v>
      </c>
      <c r="E283" s="49" t="s">
        <v>1019</v>
      </c>
      <c r="F283" s="49" t="s">
        <v>1020</v>
      </c>
      <c r="G283" s="50" t="s">
        <v>1021</v>
      </c>
      <c r="H283" s="5" t="s">
        <v>1022</v>
      </c>
      <c r="J283" s="388" t="s">
        <v>1264</v>
      </c>
    </row>
    <row r="284" spans="2:10" hidden="1" x14ac:dyDescent="0.2">
      <c r="B284" s="150">
        <v>1</v>
      </c>
      <c r="C284" s="164">
        <v>52653.74</v>
      </c>
      <c r="D284" s="164">
        <v>27106.61</v>
      </c>
      <c r="E284" s="164">
        <v>25547.13</v>
      </c>
      <c r="F284" s="164">
        <v>1110926.7</v>
      </c>
      <c r="G284" s="165">
        <v>1085379.57</v>
      </c>
      <c r="H284" s="164">
        <f>E284+D284</f>
        <v>52653.740000000005</v>
      </c>
      <c r="I284" s="57">
        <v>2020</v>
      </c>
    </row>
    <row r="285" spans="2:10" hidden="1" x14ac:dyDescent="0.2">
      <c r="B285" s="150">
        <v>2</v>
      </c>
      <c r="C285" s="164">
        <v>52653.74</v>
      </c>
      <c r="D285" s="164">
        <v>26483.26</v>
      </c>
      <c r="E285" s="164">
        <v>26170.48</v>
      </c>
      <c r="F285" s="164">
        <v>1085379.57</v>
      </c>
      <c r="G285" s="165">
        <v>1059209.0900000001</v>
      </c>
      <c r="H285" s="164">
        <f t="shared" ref="H285:H313" si="60">E285+D285</f>
        <v>52653.74</v>
      </c>
    </row>
    <row r="286" spans="2:10" hidden="1" x14ac:dyDescent="0.2">
      <c r="B286" s="150">
        <v>3</v>
      </c>
      <c r="C286" s="164">
        <v>52653.74</v>
      </c>
      <c r="D286" s="164">
        <v>25844.7</v>
      </c>
      <c r="E286" s="164">
        <v>26809.040000000001</v>
      </c>
      <c r="F286" s="164">
        <v>1059209.0900000001</v>
      </c>
      <c r="G286" s="165">
        <v>1032400.05</v>
      </c>
      <c r="H286" s="164">
        <f t="shared" si="60"/>
        <v>52653.740000000005</v>
      </c>
    </row>
    <row r="287" spans="2:10" hidden="1" x14ac:dyDescent="0.2">
      <c r="B287" s="150">
        <v>4</v>
      </c>
      <c r="C287" s="164">
        <v>52653.74</v>
      </c>
      <c r="D287" s="164">
        <v>25190.560000000001</v>
      </c>
      <c r="E287" s="164">
        <v>27463.18</v>
      </c>
      <c r="F287" s="164">
        <v>1032400.05</v>
      </c>
      <c r="G287" s="165">
        <v>1004936.87</v>
      </c>
      <c r="H287" s="164">
        <f t="shared" si="60"/>
        <v>52653.740000000005</v>
      </c>
    </row>
    <row r="288" spans="2:10" hidden="1" x14ac:dyDescent="0.2">
      <c r="B288" s="150">
        <v>5</v>
      </c>
      <c r="C288" s="164">
        <v>52653.74</v>
      </c>
      <c r="D288" s="164">
        <v>24520.46</v>
      </c>
      <c r="E288" s="164">
        <v>28133.279999999999</v>
      </c>
      <c r="F288" s="164">
        <v>1004936.87</v>
      </c>
      <c r="G288" s="165">
        <v>976803.59</v>
      </c>
      <c r="H288" s="164">
        <f t="shared" si="60"/>
        <v>52653.74</v>
      </c>
    </row>
    <row r="289" spans="2:8" hidden="1" x14ac:dyDescent="0.2">
      <c r="B289" s="150">
        <v>6</v>
      </c>
      <c r="C289" s="164">
        <v>52653.74</v>
      </c>
      <c r="D289" s="164">
        <v>23834.01</v>
      </c>
      <c r="E289" s="164">
        <v>28819.73</v>
      </c>
      <c r="F289" s="164">
        <v>976803.59</v>
      </c>
      <c r="G289" s="165">
        <v>947983.86</v>
      </c>
      <c r="H289" s="164">
        <f t="shared" si="60"/>
        <v>52653.74</v>
      </c>
    </row>
    <row r="290" spans="2:8" hidden="1" x14ac:dyDescent="0.2">
      <c r="B290" s="150">
        <v>7</v>
      </c>
      <c r="C290" s="164">
        <v>52653.74</v>
      </c>
      <c r="D290" s="164">
        <v>23130.81</v>
      </c>
      <c r="E290" s="164">
        <v>29522.93</v>
      </c>
      <c r="F290" s="164">
        <v>947983.86</v>
      </c>
      <c r="G290" s="165">
        <v>918460.93</v>
      </c>
      <c r="H290" s="164">
        <f t="shared" si="60"/>
        <v>52653.740000000005</v>
      </c>
    </row>
    <row r="291" spans="2:8" hidden="1" x14ac:dyDescent="0.2">
      <c r="B291" s="150">
        <v>8</v>
      </c>
      <c r="C291" s="164">
        <v>52653.74</v>
      </c>
      <c r="D291" s="164">
        <v>22410.45</v>
      </c>
      <c r="E291" s="164">
        <v>30243.29</v>
      </c>
      <c r="F291" s="164">
        <v>918460.93</v>
      </c>
      <c r="G291" s="165">
        <v>888217.64</v>
      </c>
      <c r="H291" s="164">
        <f t="shared" si="60"/>
        <v>52653.740000000005</v>
      </c>
    </row>
    <row r="292" spans="2:8" hidden="1" x14ac:dyDescent="0.2">
      <c r="B292" s="150">
        <v>9</v>
      </c>
      <c r="C292" s="164">
        <v>52653.74</v>
      </c>
      <c r="D292" s="164">
        <v>21672.51</v>
      </c>
      <c r="E292" s="164">
        <v>30981.23</v>
      </c>
      <c r="F292" s="164">
        <v>888217.64</v>
      </c>
      <c r="G292" s="165">
        <v>857236.41</v>
      </c>
      <c r="H292" s="164">
        <f t="shared" si="60"/>
        <v>52653.74</v>
      </c>
    </row>
    <row r="293" spans="2:8" hidden="1" x14ac:dyDescent="0.2">
      <c r="B293" s="150">
        <v>10</v>
      </c>
      <c r="C293" s="164">
        <v>52653.74</v>
      </c>
      <c r="D293" s="164">
        <v>20916.57</v>
      </c>
      <c r="E293" s="164">
        <v>31737.17</v>
      </c>
      <c r="F293" s="164">
        <v>857236.41</v>
      </c>
      <c r="G293" s="165">
        <v>825499.24</v>
      </c>
      <c r="H293" s="164">
        <f t="shared" si="60"/>
        <v>52653.74</v>
      </c>
    </row>
    <row r="294" spans="2:8" hidden="1" x14ac:dyDescent="0.2">
      <c r="B294" s="150">
        <v>11</v>
      </c>
      <c r="C294" s="164">
        <v>52653.74</v>
      </c>
      <c r="D294" s="164">
        <v>20142.18</v>
      </c>
      <c r="E294" s="164">
        <v>32511.56</v>
      </c>
      <c r="F294" s="164">
        <v>825499.24</v>
      </c>
      <c r="G294" s="165">
        <v>792987.68</v>
      </c>
      <c r="H294" s="164">
        <f t="shared" si="60"/>
        <v>52653.740000000005</v>
      </c>
    </row>
    <row r="295" spans="2:8" hidden="1" x14ac:dyDescent="0.2">
      <c r="B295" s="150">
        <v>12</v>
      </c>
      <c r="C295" s="164">
        <v>52653.74</v>
      </c>
      <c r="D295" s="164">
        <v>19348.900000000001</v>
      </c>
      <c r="E295" s="164">
        <v>33304.839999999997</v>
      </c>
      <c r="F295" s="164">
        <v>792987.68</v>
      </c>
      <c r="G295" s="165">
        <v>759682.84</v>
      </c>
      <c r="H295" s="164">
        <f t="shared" si="60"/>
        <v>52653.74</v>
      </c>
    </row>
    <row r="296" spans="2:8" hidden="1" x14ac:dyDescent="0.2">
      <c r="B296" s="150">
        <v>13</v>
      </c>
      <c r="C296" s="164">
        <v>52653.74</v>
      </c>
      <c r="D296" s="164">
        <v>18536.259999999998</v>
      </c>
      <c r="E296" s="164">
        <v>34117.480000000003</v>
      </c>
      <c r="F296" s="164">
        <v>759682.84</v>
      </c>
      <c r="G296" s="165">
        <v>725565.36</v>
      </c>
      <c r="H296" s="164">
        <f t="shared" si="60"/>
        <v>52653.740000000005</v>
      </c>
    </row>
    <row r="297" spans="2:8" hidden="1" x14ac:dyDescent="0.2">
      <c r="B297" s="150">
        <v>14</v>
      </c>
      <c r="C297" s="164">
        <v>52653.74</v>
      </c>
      <c r="D297" s="164">
        <v>17703.79</v>
      </c>
      <c r="E297" s="164">
        <v>34949.949999999997</v>
      </c>
      <c r="F297" s="164">
        <v>725565.36</v>
      </c>
      <c r="G297" s="165">
        <v>690615.41</v>
      </c>
      <c r="H297" s="164">
        <f t="shared" si="60"/>
        <v>52653.74</v>
      </c>
    </row>
    <row r="298" spans="2:8" hidden="1" x14ac:dyDescent="0.2">
      <c r="B298" s="150">
        <v>15</v>
      </c>
      <c r="C298" s="164">
        <v>52653.74</v>
      </c>
      <c r="D298" s="164">
        <v>16851.02</v>
      </c>
      <c r="E298" s="164">
        <v>35802.720000000001</v>
      </c>
      <c r="F298" s="164">
        <v>690615.41</v>
      </c>
      <c r="G298" s="165">
        <v>654812.68999999994</v>
      </c>
      <c r="H298" s="164">
        <f t="shared" si="60"/>
        <v>52653.740000000005</v>
      </c>
    </row>
    <row r="299" spans="2:8" hidden="1" x14ac:dyDescent="0.2">
      <c r="B299" s="150">
        <v>16</v>
      </c>
      <c r="C299" s="164">
        <v>52653.74</v>
      </c>
      <c r="D299" s="164">
        <v>15977.43</v>
      </c>
      <c r="E299" s="164">
        <v>36676.31</v>
      </c>
      <c r="F299" s="164">
        <v>654812.68999999994</v>
      </c>
      <c r="G299" s="165">
        <v>618136.38</v>
      </c>
      <c r="H299" s="164">
        <f t="shared" si="60"/>
        <v>52653.74</v>
      </c>
    </row>
    <row r="300" spans="2:8" hidden="1" x14ac:dyDescent="0.2">
      <c r="B300" s="150">
        <v>17</v>
      </c>
      <c r="C300" s="164">
        <v>52653.74</v>
      </c>
      <c r="D300" s="164">
        <v>15082.53</v>
      </c>
      <c r="E300" s="164">
        <v>37571.21</v>
      </c>
      <c r="F300" s="164">
        <v>618136.38</v>
      </c>
      <c r="G300" s="165">
        <v>580565.17000000004</v>
      </c>
      <c r="H300" s="164">
        <f t="shared" si="60"/>
        <v>52653.74</v>
      </c>
    </row>
    <row r="301" spans="2:8" hidden="1" x14ac:dyDescent="0.2">
      <c r="B301" s="150">
        <v>18</v>
      </c>
      <c r="C301" s="164">
        <v>52653.74</v>
      </c>
      <c r="D301" s="164">
        <v>14165.79</v>
      </c>
      <c r="E301" s="164">
        <v>38487.949999999997</v>
      </c>
      <c r="F301" s="164">
        <v>580565.17000000004</v>
      </c>
      <c r="G301" s="165">
        <v>542077.22</v>
      </c>
      <c r="H301" s="164">
        <f t="shared" si="60"/>
        <v>52653.74</v>
      </c>
    </row>
    <row r="302" spans="2:8" hidden="1" x14ac:dyDescent="0.2">
      <c r="B302" s="150">
        <v>19</v>
      </c>
      <c r="C302" s="164">
        <v>52653.74</v>
      </c>
      <c r="D302" s="164">
        <v>13226.68</v>
      </c>
      <c r="E302" s="164">
        <v>39427.06</v>
      </c>
      <c r="F302" s="164">
        <v>542077.22</v>
      </c>
      <c r="G302" s="165">
        <v>502650.16</v>
      </c>
      <c r="H302" s="164">
        <f t="shared" si="60"/>
        <v>52653.74</v>
      </c>
    </row>
    <row r="303" spans="2:8" hidden="1" x14ac:dyDescent="0.2">
      <c r="B303" s="150">
        <v>20</v>
      </c>
      <c r="C303" s="164">
        <v>52653.74</v>
      </c>
      <c r="D303" s="164">
        <v>12264.66</v>
      </c>
      <c r="E303" s="164">
        <v>40389.08</v>
      </c>
      <c r="F303" s="164">
        <v>502650.16</v>
      </c>
      <c r="G303" s="165">
        <v>462261.08</v>
      </c>
      <c r="H303" s="164">
        <f t="shared" si="60"/>
        <v>52653.740000000005</v>
      </c>
    </row>
    <row r="304" spans="2:8" hidden="1" x14ac:dyDescent="0.2">
      <c r="B304" s="150">
        <v>21</v>
      </c>
      <c r="C304" s="164">
        <v>52653.74</v>
      </c>
      <c r="D304" s="164">
        <v>11279.17</v>
      </c>
      <c r="E304" s="164">
        <v>41374.57</v>
      </c>
      <c r="F304" s="164">
        <v>462261.08</v>
      </c>
      <c r="G304" s="165">
        <v>420886.51</v>
      </c>
      <c r="H304" s="164">
        <f t="shared" si="60"/>
        <v>52653.74</v>
      </c>
    </row>
    <row r="305" spans="2:10" hidden="1" x14ac:dyDescent="0.2">
      <c r="B305" s="150">
        <v>22</v>
      </c>
      <c r="C305" s="164">
        <v>52653.74</v>
      </c>
      <c r="D305" s="164">
        <v>10269.629999999999</v>
      </c>
      <c r="E305" s="164">
        <v>42384.11</v>
      </c>
      <c r="F305" s="164">
        <v>420886.51</v>
      </c>
      <c r="G305" s="165">
        <v>378502.40000000002</v>
      </c>
      <c r="H305" s="164">
        <f t="shared" si="60"/>
        <v>52653.74</v>
      </c>
    </row>
    <row r="306" spans="2:10" hidden="1" x14ac:dyDescent="0.2">
      <c r="B306" s="150">
        <v>23</v>
      </c>
      <c r="C306" s="164">
        <v>52653.74</v>
      </c>
      <c r="D306" s="164">
        <v>9235.4599999999991</v>
      </c>
      <c r="E306" s="164">
        <v>43418.28</v>
      </c>
      <c r="F306" s="164">
        <v>378502.40000000002</v>
      </c>
      <c r="G306" s="165">
        <v>335084.12</v>
      </c>
      <c r="H306" s="164">
        <f t="shared" si="60"/>
        <v>52653.74</v>
      </c>
    </row>
    <row r="307" spans="2:10" hidden="1" x14ac:dyDescent="0.2">
      <c r="B307" s="150">
        <v>24</v>
      </c>
      <c r="C307" s="164">
        <v>52653.74</v>
      </c>
      <c r="D307" s="164">
        <v>8176.05</v>
      </c>
      <c r="E307" s="164">
        <v>44477.69</v>
      </c>
      <c r="F307" s="164">
        <v>335084.12</v>
      </c>
      <c r="G307" s="165">
        <v>290606.43</v>
      </c>
      <c r="H307" s="164">
        <f t="shared" si="60"/>
        <v>52653.740000000005</v>
      </c>
    </row>
    <row r="308" spans="2:10" hidden="1" x14ac:dyDescent="0.2">
      <c r="B308" s="150">
        <v>25</v>
      </c>
      <c r="C308" s="164">
        <v>52653.74</v>
      </c>
      <c r="D308" s="164">
        <v>7090.8</v>
      </c>
      <c r="E308" s="164">
        <v>45562.94</v>
      </c>
      <c r="F308" s="164">
        <v>290606.43</v>
      </c>
      <c r="G308" s="165">
        <v>245043.49</v>
      </c>
      <c r="H308" s="164">
        <f t="shared" si="60"/>
        <v>52653.740000000005</v>
      </c>
    </row>
    <row r="309" spans="2:10" hidden="1" x14ac:dyDescent="0.2">
      <c r="B309" s="150">
        <v>26</v>
      </c>
      <c r="C309" s="164">
        <v>52653.74</v>
      </c>
      <c r="D309" s="164">
        <v>5979.06</v>
      </c>
      <c r="E309" s="164">
        <v>46674.68</v>
      </c>
      <c r="F309" s="164">
        <v>245043.49</v>
      </c>
      <c r="G309" s="165">
        <v>198368.81</v>
      </c>
      <c r="H309" s="164">
        <f t="shared" si="60"/>
        <v>52653.74</v>
      </c>
    </row>
    <row r="310" spans="2:10" hidden="1" x14ac:dyDescent="0.2">
      <c r="B310" s="150">
        <v>27</v>
      </c>
      <c r="C310" s="164">
        <v>52653.74</v>
      </c>
      <c r="D310" s="164">
        <v>4840.2</v>
      </c>
      <c r="E310" s="164">
        <v>47813.54</v>
      </c>
      <c r="F310" s="164">
        <v>198368.81</v>
      </c>
      <c r="G310" s="165">
        <v>150555.26999999999</v>
      </c>
      <c r="H310" s="164">
        <f t="shared" si="60"/>
        <v>52653.74</v>
      </c>
    </row>
    <row r="311" spans="2:10" hidden="1" x14ac:dyDescent="0.2">
      <c r="B311" s="150">
        <v>28</v>
      </c>
      <c r="C311" s="164">
        <v>52653.74</v>
      </c>
      <c r="D311" s="164">
        <v>3673.55</v>
      </c>
      <c r="E311" s="164">
        <v>48980.19</v>
      </c>
      <c r="F311" s="164">
        <v>150555.26999999999</v>
      </c>
      <c r="G311" s="165">
        <v>101575.08</v>
      </c>
      <c r="H311" s="164">
        <f t="shared" si="60"/>
        <v>52653.740000000005</v>
      </c>
    </row>
    <row r="312" spans="2:10" hidden="1" x14ac:dyDescent="0.2">
      <c r="B312" s="150">
        <v>29</v>
      </c>
      <c r="C312" s="164">
        <v>52653.74</v>
      </c>
      <c r="D312" s="164">
        <v>2478.4299999999998</v>
      </c>
      <c r="E312" s="164">
        <v>50175.31</v>
      </c>
      <c r="F312" s="164">
        <v>101575.08</v>
      </c>
      <c r="G312" s="165">
        <v>51399.77</v>
      </c>
      <c r="H312" s="164">
        <f t="shared" si="60"/>
        <v>52653.74</v>
      </c>
    </row>
    <row r="313" spans="2:10" hidden="1" x14ac:dyDescent="0.2">
      <c r="B313" s="136">
        <v>30</v>
      </c>
      <c r="C313" s="166">
        <v>52653.74</v>
      </c>
      <c r="D313" s="166">
        <v>1254.1500000000001</v>
      </c>
      <c r="E313" s="166">
        <v>51399.59</v>
      </c>
      <c r="F313" s="166">
        <v>51399.77</v>
      </c>
      <c r="G313" s="167">
        <v>0</v>
      </c>
      <c r="H313" s="164">
        <f t="shared" si="60"/>
        <v>52653.74</v>
      </c>
    </row>
    <row r="314" spans="2:10" hidden="1" x14ac:dyDescent="0.2">
      <c r="H314" s="11"/>
    </row>
    <row r="315" spans="2:10" hidden="1" x14ac:dyDescent="0.2"/>
    <row r="316" spans="2:10" hidden="1" x14ac:dyDescent="0.2"/>
    <row r="317" spans="2:10" hidden="1" x14ac:dyDescent="0.2">
      <c r="B317" s="48" t="s">
        <v>1014</v>
      </c>
      <c r="C317" s="49" t="s">
        <v>1007</v>
      </c>
      <c r="D317" s="49" t="str">
        <f>B200</f>
        <v>Impianto 3</v>
      </c>
      <c r="E317" s="223"/>
      <c r="F317" s="223" t="s">
        <v>1017</v>
      </c>
      <c r="G317" s="223" t="s">
        <v>1018</v>
      </c>
      <c r="H317" s="223">
        <f>H200</f>
        <v>8</v>
      </c>
      <c r="I317" s="224">
        <f>G200</f>
        <v>1.2699999999999999E-2</v>
      </c>
    </row>
    <row r="318" spans="2:10" hidden="1" x14ac:dyDescent="0.2"/>
    <row r="319" spans="2:10" hidden="1" x14ac:dyDescent="0.2">
      <c r="B319" s="48" t="s">
        <v>1015</v>
      </c>
      <c r="C319" s="49" t="s">
        <v>1016</v>
      </c>
      <c r="D319" s="49" t="s">
        <v>1013</v>
      </c>
      <c r="E319" s="49" t="s">
        <v>1019</v>
      </c>
      <c r="F319" s="49" t="s">
        <v>1020</v>
      </c>
      <c r="G319" s="50" t="s">
        <v>1021</v>
      </c>
      <c r="H319" s="5" t="s">
        <v>1022</v>
      </c>
      <c r="J319" s="388" t="s">
        <v>1264</v>
      </c>
    </row>
    <row r="320" spans="2:10" hidden="1" x14ac:dyDescent="0.2">
      <c r="B320" s="150">
        <v>1</v>
      </c>
      <c r="C320" s="164">
        <v>62351.06</v>
      </c>
      <c r="D320" s="164">
        <v>5987.64</v>
      </c>
      <c r="E320" s="164">
        <v>56363.42</v>
      </c>
      <c r="F320" s="164">
        <v>471467.44</v>
      </c>
      <c r="G320" s="165">
        <v>415104.02</v>
      </c>
      <c r="H320" s="164">
        <f>E320+D320</f>
        <v>62351.06</v>
      </c>
      <c r="I320" s="57">
        <v>2021</v>
      </c>
    </row>
    <row r="321" spans="2:10" hidden="1" x14ac:dyDescent="0.2">
      <c r="B321" s="150">
        <v>2</v>
      </c>
      <c r="C321" s="164">
        <v>62351.06</v>
      </c>
      <c r="D321" s="164">
        <v>5271.82</v>
      </c>
      <c r="E321" s="164">
        <v>57079.24</v>
      </c>
      <c r="F321" s="164">
        <v>415104.02</v>
      </c>
      <c r="G321" s="165">
        <v>358024.78</v>
      </c>
      <c r="H321" s="164">
        <f t="shared" ref="H321:H327" si="61">E321+D321</f>
        <v>62351.06</v>
      </c>
    </row>
    <row r="322" spans="2:10" hidden="1" x14ac:dyDescent="0.2">
      <c r="B322" s="150">
        <v>3</v>
      </c>
      <c r="C322" s="164">
        <v>62351.06</v>
      </c>
      <c r="D322" s="164">
        <v>4546.91</v>
      </c>
      <c r="E322" s="164">
        <v>57804.15</v>
      </c>
      <c r="F322" s="164">
        <v>358024.78</v>
      </c>
      <c r="G322" s="165">
        <v>300220.63</v>
      </c>
      <c r="H322" s="164">
        <f t="shared" si="61"/>
        <v>62351.06</v>
      </c>
    </row>
    <row r="323" spans="2:10" hidden="1" x14ac:dyDescent="0.2">
      <c r="B323" s="150">
        <v>4</v>
      </c>
      <c r="C323" s="164">
        <v>62351.06</v>
      </c>
      <c r="D323" s="164">
        <v>3812.8</v>
      </c>
      <c r="E323" s="164">
        <v>58538.26</v>
      </c>
      <c r="F323" s="164">
        <v>300220.63</v>
      </c>
      <c r="G323" s="165">
        <v>241682.37</v>
      </c>
      <c r="H323" s="164">
        <f t="shared" si="61"/>
        <v>62351.060000000005</v>
      </c>
    </row>
    <row r="324" spans="2:10" hidden="1" x14ac:dyDescent="0.2">
      <c r="B324" s="150">
        <v>5</v>
      </c>
      <c r="C324" s="164">
        <v>62351.06</v>
      </c>
      <c r="D324" s="164">
        <v>3069.37</v>
      </c>
      <c r="E324" s="164">
        <v>59281.69</v>
      </c>
      <c r="F324" s="164">
        <v>241682.37</v>
      </c>
      <c r="G324" s="165">
        <v>182400.68</v>
      </c>
      <c r="H324" s="164">
        <f t="shared" si="61"/>
        <v>62351.060000000005</v>
      </c>
    </row>
    <row r="325" spans="2:10" hidden="1" x14ac:dyDescent="0.2">
      <c r="B325" s="150">
        <v>6</v>
      </c>
      <c r="C325" s="164">
        <v>62351.06</v>
      </c>
      <c r="D325" s="164">
        <v>2316.4899999999998</v>
      </c>
      <c r="E325" s="164">
        <v>60034.57</v>
      </c>
      <c r="F325" s="164">
        <v>182400.68</v>
      </c>
      <c r="G325" s="165">
        <v>122366.11</v>
      </c>
      <c r="H325" s="164">
        <f t="shared" si="61"/>
        <v>62351.06</v>
      </c>
    </row>
    <row r="326" spans="2:10" hidden="1" x14ac:dyDescent="0.2">
      <c r="B326" s="150">
        <v>7</v>
      </c>
      <c r="C326" s="164">
        <v>62351.06</v>
      </c>
      <c r="D326" s="164">
        <v>1554.05</v>
      </c>
      <c r="E326" s="164">
        <v>60797.01</v>
      </c>
      <c r="F326" s="164">
        <v>122366.11</v>
      </c>
      <c r="G326" s="165">
        <v>61569.1</v>
      </c>
      <c r="H326" s="164">
        <f t="shared" si="61"/>
        <v>62351.060000000005</v>
      </c>
    </row>
    <row r="327" spans="2:10" hidden="1" x14ac:dyDescent="0.2">
      <c r="B327" s="136">
        <v>8</v>
      </c>
      <c r="C327" s="166">
        <v>62351.06</v>
      </c>
      <c r="D327" s="166">
        <v>781.93</v>
      </c>
      <c r="E327" s="166">
        <v>61569.13</v>
      </c>
      <c r="F327" s="166">
        <v>61569.1</v>
      </c>
      <c r="G327" s="167">
        <v>0</v>
      </c>
      <c r="H327" s="164">
        <f t="shared" si="61"/>
        <v>62351.06</v>
      </c>
    </row>
    <row r="328" spans="2:10" hidden="1" x14ac:dyDescent="0.2"/>
    <row r="329" spans="2:10" hidden="1" x14ac:dyDescent="0.2"/>
    <row r="330" spans="2:10" hidden="1" x14ac:dyDescent="0.2"/>
    <row r="331" spans="2:10" hidden="1" x14ac:dyDescent="0.2">
      <c r="B331" s="48" t="s">
        <v>1014</v>
      </c>
      <c r="C331" s="49" t="s">
        <v>1007</v>
      </c>
      <c r="D331" s="49" t="str">
        <f>B201</f>
        <v>Impianto 4</v>
      </c>
      <c r="E331" s="223"/>
      <c r="F331" s="223" t="s">
        <v>1017</v>
      </c>
      <c r="G331" s="223" t="s">
        <v>1018</v>
      </c>
      <c r="H331" s="223">
        <f>H201</f>
        <v>8</v>
      </c>
      <c r="I331" s="224">
        <f>G201</f>
        <v>3.44E-2</v>
      </c>
    </row>
    <row r="332" spans="2:10" hidden="1" x14ac:dyDescent="0.2"/>
    <row r="333" spans="2:10" hidden="1" x14ac:dyDescent="0.2">
      <c r="B333" s="48" t="s">
        <v>1015</v>
      </c>
      <c r="C333" s="49" t="s">
        <v>1016</v>
      </c>
      <c r="D333" s="49" t="s">
        <v>1013</v>
      </c>
      <c r="E333" s="49" t="s">
        <v>1019</v>
      </c>
      <c r="F333" s="49" t="s">
        <v>1020</v>
      </c>
      <c r="G333" s="50" t="s">
        <v>1021</v>
      </c>
      <c r="H333" s="5" t="s">
        <v>1022</v>
      </c>
      <c r="J333" s="388" t="s">
        <v>1264</v>
      </c>
    </row>
    <row r="334" spans="2:10" hidden="1" x14ac:dyDescent="0.2">
      <c r="B334" s="126">
        <v>1</v>
      </c>
      <c r="C334" s="171">
        <v>45809.26</v>
      </c>
      <c r="D334" s="171">
        <v>10859.42</v>
      </c>
      <c r="E334" s="171">
        <v>34949.839999999997</v>
      </c>
      <c r="F334" s="171">
        <v>315680.87</v>
      </c>
      <c r="G334" s="172">
        <v>280731.03000000003</v>
      </c>
      <c r="H334" s="164">
        <f>E334+D334</f>
        <v>45809.259999999995</v>
      </c>
      <c r="I334" s="57">
        <v>2022</v>
      </c>
    </row>
    <row r="335" spans="2:10" hidden="1" x14ac:dyDescent="0.2">
      <c r="B335" s="150">
        <v>2</v>
      </c>
      <c r="C335" s="164">
        <v>45809.26</v>
      </c>
      <c r="D335" s="164">
        <v>9657.15</v>
      </c>
      <c r="E335" s="164">
        <v>36152.11</v>
      </c>
      <c r="F335" s="164">
        <v>280731.03000000003</v>
      </c>
      <c r="G335" s="165">
        <v>244578.92</v>
      </c>
      <c r="H335" s="164">
        <f t="shared" ref="H335:H341" si="62">E335+D335</f>
        <v>45809.26</v>
      </c>
    </row>
    <row r="336" spans="2:10" hidden="1" x14ac:dyDescent="0.2">
      <c r="B336" s="150">
        <v>3</v>
      </c>
      <c r="C336" s="164">
        <v>45809.26</v>
      </c>
      <c r="D336" s="164">
        <v>8413.51</v>
      </c>
      <c r="E336" s="164">
        <v>37395.75</v>
      </c>
      <c r="F336" s="164">
        <v>244578.92</v>
      </c>
      <c r="G336" s="165">
        <v>207183.17</v>
      </c>
      <c r="H336" s="164">
        <f t="shared" si="62"/>
        <v>45809.26</v>
      </c>
    </row>
    <row r="337" spans="2:8" hidden="1" x14ac:dyDescent="0.2">
      <c r="B337" s="150">
        <v>4</v>
      </c>
      <c r="C337" s="164">
        <v>45809.26</v>
      </c>
      <c r="D337" s="164">
        <v>7127.1</v>
      </c>
      <c r="E337" s="164">
        <v>38682.160000000003</v>
      </c>
      <c r="F337" s="164">
        <v>207183.17</v>
      </c>
      <c r="G337" s="165">
        <v>168501.01</v>
      </c>
      <c r="H337" s="164">
        <f t="shared" si="62"/>
        <v>45809.26</v>
      </c>
    </row>
    <row r="338" spans="2:8" hidden="1" x14ac:dyDescent="0.2">
      <c r="B338" s="150">
        <v>5</v>
      </c>
      <c r="C338" s="164">
        <v>45809.26</v>
      </c>
      <c r="D338" s="164">
        <v>5796.43</v>
      </c>
      <c r="E338" s="164">
        <v>40012.83</v>
      </c>
      <c r="F338" s="164">
        <v>168501.01</v>
      </c>
      <c r="G338" s="165">
        <v>128488.18</v>
      </c>
      <c r="H338" s="164">
        <f t="shared" si="62"/>
        <v>45809.26</v>
      </c>
    </row>
    <row r="339" spans="2:8" hidden="1" x14ac:dyDescent="0.2">
      <c r="B339" s="150">
        <v>6</v>
      </c>
      <c r="C339" s="164">
        <v>45809.26</v>
      </c>
      <c r="D339" s="164">
        <v>4419.99</v>
      </c>
      <c r="E339" s="164">
        <v>41389.269999999997</v>
      </c>
      <c r="F339" s="164">
        <v>128488.18</v>
      </c>
      <c r="G339" s="165">
        <v>87098.91</v>
      </c>
      <c r="H339" s="164">
        <f t="shared" si="62"/>
        <v>45809.259999999995</v>
      </c>
    </row>
    <row r="340" spans="2:8" hidden="1" x14ac:dyDescent="0.2">
      <c r="B340" s="150">
        <v>7</v>
      </c>
      <c r="C340" s="164">
        <v>45809.26</v>
      </c>
      <c r="D340" s="164">
        <v>2996.2</v>
      </c>
      <c r="E340" s="164">
        <v>42813.06</v>
      </c>
      <c r="F340" s="164">
        <v>87098.91</v>
      </c>
      <c r="G340" s="165">
        <v>44285.85</v>
      </c>
      <c r="H340" s="164">
        <f t="shared" si="62"/>
        <v>45809.259999999995</v>
      </c>
    </row>
    <row r="341" spans="2:8" hidden="1" x14ac:dyDescent="0.2">
      <c r="B341" s="136">
        <v>8</v>
      </c>
      <c r="C341" s="166">
        <v>45809.26</v>
      </c>
      <c r="D341" s="166">
        <v>1523.43</v>
      </c>
      <c r="E341" s="166">
        <v>44285.83</v>
      </c>
      <c r="F341" s="166">
        <v>44285.85</v>
      </c>
      <c r="G341" s="167">
        <v>0</v>
      </c>
      <c r="H341" s="164">
        <f t="shared" si="62"/>
        <v>45809.26</v>
      </c>
    </row>
    <row r="342" spans="2:8" hidden="1" x14ac:dyDescent="0.2"/>
    <row r="343" spans="2:8" hidden="1" x14ac:dyDescent="0.2"/>
    <row r="344" spans="2:8" hidden="1" x14ac:dyDescent="0.2"/>
    <row r="345" spans="2:8" hidden="1" x14ac:dyDescent="0.2">
      <c r="B345" s="4" t="s">
        <v>1025</v>
      </c>
    </row>
    <row r="346" spans="2:8" ht="19" hidden="1" x14ac:dyDescent="0.2">
      <c r="B346" s="463" t="s">
        <v>1059</v>
      </c>
      <c r="C346" s="423">
        <v>2024</v>
      </c>
      <c r="D346" s="423">
        <v>2025</v>
      </c>
      <c r="E346" s="423">
        <v>2026</v>
      </c>
      <c r="F346" s="424">
        <v>2027</v>
      </c>
    </row>
    <row r="347" spans="2:8" hidden="1" x14ac:dyDescent="0.2">
      <c r="B347" s="10" t="s">
        <v>1023</v>
      </c>
      <c r="C347" s="164">
        <f>E219+E254+E288+E323+E336</f>
        <v>264780.83</v>
      </c>
      <c r="D347" s="164">
        <f>E220+E255+E289+E324+E337</f>
        <v>269917.30000000005</v>
      </c>
      <c r="E347" s="164">
        <f>E221+E256+E290+E325+E338</f>
        <v>275165.87</v>
      </c>
      <c r="F347" s="165">
        <f>E222+E257+E291+E326+E339</f>
        <v>280529.28000000003</v>
      </c>
    </row>
    <row r="348" spans="2:8" hidden="1" x14ac:dyDescent="0.2">
      <c r="B348" s="10" t="s">
        <v>1024</v>
      </c>
      <c r="C348" s="164">
        <f>D219+D254+D288+D323+D336</f>
        <v>118261.19</v>
      </c>
      <c r="D348" s="164">
        <f>D220+D255+D289+D324+D337</f>
        <v>113124.72</v>
      </c>
      <c r="E348" s="164">
        <f>D221+D256+D290+D325+D338</f>
        <v>107876.15</v>
      </c>
      <c r="F348" s="165">
        <f>D222+D257+D291+D326+D339</f>
        <v>102512.74</v>
      </c>
    </row>
    <row r="349" spans="2:8" hidden="1" x14ac:dyDescent="0.2">
      <c r="B349" s="464" t="s">
        <v>1058</v>
      </c>
      <c r="C349" s="554">
        <f>SUM(C347:C348)</f>
        <v>383042.02</v>
      </c>
      <c r="D349" s="554">
        <f t="shared" ref="D349:F349" si="63">SUM(D347:D348)</f>
        <v>383042.02</v>
      </c>
      <c r="E349" s="554">
        <f t="shared" si="63"/>
        <v>383042.02</v>
      </c>
      <c r="F349" s="555">
        <f t="shared" si="63"/>
        <v>383042.02</v>
      </c>
    </row>
    <row r="350" spans="2:8" hidden="1" x14ac:dyDescent="0.2"/>
    <row r="351" spans="2:8" hidden="1" x14ac:dyDescent="0.2">
      <c r="B351" s="5" t="s">
        <v>1030</v>
      </c>
    </row>
    <row r="352" spans="2:8" hidden="1" x14ac:dyDescent="0.2">
      <c r="B352" s="5" t="s">
        <v>1029</v>
      </c>
      <c r="F352" s="8">
        <f>E204</f>
        <v>2029812.5749037098</v>
      </c>
      <c r="G352" s="5" t="s">
        <v>1031</v>
      </c>
    </row>
    <row r="353" spans="2:9" hidden="1" x14ac:dyDescent="0.2">
      <c r="G353" s="5" t="s">
        <v>1032</v>
      </c>
    </row>
    <row r="354" spans="2:9" hidden="1" x14ac:dyDescent="0.2"/>
    <row r="355" spans="2:9" ht="19" hidden="1" x14ac:dyDescent="0.2">
      <c r="B355" s="463" t="s">
        <v>1353</v>
      </c>
      <c r="C355" s="423">
        <v>2024</v>
      </c>
      <c r="D355" s="423">
        <v>2025</v>
      </c>
      <c r="E355" s="423">
        <v>2026</v>
      </c>
      <c r="F355" s="424">
        <v>2027</v>
      </c>
    </row>
    <row r="356" spans="2:9" hidden="1" x14ac:dyDescent="0.2">
      <c r="B356" s="10" t="s">
        <v>1023</v>
      </c>
      <c r="C356" s="164">
        <f>C347*$E$205</f>
        <v>48168.449655324737</v>
      </c>
      <c r="D356" s="164">
        <f t="shared" ref="D356:F356" si="64">D347*$E$205</f>
        <v>49102.86698682524</v>
      </c>
      <c r="E356" s="164">
        <f t="shared" si="64"/>
        <v>50057.677347558092</v>
      </c>
      <c r="F356" s="172">
        <f t="shared" si="64"/>
        <v>51033.379193367196</v>
      </c>
      <c r="G356" s="163" t="s">
        <v>1057</v>
      </c>
    </row>
    <row r="357" spans="2:9" hidden="1" x14ac:dyDescent="0.2">
      <c r="B357" s="10" t="s">
        <v>1024</v>
      </c>
      <c r="C357" s="164">
        <f>C348*$E$205</f>
        <v>21513.861772749158</v>
      </c>
      <c r="D357" s="164">
        <f t="shared" ref="D357:F357" si="65">D348*$E$205</f>
        <v>20579.444441248663</v>
      </c>
      <c r="E357" s="164">
        <f t="shared" si="65"/>
        <v>19624.634080515796</v>
      </c>
      <c r="F357" s="165">
        <f t="shared" si="65"/>
        <v>18648.932234706699</v>
      </c>
    </row>
    <row r="358" spans="2:9" hidden="1" x14ac:dyDescent="0.2">
      <c r="B358" s="464" t="s">
        <v>1058</v>
      </c>
      <c r="C358" s="554">
        <f>SUM(C356:C357)</f>
        <v>69682.311428073896</v>
      </c>
      <c r="D358" s="554">
        <f t="shared" ref="D358:F358" si="66">SUM(D356:D357)</f>
        <v>69682.31142807391</v>
      </c>
      <c r="E358" s="554">
        <f t="shared" si="66"/>
        <v>69682.311428073881</v>
      </c>
      <c r="F358" s="555">
        <f t="shared" si="66"/>
        <v>69682.311428073896</v>
      </c>
    </row>
    <row r="359" spans="2:9" hidden="1" x14ac:dyDescent="0.2"/>
    <row r="360" spans="2:9" hidden="1" x14ac:dyDescent="0.2"/>
    <row r="361" spans="2:9" hidden="1" x14ac:dyDescent="0.2">
      <c r="B361" s="5" t="s">
        <v>1033</v>
      </c>
    </row>
    <row r="362" spans="2:9" hidden="1" x14ac:dyDescent="0.2">
      <c r="B362" s="5" t="s">
        <v>1034</v>
      </c>
    </row>
    <row r="363" spans="2:9" hidden="1" x14ac:dyDescent="0.2">
      <c r="B363" s="5" t="s">
        <v>1035</v>
      </c>
    </row>
    <row r="364" spans="2:9" hidden="1" x14ac:dyDescent="0.2"/>
    <row r="365" spans="2:9" hidden="1" x14ac:dyDescent="0.2"/>
    <row r="366" spans="2:9" ht="19" hidden="1" x14ac:dyDescent="0.2">
      <c r="B366" s="463" t="s">
        <v>1351</v>
      </c>
      <c r="C366" s="536">
        <v>2023</v>
      </c>
      <c r="D366" s="423">
        <v>2024</v>
      </c>
      <c r="E366" s="423">
        <v>2025</v>
      </c>
      <c r="F366" s="423">
        <v>2026</v>
      </c>
      <c r="G366" s="424">
        <v>2027</v>
      </c>
    </row>
    <row r="367" spans="2:9" hidden="1" x14ac:dyDescent="0.2">
      <c r="B367" s="42" t="s">
        <v>1036</v>
      </c>
      <c r="C367" s="143">
        <f>SUM(H219:H245)+SUM(H253:H277)+SUM(H287:H313)+SUM(H322:H327)+SUM(H335:H341)</f>
        <v>8084665.6799999969</v>
      </c>
      <c r="D367" s="40">
        <f>SUM(H219:H245)+SUM(H254:H277)+SUM(H288:H313)+SUM(H323:H327)+SUM(H336:H341)</f>
        <v>7907895.9199999962</v>
      </c>
      <c r="E367" s="41">
        <f>(SUM(H220:H245)+SUM(H255:H277)+SUM(H289:H313)+SUM(H324:H327)+SUM(H337:H341))*0.8</f>
        <v>6019883.1199999982</v>
      </c>
      <c r="F367" s="41">
        <f>(SUM(H221:H245)+SUM(H256:H277)+SUM(H290:H313)+SUM(H325:H327)+SUM(H338:H341))*0.8</f>
        <v>5713449.5039999979</v>
      </c>
      <c r="G367" s="40">
        <f>(SUM(H222:H245)+SUM(H257:H277)+SUM(H291:H313)+SUM(H326:H327)+SUM(H339:H341))*0.8-148301.34</f>
        <v>5258714.5479999986</v>
      </c>
      <c r="I367" s="5" t="s">
        <v>1041</v>
      </c>
    </row>
    <row r="368" spans="2:9" hidden="1" x14ac:dyDescent="0.2">
      <c r="B368" s="10" t="s">
        <v>1037</v>
      </c>
      <c r="C368" s="151">
        <f>E205*C367</f>
        <v>1470747.756879573</v>
      </c>
      <c r="D368" s="12">
        <f>$E$205*D367</f>
        <v>1438590.1218833241</v>
      </c>
      <c r="E368" s="11">
        <f>$E$205*E367-429550.11-688.91</f>
        <v>664887.22836420033</v>
      </c>
      <c r="F368" s="11">
        <f>$E$205*F367-770427.34-1.98</f>
        <v>268951.07922174118</v>
      </c>
      <c r="G368" s="12">
        <f>$E$205*G367-900000+27000</f>
        <v>83655.838555463823</v>
      </c>
      <c r="I368" s="5" t="s">
        <v>1193</v>
      </c>
    </row>
    <row r="369" spans="2:9" hidden="1" x14ac:dyDescent="0.2">
      <c r="B369" s="511" t="s">
        <v>1038</v>
      </c>
      <c r="C369" s="552">
        <f>F190</f>
        <v>669806</v>
      </c>
      <c r="D369" s="553">
        <f>G190</f>
        <v>820065</v>
      </c>
      <c r="E369" s="545">
        <f>H190-1.1</f>
        <v>669804.9</v>
      </c>
      <c r="F369" s="545">
        <f>I190-1235.6</f>
        <v>518311.4</v>
      </c>
      <c r="G369" s="546">
        <f>J190-259.19-0.41</f>
        <v>369028.4</v>
      </c>
    </row>
    <row r="370" spans="2:9" hidden="1" x14ac:dyDescent="0.2">
      <c r="B370" s="548" t="s">
        <v>1352</v>
      </c>
      <c r="C370" s="549">
        <f>SUM(C371:C372)</f>
        <v>10679396</v>
      </c>
      <c r="D370" s="550">
        <f>SUM(D371:D372)</f>
        <v>8505498</v>
      </c>
      <c r="E370" s="551">
        <f>SUM(E367:E369)</f>
        <v>7354575.248364199</v>
      </c>
      <c r="F370" s="551">
        <f>SUM(F367:F369)</f>
        <v>6500711.9832217395</v>
      </c>
      <c r="G370" s="550">
        <f>SUM(G367:G369)</f>
        <v>5711398.7865554625</v>
      </c>
      <c r="I370" s="5" t="s">
        <v>1042</v>
      </c>
    </row>
    <row r="371" spans="2:9" hidden="1" x14ac:dyDescent="0.2">
      <c r="B371" s="10" t="s">
        <v>1039</v>
      </c>
      <c r="C371" s="225">
        <v>6691873</v>
      </c>
      <c r="D371" s="226">
        <v>5110204</v>
      </c>
      <c r="E371" s="11">
        <f>E370-E372</f>
        <v>4857769.316936125</v>
      </c>
      <c r="F371" s="11">
        <f t="shared" ref="F371:G371" si="67">F370-F372</f>
        <v>4104879.9250192153</v>
      </c>
      <c r="G371" s="11">
        <f t="shared" si="67"/>
        <v>3616722.4851197023</v>
      </c>
    </row>
    <row r="372" spans="2:9" hidden="1" x14ac:dyDescent="0.2">
      <c r="B372" s="158" t="s">
        <v>1040</v>
      </c>
      <c r="C372" s="227">
        <v>3987523</v>
      </c>
      <c r="D372" s="228">
        <v>3395294</v>
      </c>
      <c r="E372" s="145">
        <f>D349+D358+0.4*D371</f>
        <v>2496805.9314280739</v>
      </c>
      <c r="F372" s="145">
        <f>E349+E358+0.4*E371</f>
        <v>2395832.0582025242</v>
      </c>
      <c r="G372" s="145">
        <f>F349+F358+0.4*F371</f>
        <v>2094676.3014357602</v>
      </c>
    </row>
    <row r="373" spans="2:9" hidden="1" x14ac:dyDescent="0.2">
      <c r="B373" s="547" t="s">
        <v>1043</v>
      </c>
      <c r="C373" s="547">
        <f>C371/C370</f>
        <v>0.62661530670835697</v>
      </c>
      <c r="D373" s="547">
        <f>D371/D370</f>
        <v>0.60081185134603521</v>
      </c>
      <c r="E373" s="547">
        <f>_xlfn.FORECAST.LINEAR(E366,C373:D373,C366:D366)</f>
        <v>0.57500839598371556</v>
      </c>
      <c r="F373" s="547">
        <f>_xlfn.FORECAST.LINEAR(F366,C373:E373,C366:E366)</f>
        <v>0.54920494062139369</v>
      </c>
      <c r="G373" s="547">
        <f>_xlfn.FORECAST.LINEAR(G366,C373:F373,C366:F366)</f>
        <v>0.52340148525907182</v>
      </c>
      <c r="I373" s="5" t="s">
        <v>1194</v>
      </c>
    </row>
    <row r="374" spans="2:9" hidden="1" x14ac:dyDescent="0.2">
      <c r="B374" s="547" t="s">
        <v>1044</v>
      </c>
      <c r="C374" s="547">
        <f>1-C373</f>
        <v>0.37338469329164303</v>
      </c>
      <c r="D374" s="547">
        <f>1-D373</f>
        <v>0.39918814865396479</v>
      </c>
      <c r="E374" s="547">
        <f t="shared" ref="E374:G374" si="68">1-E373</f>
        <v>0.42499160401628444</v>
      </c>
      <c r="F374" s="547">
        <f t="shared" si="68"/>
        <v>0.45079505937860631</v>
      </c>
      <c r="G374" s="547">
        <f t="shared" si="68"/>
        <v>0.47659851474092818</v>
      </c>
    </row>
    <row r="375" spans="2:9" hidden="1" x14ac:dyDescent="0.2">
      <c r="C375" s="11"/>
    </row>
    <row r="376" spans="2:9" x14ac:dyDescent="0.2">
      <c r="D376" s="11"/>
    </row>
  </sheetData>
  <sortState xmlns:xlrd2="http://schemas.microsoft.com/office/spreadsheetml/2017/richdata2" ref="R40:R48">
    <sortCondition descending="1" ref="R40:R48"/>
  </sortState>
  <mergeCells count="32">
    <mergeCell ref="C4:J4"/>
    <mergeCell ref="B36:D37"/>
    <mergeCell ref="L41:M41"/>
    <mergeCell ref="L42:M42"/>
    <mergeCell ref="B39:D39"/>
    <mergeCell ref="L43:M43"/>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B209:D210"/>
    <mergeCell ref="L63:M63"/>
    <mergeCell ref="L64:M64"/>
    <mergeCell ref="L65:M65"/>
    <mergeCell ref="B80:D81"/>
    <mergeCell ref="B179:D180"/>
    <mergeCell ref="K131:M1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B28B-7449-4E4E-9739-B2DBA824DE37}">
  <sheetPr>
    <tabColor rgb="FF92D050"/>
  </sheetPr>
  <dimension ref="B2:X78"/>
  <sheetViews>
    <sheetView showGridLines="0" zoomScaleNormal="110" workbookViewId="0"/>
  </sheetViews>
  <sheetFormatPr baseColWidth="10" defaultRowHeight="16" x14ac:dyDescent="0.2"/>
  <cols>
    <col min="1" max="1" width="8.6640625" style="5" customWidth="1"/>
    <col min="2" max="2" width="36" style="5" customWidth="1"/>
    <col min="3" max="6" width="19.33203125" style="5" customWidth="1"/>
    <col min="7" max="7" width="21.6640625" style="5" customWidth="1"/>
    <col min="8" max="16384" width="10.83203125" style="5"/>
  </cols>
  <sheetData>
    <row r="2" spans="2:24" ht="16" customHeight="1" x14ac:dyDescent="0.2">
      <c r="B2" s="794" t="s">
        <v>1517</v>
      </c>
      <c r="C2" s="795"/>
      <c r="D2" s="795"/>
      <c r="E2" s="796"/>
      <c r="F2" s="798" t="s">
        <v>1264</v>
      </c>
      <c r="G2" s="288"/>
      <c r="H2" s="505"/>
      <c r="I2" s="288"/>
      <c r="J2" s="288"/>
      <c r="L2"/>
      <c r="M2"/>
      <c r="N2"/>
      <c r="O2"/>
      <c r="P2"/>
      <c r="Q2"/>
    </row>
    <row r="3" spans="2:24" ht="4" customHeight="1" x14ac:dyDescent="0.2">
      <c r="B3" s="414"/>
      <c r="C3" s="415"/>
      <c r="D3" s="415"/>
      <c r="E3" s="416"/>
      <c r="F3" s="399"/>
      <c r="L3"/>
      <c r="M3"/>
      <c r="N3"/>
      <c r="O3"/>
      <c r="P3"/>
      <c r="Q3"/>
    </row>
    <row r="4" spans="2:24" hidden="1" x14ac:dyDescent="0.2">
      <c r="B4" s="386" t="s">
        <v>1257</v>
      </c>
      <c r="C4" s="861" t="s">
        <v>1516</v>
      </c>
      <c r="D4" s="861"/>
      <c r="E4" s="861"/>
      <c r="F4" s="861"/>
      <c r="G4" s="861"/>
      <c r="H4" s="861"/>
      <c r="I4" s="861"/>
      <c r="J4" s="861"/>
      <c r="L4"/>
      <c r="M4"/>
      <c r="N4"/>
      <c r="O4"/>
      <c r="P4"/>
      <c r="Q4"/>
      <c r="S4" s="387"/>
      <c r="T4" s="387"/>
      <c r="U4" s="387"/>
      <c r="V4" s="387"/>
      <c r="W4" s="387"/>
      <c r="X4" s="387"/>
    </row>
    <row r="5" spans="2:24" ht="8" customHeight="1" x14ac:dyDescent="0.2">
      <c r="L5"/>
      <c r="M5"/>
      <c r="N5"/>
      <c r="O5"/>
      <c r="P5"/>
      <c r="Q5"/>
    </row>
    <row r="6" spans="2:24" ht="19" x14ac:dyDescent="0.2">
      <c r="B6" s="422" t="s">
        <v>1358</v>
      </c>
      <c r="C6" s="483">
        <v>2024</v>
      </c>
      <c r="D6" s="423">
        <v>2025</v>
      </c>
      <c r="E6" s="420">
        <v>2026</v>
      </c>
      <c r="F6" s="424">
        <v>2027</v>
      </c>
      <c r="L6"/>
      <c r="M6"/>
      <c r="N6"/>
      <c r="O6"/>
      <c r="P6"/>
      <c r="Q6"/>
    </row>
    <row r="7" spans="2:24" x14ac:dyDescent="0.2">
      <c r="B7" s="126" t="s">
        <v>332</v>
      </c>
      <c r="C7" s="46">
        <f>incidenze!C55</f>
        <v>4608814</v>
      </c>
      <c r="D7" s="143">
        <f>incidenze!D55</f>
        <v>4634976.5118776429</v>
      </c>
      <c r="E7" s="41">
        <f>incidenze!E55</f>
        <v>4798127.6850957358</v>
      </c>
      <c r="F7" s="40">
        <f>incidenze!F55</f>
        <v>4967021.779611106</v>
      </c>
      <c r="L7"/>
      <c r="M7"/>
      <c r="N7"/>
      <c r="O7"/>
      <c r="P7"/>
      <c r="Q7"/>
    </row>
    <row r="8" spans="2:24" hidden="1" x14ac:dyDescent="0.2">
      <c r="B8" s="77" t="s">
        <v>1199</v>
      </c>
      <c r="C8" s="692">
        <f>-573471+141939</f>
        <v>-431532</v>
      </c>
      <c r="D8" s="24"/>
      <c r="E8" s="24"/>
      <c r="F8" s="44"/>
    </row>
    <row r="9" spans="2:24" x14ac:dyDescent="0.2">
      <c r="B9" s="128" t="s">
        <v>979</v>
      </c>
      <c r="C9" s="45">
        <f>incidenze!C47</f>
        <v>4256399</v>
      </c>
      <c r="D9" s="151">
        <f>incidenze!D47</f>
        <v>4446660.0352999996</v>
      </c>
      <c r="E9" s="11">
        <f>incidenze!E47</f>
        <v>4645425.7388779093</v>
      </c>
      <c r="F9" s="12">
        <f>incidenze!F47</f>
        <v>4853076.2694057515</v>
      </c>
    </row>
    <row r="10" spans="2:24" x14ac:dyDescent="0.2">
      <c r="B10" s="128" t="s">
        <v>334</v>
      </c>
      <c r="C10" s="45">
        <f>incidenze!C51</f>
        <v>757317</v>
      </c>
      <c r="D10" s="151">
        <f>incidenze!D51</f>
        <v>965508.85379844788</v>
      </c>
      <c r="E10" s="11">
        <f>incidenze!E51</f>
        <v>1035131.7820578252</v>
      </c>
      <c r="F10" s="12">
        <f>incidenze!F51</f>
        <v>1115356.2125165733</v>
      </c>
    </row>
    <row r="11" spans="2:24" x14ac:dyDescent="0.2">
      <c r="B11" s="136" t="s">
        <v>336</v>
      </c>
      <c r="C11" s="153">
        <v>82949</v>
      </c>
      <c r="D11" s="145">
        <f>incidenze!D58*incidenze!D8</f>
        <v>89691.168165199997</v>
      </c>
      <c r="E11" s="145">
        <f>incidenze!E58*incidenze!E8</f>
        <v>93700.363382184427</v>
      </c>
      <c r="F11" s="147">
        <f>incidenze!F58*incidenze!F8</f>
        <v>97888.769625368077</v>
      </c>
    </row>
    <row r="12" spans="2:24" x14ac:dyDescent="0.2">
      <c r="B12" s="558" t="s">
        <v>980</v>
      </c>
      <c r="C12" s="565">
        <f>C7+C9+C10+C11</f>
        <v>9705479</v>
      </c>
      <c r="D12" s="496">
        <f>SUM(D7:D11)</f>
        <v>10136836.569141289</v>
      </c>
      <c r="E12" s="496">
        <f>SUM(E7:E11)</f>
        <v>10572385.569413656</v>
      </c>
      <c r="F12" s="559">
        <f>SUM(F7:F11)</f>
        <v>11033343.031158799</v>
      </c>
    </row>
    <row r="13" spans="2:24" x14ac:dyDescent="0.2">
      <c r="B13" s="560" t="s">
        <v>981</v>
      </c>
      <c r="C13" s="566">
        <v>0</v>
      </c>
      <c r="D13" s="557">
        <f>D12-C12</f>
        <v>431357.56914128922</v>
      </c>
      <c r="E13" s="557">
        <f>E12-D12</f>
        <v>435549.00027236715</v>
      </c>
      <c r="F13" s="561">
        <f>F12-E12</f>
        <v>460957.46174514294</v>
      </c>
    </row>
    <row r="14" spans="2:24" x14ac:dyDescent="0.2">
      <c r="B14" s="128"/>
      <c r="C14" s="45"/>
      <c r="D14" s="11"/>
      <c r="E14" s="11"/>
      <c r="F14" s="12"/>
    </row>
    <row r="15" spans="2:24" x14ac:dyDescent="0.2">
      <c r="B15" s="126" t="s">
        <v>982</v>
      </c>
      <c r="C15" s="46">
        <f>incidenze!C62</f>
        <v>2274193</v>
      </c>
      <c r="D15" s="41">
        <f>incidenze!D62</f>
        <v>2372164.4559813333</v>
      </c>
      <c r="E15" s="41">
        <f>incidenze!E62</f>
        <v>2455664.6448318763</v>
      </c>
      <c r="F15" s="40">
        <f>incidenze!F62</f>
        <v>2542104.0403299588</v>
      </c>
    </row>
    <row r="16" spans="2:24" x14ac:dyDescent="0.2">
      <c r="B16" s="128" t="s">
        <v>348</v>
      </c>
      <c r="C16" s="45">
        <f>incidenze!C65</f>
        <v>1126361</v>
      </c>
      <c r="D16" s="151">
        <f>FONTI!C22</f>
        <v>1436005.68</v>
      </c>
      <c r="E16" s="11">
        <f>FONTI!D22</f>
        <v>1539556.19</v>
      </c>
      <c r="F16" s="12">
        <f>FONTI!E22</f>
        <v>1658874.35</v>
      </c>
    </row>
    <row r="17" spans="2:6" x14ac:dyDescent="0.2">
      <c r="B17" s="128" t="s">
        <v>349</v>
      </c>
      <c r="C17" s="45">
        <f>935845</f>
        <v>935845</v>
      </c>
      <c r="D17" s="11">
        <f>incidenze!D67*incidenze!D8</f>
        <v>977677.27150000003</v>
      </c>
      <c r="E17" s="11">
        <f>incidenze!E67*incidenze!E8</f>
        <v>1021379.44553605</v>
      </c>
      <c r="F17" s="12">
        <f>incidenze!F67*incidenze!F8</f>
        <v>1067035.1067515113</v>
      </c>
    </row>
    <row r="18" spans="2:6" x14ac:dyDescent="0.2">
      <c r="B18" s="128" t="s">
        <v>411</v>
      </c>
      <c r="C18" s="45">
        <v>0</v>
      </c>
      <c r="D18" s="11">
        <v>0</v>
      </c>
      <c r="E18" s="11">
        <v>0</v>
      </c>
      <c r="F18" s="12">
        <v>0</v>
      </c>
    </row>
    <row r="19" spans="2:6" x14ac:dyDescent="0.2">
      <c r="B19" s="136" t="s">
        <v>1428</v>
      </c>
      <c r="C19" s="153">
        <v>0</v>
      </c>
      <c r="D19" s="145">
        <v>0</v>
      </c>
      <c r="E19" s="145">
        <v>0</v>
      </c>
      <c r="F19" s="147">
        <v>0</v>
      </c>
    </row>
    <row r="20" spans="2:6" x14ac:dyDescent="0.2">
      <c r="B20" s="558" t="s">
        <v>983</v>
      </c>
      <c r="C20" s="565">
        <f>SUM(C15:C18)</f>
        <v>4336399</v>
      </c>
      <c r="D20" s="496">
        <f>SUM(D15:D18)</f>
        <v>4785847.4074813332</v>
      </c>
      <c r="E20" s="496">
        <f>SUM(E15:E18)</f>
        <v>5016600.2803679258</v>
      </c>
      <c r="F20" s="559">
        <f>SUM(F15:F18)</f>
        <v>5268013.4970814697</v>
      </c>
    </row>
    <row r="21" spans="2:6" x14ac:dyDescent="0.2">
      <c r="B21" s="560" t="s">
        <v>981</v>
      </c>
      <c r="C21" s="566">
        <v>0</v>
      </c>
      <c r="D21" s="557">
        <f>D20-C20</f>
        <v>449448.40748133324</v>
      </c>
      <c r="E21" s="557">
        <f t="shared" ref="E21:F21" si="0">E20-D20</f>
        <v>230752.87288659252</v>
      </c>
      <c r="F21" s="561">
        <f t="shared" si="0"/>
        <v>251413.21671354398</v>
      </c>
    </row>
    <row r="22" spans="2:6" x14ac:dyDescent="0.2">
      <c r="B22" s="128"/>
      <c r="C22" s="45"/>
      <c r="D22" s="11"/>
      <c r="E22" s="11"/>
      <c r="F22" s="12"/>
    </row>
    <row r="23" spans="2:6" x14ac:dyDescent="0.2">
      <c r="B23" s="558" t="s">
        <v>978</v>
      </c>
      <c r="C23" s="565">
        <f>-C20+C12</f>
        <v>5369080</v>
      </c>
      <c r="D23" s="496">
        <f>-D20+D12</f>
        <v>5350989.161659956</v>
      </c>
      <c r="E23" s="496">
        <f>-E20+E12</f>
        <v>5555785.2890457306</v>
      </c>
      <c r="F23" s="559">
        <f>-F20+F12</f>
        <v>5765329.5340773296</v>
      </c>
    </row>
    <row r="24" spans="2:6" x14ac:dyDescent="0.2">
      <c r="B24" s="562" t="s">
        <v>984</v>
      </c>
      <c r="C24" s="567">
        <v>0</v>
      </c>
      <c r="D24" s="563">
        <f>D23-C23</f>
        <v>-18090.838340044022</v>
      </c>
      <c r="E24" s="563">
        <f t="shared" ref="E24:F24" si="1">E23-D23</f>
        <v>204796.12738577463</v>
      </c>
      <c r="F24" s="564">
        <f t="shared" si="1"/>
        <v>209544.24503159896</v>
      </c>
    </row>
    <row r="28" spans="2:6" x14ac:dyDescent="0.2">
      <c r="C28" s="794" t="s">
        <v>1518</v>
      </c>
      <c r="D28" s="790"/>
      <c r="E28" s="790"/>
      <c r="F28" s="790"/>
    </row>
    <row r="29" spans="2:6" ht="3" customHeight="1" x14ac:dyDescent="0.2">
      <c r="C29" s="845"/>
      <c r="D29" s="846"/>
      <c r="E29" s="846"/>
      <c r="F29" s="846"/>
    </row>
    <row r="31" spans="2:6" x14ac:dyDescent="0.2">
      <c r="C31" s="634" t="s">
        <v>1455</v>
      </c>
      <c r="D31" s="628">
        <v>2025</v>
      </c>
      <c r="E31" s="628">
        <v>2026</v>
      </c>
      <c r="F31" s="629">
        <v>2027</v>
      </c>
    </row>
    <row r="32" spans="2:6" x14ac:dyDescent="0.2">
      <c r="C32" s="42" t="str">
        <f>B23</f>
        <v>CCN operativo</v>
      </c>
      <c r="D32" s="143">
        <f>D23</f>
        <v>5350989.161659956</v>
      </c>
      <c r="E32" s="41">
        <f t="shared" ref="E32:F32" si="2">E23</f>
        <v>5555785.2890457306</v>
      </c>
      <c r="F32" s="40">
        <f t="shared" si="2"/>
        <v>5765329.5340773296</v>
      </c>
    </row>
    <row r="33" spans="3:6" x14ac:dyDescent="0.2">
      <c r="C33" s="10" t="s">
        <v>1456</v>
      </c>
      <c r="D33" s="151">
        <f>INV!N42</f>
        <v>8072455.7375932541</v>
      </c>
      <c r="E33" s="11">
        <f>INV!O42</f>
        <v>7288671.2468029736</v>
      </c>
      <c r="F33" s="12">
        <f>INV!P42</f>
        <v>6557438.0035879929</v>
      </c>
    </row>
    <row r="34" spans="3:6" x14ac:dyDescent="0.2">
      <c r="C34" s="10"/>
      <c r="D34" s="151"/>
      <c r="E34" s="11"/>
      <c r="F34" s="12"/>
    </row>
    <row r="35" spans="3:6" x14ac:dyDescent="0.2">
      <c r="C35" s="462" t="s">
        <v>1457</v>
      </c>
      <c r="D35" s="501">
        <f>D32+D33-D34</f>
        <v>13423444.89925321</v>
      </c>
      <c r="E35" s="110">
        <f>SUM(E32:E33)-E34</f>
        <v>12844456.535848703</v>
      </c>
      <c r="F35" s="458">
        <f>SUM(F32:F33)-F34</f>
        <v>12322767.537665322</v>
      </c>
    </row>
    <row r="39" spans="3:6" x14ac:dyDescent="0.2">
      <c r="C39" s="794" t="s">
        <v>1519</v>
      </c>
      <c r="D39" s="790"/>
      <c r="E39" s="790"/>
      <c r="F39" s="790"/>
    </row>
    <row r="40" spans="3:6" ht="5" customHeight="1" x14ac:dyDescent="0.2">
      <c r="C40" s="845"/>
      <c r="D40" s="846"/>
      <c r="E40" s="846"/>
      <c r="F40" s="846"/>
    </row>
    <row r="42" spans="3:6" x14ac:dyDescent="0.2">
      <c r="C42" s="634" t="s">
        <v>1392</v>
      </c>
      <c r="D42" s="628">
        <v>2025</v>
      </c>
      <c r="E42" s="628">
        <v>2026</v>
      </c>
      <c r="F42" s="629">
        <v>2027</v>
      </c>
    </row>
    <row r="43" spans="3:6" x14ac:dyDescent="0.2">
      <c r="C43" s="10" t="s">
        <v>1394</v>
      </c>
      <c r="D43" s="11">
        <f>D9</f>
        <v>4446660.0352999996</v>
      </c>
      <c r="E43" s="11">
        <f>E9</f>
        <v>4645425.7388779093</v>
      </c>
      <c r="F43" s="12">
        <f>F9</f>
        <v>4853076.2694057515</v>
      </c>
    </row>
    <row r="44" spans="3:6" x14ac:dyDescent="0.2">
      <c r="C44" s="10" t="s">
        <v>1395</v>
      </c>
      <c r="D44" s="11">
        <f>D15</f>
        <v>2372164.4559813333</v>
      </c>
      <c r="E44" s="11">
        <f>E15</f>
        <v>2455664.6448318763</v>
      </c>
      <c r="F44" s="12">
        <f>F15</f>
        <v>2542104.0403299588</v>
      </c>
    </row>
    <row r="45" spans="3:6" x14ac:dyDescent="0.2">
      <c r="C45" s="158" t="s">
        <v>1396</v>
      </c>
      <c r="D45" s="145">
        <f>D7</f>
        <v>4634976.5118776429</v>
      </c>
      <c r="E45" s="145">
        <f>E7</f>
        <v>4798127.6850957358</v>
      </c>
      <c r="F45" s="147">
        <f>F7</f>
        <v>4967021.779611106</v>
      </c>
    </row>
    <row r="49" spans="2:6" x14ac:dyDescent="0.2">
      <c r="C49" s="794" t="s">
        <v>1520</v>
      </c>
      <c r="D49" s="790"/>
      <c r="E49" s="843"/>
      <c r="F49" s="844"/>
    </row>
    <row r="50" spans="2:6" ht="4" customHeight="1" x14ac:dyDescent="0.2">
      <c r="C50" s="845"/>
      <c r="D50" s="846"/>
      <c r="E50" s="847"/>
      <c r="F50" s="848"/>
    </row>
    <row r="52" spans="2:6" x14ac:dyDescent="0.2">
      <c r="C52" s="634" t="s">
        <v>1393</v>
      </c>
      <c r="D52" s="628">
        <v>2025</v>
      </c>
      <c r="E52" s="628">
        <v>2026</v>
      </c>
      <c r="F52" s="629">
        <v>2027</v>
      </c>
    </row>
    <row r="53" spans="2:6" x14ac:dyDescent="0.2">
      <c r="C53" s="10" t="s">
        <v>1389</v>
      </c>
      <c r="D53" s="658">
        <f>incidenze!D54</f>
        <v>111.17592959202577</v>
      </c>
      <c r="E53" s="659">
        <f>incidenze!E54</f>
        <v>111.17592959202577</v>
      </c>
      <c r="F53" s="660">
        <f>incidenze!F54</f>
        <v>111.17592959202577</v>
      </c>
    </row>
    <row r="54" spans="2:6" x14ac:dyDescent="0.2">
      <c r="C54" s="10" t="s">
        <v>1390</v>
      </c>
      <c r="D54" s="661">
        <f>incidenze!D64</f>
        <v>46</v>
      </c>
      <c r="E54" s="245">
        <f>incidenze!E64</f>
        <v>46</v>
      </c>
      <c r="F54" s="246">
        <f>incidenze!F64</f>
        <v>46</v>
      </c>
    </row>
    <row r="55" spans="2:6" x14ac:dyDescent="0.2">
      <c r="C55" s="158" t="s">
        <v>1391</v>
      </c>
      <c r="D55" s="662">
        <f>incidenze!D49</f>
        <v>58.517654194334192</v>
      </c>
      <c r="E55" s="630">
        <f>incidenze!E49</f>
        <v>58.517654194334192</v>
      </c>
      <c r="F55" s="631">
        <f>incidenze!F49</f>
        <v>58.517654194334192</v>
      </c>
    </row>
    <row r="56" spans="2:6" x14ac:dyDescent="0.2">
      <c r="C56" s="635" t="s">
        <v>1388</v>
      </c>
      <c r="D56" s="632">
        <f>D55-(D54-D53)</f>
        <v>123.69358378635997</v>
      </c>
      <c r="E56" s="632">
        <f t="shared" ref="E56:F56" si="3">E55-(E54-E53)</f>
        <v>123.69358378635997</v>
      </c>
      <c r="F56" s="633">
        <f t="shared" si="3"/>
        <v>123.69358378635997</v>
      </c>
    </row>
    <row r="58" spans="2:6" x14ac:dyDescent="0.2">
      <c r="C58" s="789" t="s">
        <v>1662</v>
      </c>
      <c r="D58" s="790"/>
      <c r="E58" s="796"/>
      <c r="F58" s="798" t="s">
        <v>1264</v>
      </c>
    </row>
    <row r="59" spans="2:6" ht="5" customHeight="1" x14ac:dyDescent="0.2">
      <c r="C59" s="847"/>
      <c r="D59" s="847"/>
      <c r="E59" s="847"/>
      <c r="F59" s="848" t="s">
        <v>1500</v>
      </c>
    </row>
    <row r="60" spans="2:6" hidden="1" x14ac:dyDescent="0.2"/>
    <row r="61" spans="2:6" hidden="1" x14ac:dyDescent="0.2">
      <c r="C61" s="953" t="s">
        <v>1405</v>
      </c>
      <c r="D61" s="954"/>
    </row>
    <row r="62" spans="2:6" hidden="1" x14ac:dyDescent="0.2">
      <c r="C62" s="955" t="s">
        <v>1404</v>
      </c>
      <c r="E62" s="150"/>
    </row>
    <row r="63" spans="2:6" hidden="1" x14ac:dyDescent="0.2">
      <c r="C63" s="955"/>
      <c r="E63" s="482" t="s">
        <v>1388</v>
      </c>
    </row>
    <row r="64" spans="2:6" hidden="1" x14ac:dyDescent="0.2">
      <c r="B64" s="142"/>
      <c r="C64" s="624"/>
      <c r="D64" s="625"/>
      <c r="E64" s="626"/>
      <c r="F64" s="150"/>
    </row>
    <row r="65" spans="2:6" ht="17" hidden="1" x14ac:dyDescent="0.2">
      <c r="B65" s="142"/>
      <c r="C65" s="10" t="s">
        <v>1397</v>
      </c>
      <c r="D65" s="150" t="s">
        <v>1398</v>
      </c>
      <c r="E65" s="627" t="s">
        <v>1399</v>
      </c>
      <c r="F65" s="150" t="s">
        <v>1401</v>
      </c>
    </row>
    <row r="66" spans="2:6" hidden="1" x14ac:dyDescent="0.2">
      <c r="D66" s="150"/>
      <c r="E66" s="135" t="s">
        <v>1400</v>
      </c>
      <c r="F66" s="5" t="s">
        <v>1402</v>
      </c>
    </row>
    <row r="67" spans="2:6" hidden="1" x14ac:dyDescent="0.2">
      <c r="D67" s="953" t="s">
        <v>1403</v>
      </c>
      <c r="E67" s="954"/>
    </row>
    <row r="68" spans="2:6" hidden="1" x14ac:dyDescent="0.2"/>
    <row r="69" spans="2:6" hidden="1" x14ac:dyDescent="0.2"/>
    <row r="70" spans="2:6" hidden="1" x14ac:dyDescent="0.2">
      <c r="C70" s="5" t="s">
        <v>1655</v>
      </c>
    </row>
    <row r="71" spans="2:6" hidden="1" x14ac:dyDescent="0.2">
      <c r="C71" s="5" t="s">
        <v>1656</v>
      </c>
    </row>
    <row r="72" spans="2:6" hidden="1" x14ac:dyDescent="0.2">
      <c r="C72" t="s">
        <v>1657</v>
      </c>
      <c r="D72"/>
      <c r="E72"/>
      <c r="F72"/>
    </row>
    <row r="73" spans="2:6" hidden="1" x14ac:dyDescent="0.2">
      <c r="C73" s="5" t="s">
        <v>1658</v>
      </c>
      <c r="D73"/>
      <c r="E73"/>
      <c r="F73"/>
    </row>
    <row r="74" spans="2:6" hidden="1" x14ac:dyDescent="0.2">
      <c r="C74" s="5" t="s">
        <v>1659</v>
      </c>
      <c r="D74"/>
      <c r="E74"/>
      <c r="F74"/>
    </row>
    <row r="75" spans="2:6" hidden="1" x14ac:dyDescent="0.2">
      <c r="C75" s="5" t="s">
        <v>1660</v>
      </c>
      <c r="D75"/>
      <c r="E75"/>
      <c r="F75"/>
    </row>
    <row r="76" spans="2:6" hidden="1" x14ac:dyDescent="0.2">
      <c r="C76"/>
      <c r="D76"/>
      <c r="E76"/>
      <c r="F76"/>
    </row>
    <row r="77" spans="2:6" hidden="1" x14ac:dyDescent="0.2">
      <c r="C77" s="5" t="s">
        <v>1661</v>
      </c>
      <c r="D77"/>
      <c r="E77"/>
      <c r="F77"/>
    </row>
    <row r="78" spans="2:6" hidden="1" x14ac:dyDescent="0.2">
      <c r="C78"/>
      <c r="D78"/>
      <c r="E78"/>
      <c r="F78"/>
    </row>
  </sheetData>
  <mergeCells count="4">
    <mergeCell ref="D67:E67"/>
    <mergeCell ref="C61:D61"/>
    <mergeCell ref="C62:C63"/>
    <mergeCell ref="C4:J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3E5D-DC16-D649-8500-85FE11B2CF14}">
  <sheetPr>
    <tabColor rgb="FF92D050"/>
  </sheetPr>
  <dimension ref="B2:Z91"/>
  <sheetViews>
    <sheetView showGridLines="0" workbookViewId="0"/>
  </sheetViews>
  <sheetFormatPr baseColWidth="10" defaultRowHeight="16" x14ac:dyDescent="0.2"/>
  <cols>
    <col min="1" max="1" width="8.6640625" style="5" customWidth="1"/>
    <col min="2" max="2" width="36" style="5" customWidth="1"/>
    <col min="3" max="10" width="19.33203125" style="5" customWidth="1"/>
    <col min="11" max="11" width="19.33203125" style="5" hidden="1" customWidth="1"/>
    <col min="12" max="12" width="24.6640625" style="5" hidden="1" customWidth="1"/>
    <col min="13" max="16" width="19.33203125" style="5" hidden="1" customWidth="1"/>
    <col min="17" max="19" width="15.83203125" style="5" hidden="1" customWidth="1"/>
    <col min="20" max="22" width="10.83203125" style="5" hidden="1" customWidth="1"/>
    <col min="23" max="23" width="10.83203125" style="5" customWidth="1"/>
    <col min="24" max="16384" width="10.83203125" style="5"/>
  </cols>
  <sheetData>
    <row r="2" spans="2:18" ht="16" customHeight="1" x14ac:dyDescent="0.2">
      <c r="B2" s="794" t="s">
        <v>1373</v>
      </c>
      <c r="C2" s="795"/>
      <c r="D2" s="795"/>
      <c r="E2" s="796"/>
      <c r="F2" s="797"/>
      <c r="G2" s="798"/>
      <c r="H2" s="505"/>
      <c r="I2" s="288"/>
      <c r="J2" s="288"/>
    </row>
    <row r="3" spans="2:18" ht="8" customHeight="1" x14ac:dyDescent="0.2"/>
    <row r="4" spans="2:18" ht="19" x14ac:dyDescent="0.2">
      <c r="B4" s="463" t="s">
        <v>1356</v>
      </c>
      <c r="C4" s="544">
        <v>2023</v>
      </c>
      <c r="D4" s="421">
        <v>2024</v>
      </c>
      <c r="E4" s="420">
        <v>2025</v>
      </c>
      <c r="F4" s="420">
        <v>2026</v>
      </c>
      <c r="G4" s="421">
        <v>2027</v>
      </c>
    </row>
    <row r="5" spans="2:18" x14ac:dyDescent="0.2">
      <c r="B5" s="663" t="s">
        <v>975</v>
      </c>
      <c r="C5" s="664">
        <f>SUM(C6:C8)</f>
        <v>891542</v>
      </c>
      <c r="D5" s="665">
        <f>SUM(D6:D8)</f>
        <v>242430</v>
      </c>
      <c r="E5" s="664">
        <f>SUM(E6:E8)</f>
        <v>184573.17999999996</v>
      </c>
      <c r="F5" s="666">
        <f>SUM(F6:F8)</f>
        <v>33419.72</v>
      </c>
      <c r="G5" s="665">
        <f>SUM(G6:G8)</f>
        <v>40280.870000000003</v>
      </c>
      <c r="L5" s="5" t="s">
        <v>977</v>
      </c>
      <c r="O5" s="5" t="s">
        <v>1045</v>
      </c>
      <c r="P5" s="142" t="s">
        <v>1046</v>
      </c>
      <c r="Q5" s="231">
        <f>(D5+4256399)/D60</f>
        <v>1.32501898215589</v>
      </c>
    </row>
    <row r="6" spans="2:18" x14ac:dyDescent="0.2">
      <c r="B6" s="438" t="s">
        <v>976</v>
      </c>
      <c r="C6" s="151">
        <v>891422</v>
      </c>
      <c r="D6" s="12">
        <v>241919</v>
      </c>
      <c r="E6" s="151">
        <f>182756.83+21.36</f>
        <v>182778.18999999997</v>
      </c>
      <c r="F6" s="11">
        <f>R43-55.04+20.74</f>
        <v>25516.720000000005</v>
      </c>
      <c r="G6" s="12">
        <f>S43-0.25+20.1</f>
        <v>25570.870000000003</v>
      </c>
      <c r="P6" s="5" t="s">
        <v>1047</v>
      </c>
      <c r="R6" s="163" t="s">
        <v>1048</v>
      </c>
    </row>
    <row r="7" spans="2:18" x14ac:dyDescent="0.2">
      <c r="B7" s="438" t="s">
        <v>1354</v>
      </c>
      <c r="C7" s="151">
        <v>0</v>
      </c>
      <c r="D7" s="12">
        <v>0</v>
      </c>
      <c r="E7" s="151">
        <v>1700</v>
      </c>
      <c r="F7" s="11">
        <v>7000</v>
      </c>
      <c r="G7" s="12">
        <v>14000</v>
      </c>
      <c r="R7" s="5" t="s">
        <v>1049</v>
      </c>
    </row>
    <row r="8" spans="2:18" x14ac:dyDescent="0.2">
      <c r="B8" s="667" t="s">
        <v>1355</v>
      </c>
      <c r="C8" s="146">
        <v>120</v>
      </c>
      <c r="D8" s="147">
        <v>511</v>
      </c>
      <c r="E8" s="146">
        <v>94.99</v>
      </c>
      <c r="F8" s="145">
        <v>903</v>
      </c>
      <c r="G8" s="147">
        <v>710</v>
      </c>
      <c r="P8" s="5" t="s">
        <v>1050</v>
      </c>
      <c r="Q8" s="25">
        <f>D5/D60</f>
        <v>7.1401769625840938E-2</v>
      </c>
      <c r="R8" s="163" t="s">
        <v>1051</v>
      </c>
    </row>
    <row r="9" spans="2:18" x14ac:dyDescent="0.2">
      <c r="B9" s="687"/>
      <c r="C9" s="11"/>
      <c r="D9" s="11"/>
      <c r="E9" s="11"/>
      <c r="F9" s="11"/>
      <c r="G9" s="11"/>
      <c r="Q9" s="25"/>
      <c r="R9" s="163"/>
    </row>
    <row r="10" spans="2:18" x14ac:dyDescent="0.2">
      <c r="B10" s="687"/>
      <c r="C10" s="11"/>
      <c r="D10" s="11"/>
      <c r="E10" s="11"/>
      <c r="F10" s="11"/>
      <c r="G10" s="11"/>
      <c r="L10" s="163"/>
    </row>
    <row r="11" spans="2:18" x14ac:dyDescent="0.2">
      <c r="B11" s="687"/>
      <c r="C11" s="11"/>
      <c r="D11" s="11"/>
      <c r="E11" s="11"/>
      <c r="F11" s="11"/>
      <c r="G11" s="11"/>
      <c r="L11" s="163"/>
    </row>
    <row r="12" spans="2:18" x14ac:dyDescent="0.2">
      <c r="B12" s="789" t="s">
        <v>1602</v>
      </c>
      <c r="C12" s="761"/>
      <c r="D12" s="761"/>
      <c r="E12" s="761"/>
      <c r="F12" s="761"/>
      <c r="G12" s="761"/>
      <c r="L12" s="163"/>
    </row>
    <row r="13" spans="2:18" ht="8" customHeight="1" x14ac:dyDescent="0.2">
      <c r="C13" s="11"/>
      <c r="D13" s="11"/>
      <c r="E13" s="11"/>
      <c r="F13" s="11"/>
      <c r="G13" s="11"/>
      <c r="L13" s="163"/>
    </row>
    <row r="14" spans="2:18" ht="19" x14ac:dyDescent="0.2">
      <c r="B14" s="459" t="s">
        <v>1455</v>
      </c>
      <c r="C14" s="420">
        <v>2025</v>
      </c>
      <c r="D14" s="420">
        <v>2026</v>
      </c>
      <c r="E14" s="421">
        <v>2027</v>
      </c>
      <c r="F14" s="11"/>
      <c r="G14" s="11"/>
      <c r="L14" s="163"/>
    </row>
    <row r="15" spans="2:18" x14ac:dyDescent="0.2">
      <c r="B15" s="801" t="s">
        <v>1458</v>
      </c>
      <c r="C15" s="802">
        <f>CCN!D35</f>
        <v>13423444.89925321</v>
      </c>
      <c r="D15" s="803">
        <f>CCN!E35</f>
        <v>12844456.535848703</v>
      </c>
      <c r="E15" s="804">
        <f>CCN!F35</f>
        <v>12322767.537665322</v>
      </c>
      <c r="F15" s="11"/>
      <c r="G15" s="11"/>
      <c r="L15" s="163"/>
    </row>
    <row r="16" spans="2:18" x14ac:dyDescent="0.2">
      <c r="B16" s="150" t="s">
        <v>1459</v>
      </c>
      <c r="C16" s="143">
        <f>G73</f>
        <v>2417759.7383011458</v>
      </c>
      <c r="D16" s="41">
        <f>H73</f>
        <v>1349773.2304128343</v>
      </c>
      <c r="E16" s="40">
        <f t="shared" ref="E16" si="0">I73</f>
        <v>228946.51861336044</v>
      </c>
      <c r="F16" s="11"/>
      <c r="G16" s="11"/>
      <c r="L16" s="163"/>
    </row>
    <row r="17" spans="2:26" x14ac:dyDescent="0.2">
      <c r="B17" s="150" t="s">
        <v>1460</v>
      </c>
      <c r="C17" s="151">
        <f>G74</f>
        <v>3638932.4416988539</v>
      </c>
      <c r="D17" s="11">
        <f>H74</f>
        <v>2031522.6195871658</v>
      </c>
      <c r="E17" s="12">
        <f>I74</f>
        <v>344583.8313866395</v>
      </c>
      <c r="F17" s="11"/>
      <c r="G17" s="11"/>
      <c r="L17" s="163"/>
    </row>
    <row r="18" spans="2:26" x14ac:dyDescent="0.2">
      <c r="B18" s="136" t="s">
        <v>1557</v>
      </c>
      <c r="C18" s="146">
        <f>BP!D63</f>
        <v>5617286.9958218914</v>
      </c>
      <c r="D18" s="145">
        <f>BP!E63</f>
        <v>7141058.8602537215</v>
      </c>
      <c r="E18" s="147">
        <f>BP!F63</f>
        <v>8998219.3273611348</v>
      </c>
      <c r="F18" s="11"/>
      <c r="G18" s="11"/>
      <c r="L18" s="163"/>
    </row>
    <row r="19" spans="2:26" ht="17" hidden="1" customHeight="1" x14ac:dyDescent="0.2">
      <c r="B19" s="701" t="s">
        <v>1613</v>
      </c>
      <c r="C19" s="677">
        <f>C15-(C16+C17+C18+C22)-C20-C21</f>
        <v>3.4313192882109433E-3</v>
      </c>
      <c r="D19" s="675">
        <f t="shared" ref="D19:E19" si="1">D15-(D16+D17+D18+D22)-D20-D21</f>
        <v>-4.4050173601135612E-3</v>
      </c>
      <c r="E19" s="676">
        <f t="shared" si="1"/>
        <v>3.0418834649026394E-4</v>
      </c>
      <c r="F19" s="11"/>
      <c r="G19" s="11"/>
      <c r="L19" s="163"/>
    </row>
    <row r="20" spans="2:26" x14ac:dyDescent="0.2">
      <c r="B20" s="77" t="s">
        <v>1612</v>
      </c>
      <c r="C20" s="143">
        <f>C32</f>
        <v>129438</v>
      </c>
      <c r="D20" s="107">
        <f>D32</f>
        <v>129438</v>
      </c>
      <c r="E20" s="108">
        <f>E32</f>
        <v>129438</v>
      </c>
      <c r="F20" s="11"/>
      <c r="G20" s="11"/>
      <c r="L20" s="163"/>
    </row>
    <row r="21" spans="2:26" hidden="1" x14ac:dyDescent="0.2">
      <c r="B21" s="77" t="s">
        <v>1614</v>
      </c>
      <c r="C21" s="151">
        <v>184022.04</v>
      </c>
      <c r="D21" s="24">
        <v>653107.64</v>
      </c>
      <c r="E21" s="44">
        <v>962705.51</v>
      </c>
      <c r="F21" s="11"/>
      <c r="G21" s="11"/>
      <c r="L21" s="163"/>
    </row>
    <row r="22" spans="2:26" x14ac:dyDescent="0.2">
      <c r="B22" s="730" t="s">
        <v>348</v>
      </c>
      <c r="C22" s="146">
        <f>1436005.68</f>
        <v>1436005.68</v>
      </c>
      <c r="D22" s="145">
        <f>1539556.19</f>
        <v>1539556.19</v>
      </c>
      <c r="E22" s="147">
        <f>1658874.35</f>
        <v>1658874.35</v>
      </c>
      <c r="F22" s="11"/>
      <c r="G22" s="11"/>
      <c r="L22" s="163"/>
    </row>
    <row r="23" spans="2:26" x14ac:dyDescent="0.2">
      <c r="B23" s="26"/>
      <c r="C23" s="11"/>
      <c r="D23" s="24"/>
      <c r="E23" s="24"/>
      <c r="F23" s="11"/>
      <c r="G23" s="11"/>
      <c r="L23" s="163"/>
    </row>
    <row r="24" spans="2:26" x14ac:dyDescent="0.2">
      <c r="B24" s="26"/>
      <c r="C24" s="11"/>
      <c r="D24" s="24"/>
      <c r="E24" s="24"/>
      <c r="F24" s="11"/>
      <c r="G24" s="11"/>
      <c r="L24" s="163"/>
    </row>
    <row r="25" spans="2:26" x14ac:dyDescent="0.2">
      <c r="B25" s="26"/>
      <c r="C25" s="11"/>
      <c r="D25" s="24"/>
      <c r="E25" s="24"/>
      <c r="F25" s="11"/>
      <c r="G25" s="11"/>
      <c r="L25" s="163"/>
    </row>
    <row r="26" spans="2:26" x14ac:dyDescent="0.2">
      <c r="B26" s="789" t="s">
        <v>1610</v>
      </c>
      <c r="C26" s="761"/>
      <c r="D26" s="761"/>
      <c r="E26" s="761"/>
      <c r="F26" s="797"/>
      <c r="G26" s="798" t="s">
        <v>1264</v>
      </c>
      <c r="L26" s="163"/>
    </row>
    <row r="27" spans="2:26" ht="153" hidden="1" customHeight="1" x14ac:dyDescent="0.2">
      <c r="B27" s="203" t="s">
        <v>1257</v>
      </c>
      <c r="C27" s="956" t="s">
        <v>1609</v>
      </c>
      <c r="D27" s="956"/>
      <c r="E27" s="956"/>
      <c r="F27" s="956"/>
      <c r="G27" s="956"/>
      <c r="H27" s="956"/>
      <c r="I27" s="956"/>
      <c r="J27" s="956"/>
      <c r="K27" s="956"/>
      <c r="L27" s="956"/>
      <c r="M27" s="956"/>
      <c r="N27" s="956"/>
      <c r="O27" s="956"/>
      <c r="P27" s="956"/>
      <c r="Q27" s="956"/>
      <c r="R27" s="956"/>
      <c r="S27" s="956"/>
      <c r="T27" s="956"/>
      <c r="U27" s="956"/>
      <c r="V27" s="956"/>
      <c r="W27" s="956"/>
      <c r="X27" s="956"/>
      <c r="Y27" s="956"/>
      <c r="Z27" s="956"/>
    </row>
    <row r="28" spans="2:26" hidden="1" x14ac:dyDescent="0.2">
      <c r="B28" s="4"/>
      <c r="C28" s="11"/>
      <c r="D28" s="11"/>
      <c r="E28" s="11"/>
      <c r="F28" s="288"/>
      <c r="G28" s="505"/>
      <c r="L28" s="163"/>
    </row>
    <row r="29" spans="2:26" hidden="1" x14ac:dyDescent="0.2">
      <c r="B29" s="4"/>
      <c r="C29" s="11"/>
      <c r="D29" s="11"/>
      <c r="E29" s="11"/>
      <c r="F29" s="288"/>
      <c r="G29" s="505"/>
      <c r="L29" s="163"/>
    </row>
    <row r="30" spans="2:26" ht="8" customHeight="1" x14ac:dyDescent="0.2">
      <c r="C30" s="11"/>
      <c r="D30" s="11"/>
      <c r="E30" s="11"/>
      <c r="F30" s="11"/>
      <c r="G30" s="11"/>
      <c r="L30" s="163"/>
    </row>
    <row r="31" spans="2:26" ht="19" x14ac:dyDescent="0.2">
      <c r="B31" s="459" t="s">
        <v>1611</v>
      </c>
      <c r="C31" s="420">
        <v>2025</v>
      </c>
      <c r="D31" s="420">
        <v>2026</v>
      </c>
      <c r="E31" s="421">
        <v>2027</v>
      </c>
      <c r="F31" s="11"/>
      <c r="G31" s="11"/>
      <c r="L31" s="163"/>
    </row>
    <row r="32" spans="2:26" x14ac:dyDescent="0.2">
      <c r="B32" s="801" t="s">
        <v>1608</v>
      </c>
      <c r="C32" s="802">
        <v>129438</v>
      </c>
      <c r="D32" s="803">
        <v>129438</v>
      </c>
      <c r="E32" s="804">
        <v>129438</v>
      </c>
      <c r="F32" s="11"/>
      <c r="G32" s="11"/>
      <c r="L32" s="163"/>
    </row>
    <row r="33" spans="2:19" x14ac:dyDescent="0.2">
      <c r="B33" s="26"/>
      <c r="C33" s="11"/>
      <c r="D33" s="24"/>
      <c r="E33" s="24"/>
      <c r="F33" s="11"/>
      <c r="G33" s="11"/>
      <c r="L33" s="163"/>
    </row>
    <row r="34" spans="2:19" x14ac:dyDescent="0.2">
      <c r="B34" s="26"/>
      <c r="C34" s="11"/>
      <c r="D34" s="24"/>
      <c r="E34" s="24"/>
      <c r="F34" s="11"/>
      <c r="G34" s="11"/>
      <c r="L34" s="163"/>
    </row>
    <row r="35" spans="2:19" hidden="1" x14ac:dyDescent="0.2">
      <c r="B35" s="26"/>
      <c r="C35" s="11"/>
      <c r="D35" s="24"/>
      <c r="E35" s="24"/>
      <c r="F35" s="11"/>
      <c r="G35" s="11"/>
      <c r="L35" s="163"/>
    </row>
    <row r="36" spans="2:19" hidden="1" x14ac:dyDescent="0.2">
      <c r="B36" s="26"/>
      <c r="C36" s="24"/>
      <c r="D36" s="24"/>
      <c r="E36" s="24"/>
      <c r="F36" s="11"/>
      <c r="G36" s="11"/>
      <c r="L36" s="163"/>
    </row>
    <row r="37" spans="2:19" x14ac:dyDescent="0.2">
      <c r="C37" s="11"/>
      <c r="D37" s="11"/>
      <c r="E37" s="11"/>
      <c r="F37" s="11"/>
      <c r="G37" s="11"/>
      <c r="L37" s="163"/>
    </row>
    <row r="38" spans="2:19" x14ac:dyDescent="0.2">
      <c r="B38" s="794" t="s">
        <v>1372</v>
      </c>
      <c r="C38" s="761"/>
      <c r="D38" s="761"/>
      <c r="E38" s="761"/>
      <c r="F38" s="761"/>
      <c r="G38" s="761"/>
      <c r="L38" s="163"/>
    </row>
    <row r="39" spans="2:19" ht="8" customHeight="1" x14ac:dyDescent="0.2">
      <c r="C39" s="11"/>
      <c r="D39" s="11"/>
      <c r="E39" s="11"/>
      <c r="F39" s="11"/>
      <c r="G39" s="11"/>
    </row>
    <row r="40" spans="2:19" ht="19" x14ac:dyDescent="0.2">
      <c r="B40" s="419" t="s">
        <v>1357</v>
      </c>
      <c r="C40" s="544">
        <v>2023</v>
      </c>
      <c r="D40" s="421">
        <v>2024</v>
      </c>
      <c r="E40" s="420">
        <v>2025</v>
      </c>
      <c r="F40" s="420">
        <v>2026</v>
      </c>
      <c r="G40" s="421">
        <v>2027</v>
      </c>
      <c r="O40" s="463" t="s">
        <v>1361</v>
      </c>
      <c r="P40" s="536">
        <v>2024</v>
      </c>
      <c r="Q40" s="423">
        <v>2025</v>
      </c>
      <c r="R40" s="423">
        <v>2026</v>
      </c>
      <c r="S40" s="424">
        <v>2027</v>
      </c>
    </row>
    <row r="41" spans="2:19" x14ac:dyDescent="0.2">
      <c r="B41" s="126" t="s">
        <v>991</v>
      </c>
      <c r="C41" s="143">
        <f>C60</f>
        <v>3987523</v>
      </c>
      <c r="D41" s="40">
        <f>D60</f>
        <v>3395294</v>
      </c>
      <c r="E41" s="143">
        <f>G73</f>
        <v>2417759.7383011458</v>
      </c>
      <c r="F41" s="41">
        <f>H73</f>
        <v>1349773.2304128343</v>
      </c>
      <c r="G41" s="40">
        <f>I73</f>
        <v>228946.51861336044</v>
      </c>
      <c r="L41" s="163" t="s">
        <v>1056</v>
      </c>
      <c r="O41" s="42" t="s">
        <v>1052</v>
      </c>
      <c r="P41" s="143">
        <f>D60</f>
        <v>3395294</v>
      </c>
      <c r="Q41" s="41">
        <f>E60</f>
        <v>1953157.2</v>
      </c>
      <c r="R41" s="41">
        <f>F60</f>
        <v>255510.2</v>
      </c>
      <c r="S41" s="40">
        <f>G60</f>
        <v>255510.2</v>
      </c>
    </row>
    <row r="42" spans="2:19" hidden="1" x14ac:dyDescent="0.2">
      <c r="B42" s="438" t="s">
        <v>1055</v>
      </c>
      <c r="C42" s="151">
        <f>INV!D219+INV!D253+INV!D287+INV!D322+INV!D335</f>
        <v>121080.70999999999</v>
      </c>
      <c r="D42" s="12">
        <f>INV!C348</f>
        <v>118261.19</v>
      </c>
      <c r="E42" s="151">
        <f>E41*E54</f>
        <v>109524.51614504191</v>
      </c>
      <c r="F42" s="11" t="e">
        <f>#REF!*F54</f>
        <v>#REF!</v>
      </c>
      <c r="G42" s="12" t="e">
        <f>#REF!*G54</f>
        <v>#REF!</v>
      </c>
      <c r="H42" s="25"/>
      <c r="O42" s="10" t="s">
        <v>1054</v>
      </c>
      <c r="P42" s="154">
        <f>Q8</f>
        <v>7.1401769625840938E-2</v>
      </c>
      <c r="Q42" s="194">
        <v>0.1</v>
      </c>
      <c r="R42" s="194">
        <v>0.1</v>
      </c>
      <c r="S42" s="232">
        <v>0.1</v>
      </c>
    </row>
    <row r="43" spans="2:19" ht="17" customHeight="1" x14ac:dyDescent="0.2">
      <c r="B43" s="408" t="s">
        <v>1559</v>
      </c>
      <c r="C43" s="754">
        <f>C42</f>
        <v>121080.70999999999</v>
      </c>
      <c r="D43" s="474">
        <f>D42</f>
        <v>118261.19</v>
      </c>
      <c r="E43" s="754">
        <f>E41*E54</f>
        <v>109524.51614504191</v>
      </c>
      <c r="F43" s="473">
        <f>F41*F54</f>
        <v>60739.795368577543</v>
      </c>
      <c r="G43" s="474">
        <f>G41*G54</f>
        <v>11195.484760193325</v>
      </c>
      <c r="O43" s="177" t="s">
        <v>1053</v>
      </c>
      <c r="P43" s="216">
        <f>P41*P42</f>
        <v>242429.99999999997</v>
      </c>
      <c r="Q43" s="195">
        <f>Q41*Q42</f>
        <v>195315.72</v>
      </c>
      <c r="R43" s="195">
        <f>R41*R42</f>
        <v>25551.020000000004</v>
      </c>
      <c r="S43" s="196">
        <f>S41*S42</f>
        <v>25551.020000000004</v>
      </c>
    </row>
    <row r="44" spans="2:19" x14ac:dyDescent="0.2">
      <c r="B44" s="128"/>
      <c r="C44" s="151"/>
      <c r="D44" s="12"/>
      <c r="E44" s="151"/>
      <c r="F44" s="11"/>
      <c r="G44" s="12"/>
    </row>
    <row r="45" spans="2:19" x14ac:dyDescent="0.2">
      <c r="B45" s="755" t="s">
        <v>992</v>
      </c>
      <c r="C45" s="151">
        <f>C61</f>
        <v>6691873</v>
      </c>
      <c r="D45" s="12">
        <f>D61</f>
        <v>5110204</v>
      </c>
      <c r="E45" s="151">
        <f>G74</f>
        <v>3638932.4416988539</v>
      </c>
      <c r="F45" s="11">
        <f>H74</f>
        <v>2031522.6195871658</v>
      </c>
      <c r="G45" s="12">
        <f>I74</f>
        <v>344583.8313866395</v>
      </c>
    </row>
    <row r="46" spans="2:19" x14ac:dyDescent="0.2">
      <c r="B46" s="408" t="s">
        <v>1560</v>
      </c>
      <c r="C46" s="754">
        <f>C47-C43</f>
        <v>407262.29000000004</v>
      </c>
      <c r="D46" s="474">
        <f>503404-D43</f>
        <v>385142.81</v>
      </c>
      <c r="E46" s="754">
        <f>E45*E55</f>
        <v>160840.81392308936</v>
      </c>
      <c r="F46" s="473">
        <f>F45*F55</f>
        <v>110921.13502945926</v>
      </c>
      <c r="G46" s="474">
        <f>G45*G55</f>
        <v>17905.761889900758</v>
      </c>
      <c r="H46" s="25"/>
      <c r="I46" s="163"/>
    </row>
    <row r="47" spans="2:19" x14ac:dyDescent="0.2">
      <c r="B47" s="574" t="s">
        <v>1197</v>
      </c>
      <c r="C47" s="575">
        <v>528343</v>
      </c>
      <c r="D47" s="480">
        <f>D46+D43</f>
        <v>503404</v>
      </c>
      <c r="E47" s="575">
        <f>E46+E43</f>
        <v>270365.33006813127</v>
      </c>
      <c r="F47" s="479">
        <f>F46+F43</f>
        <v>171660.93039803678</v>
      </c>
      <c r="G47" s="480">
        <f>G46+G43</f>
        <v>29101.246650094083</v>
      </c>
    </row>
    <row r="48" spans="2:19" x14ac:dyDescent="0.2">
      <c r="I48" s="163"/>
    </row>
    <row r="49" spans="2:9" x14ac:dyDescent="0.2">
      <c r="I49" s="163"/>
    </row>
    <row r="51" spans="2:9" x14ac:dyDescent="0.2">
      <c r="B51" s="789" t="s">
        <v>1600</v>
      </c>
      <c r="C51" s="790"/>
      <c r="D51" s="790"/>
      <c r="E51" s="790"/>
      <c r="F51" s="790"/>
      <c r="G51" s="790"/>
    </row>
    <row r="52" spans="2:9" ht="8" customHeight="1" x14ac:dyDescent="0.2"/>
    <row r="53" spans="2:9" ht="19" x14ac:dyDescent="0.2">
      <c r="B53" s="419" t="s">
        <v>1360</v>
      </c>
      <c r="C53" s="544">
        <v>2023</v>
      </c>
      <c r="D53" s="421">
        <v>2024</v>
      </c>
      <c r="E53" s="420">
        <v>2025</v>
      </c>
      <c r="F53" s="420">
        <v>2026</v>
      </c>
      <c r="G53" s="421">
        <v>2027</v>
      </c>
    </row>
    <row r="54" spans="2:9" x14ac:dyDescent="0.2">
      <c r="B54" s="689" t="s">
        <v>1060</v>
      </c>
      <c r="C54" s="741">
        <f>C43/C41</f>
        <v>3.0364893193092553E-2</v>
      </c>
      <c r="D54" s="577">
        <f>D43/D41</f>
        <v>3.4830913022554158E-2</v>
      </c>
      <c r="E54" s="576">
        <v>4.53E-2</v>
      </c>
      <c r="F54" s="576">
        <v>4.4999999999999998E-2</v>
      </c>
      <c r="G54" s="577">
        <v>4.8899999999999999E-2</v>
      </c>
    </row>
    <row r="55" spans="2:9" x14ac:dyDescent="0.2">
      <c r="B55" s="758" t="s">
        <v>1061</v>
      </c>
      <c r="C55" s="742">
        <f>E78</f>
        <v>4.9473116269871442E-2</v>
      </c>
      <c r="D55" s="580">
        <f>F78</f>
        <v>5.9185717285454659E-2</v>
      </c>
      <c r="E55" s="579">
        <v>4.4200000000000003E-2</v>
      </c>
      <c r="F55" s="579">
        <f>E55+0.0104</f>
        <v>5.4600000000000003E-2</v>
      </c>
      <c r="G55" s="580">
        <f>_xlfn.FORECAST.LINEAR(G53,C55:F55,C53:F53)</f>
        <v>5.196344186506429E-2</v>
      </c>
    </row>
    <row r="56" spans="2:9" x14ac:dyDescent="0.2">
      <c r="B56" s="4"/>
      <c r="C56" s="756"/>
      <c r="D56" s="25"/>
      <c r="E56" s="25" t="s">
        <v>1561</v>
      </c>
      <c r="F56" s="25"/>
      <c r="G56" s="25"/>
    </row>
    <row r="58" spans="2:9" x14ac:dyDescent="0.2">
      <c r="I58" s="163"/>
    </row>
    <row r="59" spans="2:9" ht="19" hidden="1" x14ac:dyDescent="0.2">
      <c r="B59" s="463" t="s">
        <v>993</v>
      </c>
      <c r="C59" s="536">
        <v>2023</v>
      </c>
      <c r="D59" s="424">
        <v>2024</v>
      </c>
      <c r="E59" s="423">
        <v>2025</v>
      </c>
      <c r="F59" s="423">
        <v>2026</v>
      </c>
      <c r="G59" s="424">
        <v>2027</v>
      </c>
      <c r="I59" s="163"/>
    </row>
    <row r="60" spans="2:9" hidden="1" x14ac:dyDescent="0.2">
      <c r="B60" s="126" t="s">
        <v>989</v>
      </c>
      <c r="C60" s="149">
        <f>INV!C372</f>
        <v>3987523</v>
      </c>
      <c r="D60" s="12">
        <f>INV!D372</f>
        <v>3395294</v>
      </c>
      <c r="E60" s="143">
        <f>0.5*D60+0.05*D61</f>
        <v>1953157.2</v>
      </c>
      <c r="F60" s="41">
        <f>0.05*D61</f>
        <v>255510.2</v>
      </c>
      <c r="G60" s="40">
        <f>D61*0.05</f>
        <v>255510.2</v>
      </c>
    </row>
    <row r="61" spans="2:9" hidden="1" x14ac:dyDescent="0.2">
      <c r="B61" s="150" t="s">
        <v>990</v>
      </c>
      <c r="C61" s="149">
        <f>INV!C371</f>
        <v>6691873</v>
      </c>
      <c r="D61" s="12">
        <f>INV!D371</f>
        <v>5110204</v>
      </c>
      <c r="E61" s="151">
        <f>0.9*D61</f>
        <v>4599183.6000000006</v>
      </c>
      <c r="F61" s="11">
        <f>E61-F60</f>
        <v>4343673.4000000004</v>
      </c>
      <c r="G61" s="12">
        <f>F61-G60</f>
        <v>4088163.2</v>
      </c>
    </row>
    <row r="62" spans="2:9" hidden="1" x14ac:dyDescent="0.2">
      <c r="B62" s="150" t="s">
        <v>994</v>
      </c>
      <c r="C62" s="149">
        <v>435</v>
      </c>
      <c r="D62" s="12">
        <v>435</v>
      </c>
      <c r="E62" s="146">
        <f>D62</f>
        <v>435</v>
      </c>
      <c r="F62" s="145">
        <f>E62</f>
        <v>435</v>
      </c>
      <c r="G62" s="147">
        <f>F62</f>
        <v>435</v>
      </c>
    </row>
    <row r="63" spans="2:9" hidden="1" x14ac:dyDescent="0.2">
      <c r="B63" s="126" t="s">
        <v>995</v>
      </c>
      <c r="C63" s="143">
        <v>135216</v>
      </c>
      <c r="D63" s="40">
        <v>235721</v>
      </c>
      <c r="E63" s="143">
        <f>TAX!D8+TAX!D12</f>
        <v>585090.2408304594</v>
      </c>
      <c r="F63" s="41">
        <f>TAX!E8+TAX!E12</f>
        <v>700688.54838912841</v>
      </c>
      <c r="G63" s="40">
        <f>TAX!F8+TAX!F12</f>
        <v>825126.81173607579</v>
      </c>
    </row>
    <row r="64" spans="2:9" hidden="1" x14ac:dyDescent="0.2">
      <c r="B64" s="136" t="s">
        <v>996</v>
      </c>
      <c r="C64" s="146">
        <v>86558</v>
      </c>
      <c r="D64" s="147">
        <v>70140</v>
      </c>
      <c r="E64" s="146">
        <v>0</v>
      </c>
      <c r="F64" s="145">
        <v>0</v>
      </c>
      <c r="G64" s="147">
        <v>0</v>
      </c>
    </row>
    <row r="65" spans="2:9" hidden="1" x14ac:dyDescent="0.2">
      <c r="B65" s="136" t="s">
        <v>997</v>
      </c>
      <c r="C65" s="146">
        <v>669806</v>
      </c>
      <c r="D65" s="147">
        <v>820065</v>
      </c>
      <c r="E65" s="145">
        <f>INV!H190</f>
        <v>669806</v>
      </c>
      <c r="F65" s="145">
        <f>INV!I190</f>
        <v>519547</v>
      </c>
      <c r="G65" s="147">
        <f>INV!J190</f>
        <v>369288</v>
      </c>
    </row>
    <row r="66" spans="2:9" hidden="1" x14ac:dyDescent="0.2"/>
    <row r="67" spans="2:9" hidden="1" x14ac:dyDescent="0.2"/>
    <row r="68" spans="2:9" hidden="1" x14ac:dyDescent="0.2"/>
    <row r="69" spans="2:9" hidden="1" x14ac:dyDescent="0.2"/>
    <row r="70" spans="2:9" x14ac:dyDescent="0.2">
      <c r="B70" s="789" t="s">
        <v>1601</v>
      </c>
      <c r="C70" s="790"/>
      <c r="D70" s="790"/>
      <c r="E70" s="790"/>
      <c r="F70" s="790"/>
      <c r="G70" s="790"/>
      <c r="H70" s="790"/>
      <c r="I70" s="790"/>
    </row>
    <row r="71" spans="2:9" ht="8" customHeight="1" x14ac:dyDescent="0.2"/>
    <row r="72" spans="2:9" ht="19" x14ac:dyDescent="0.2">
      <c r="B72" s="463" t="s">
        <v>1562</v>
      </c>
      <c r="C72" s="536">
        <v>2021</v>
      </c>
      <c r="D72" s="423">
        <v>2022</v>
      </c>
      <c r="E72" s="423">
        <v>2023</v>
      </c>
      <c r="F72" s="424">
        <v>2024</v>
      </c>
      <c r="G72" s="423">
        <v>2025</v>
      </c>
      <c r="H72" s="423">
        <v>2026</v>
      </c>
      <c r="I72" s="424">
        <v>2027</v>
      </c>
    </row>
    <row r="73" spans="2:9" x14ac:dyDescent="0.2">
      <c r="B73" s="126" t="s">
        <v>991</v>
      </c>
      <c r="C73" s="143">
        <v>3495062</v>
      </c>
      <c r="D73" s="41">
        <v>4519420</v>
      </c>
      <c r="E73" s="41">
        <v>3987523</v>
      </c>
      <c r="F73" s="41">
        <v>3395294</v>
      </c>
      <c r="G73" s="700">
        <f>G76*G75</f>
        <v>2417759.7383011458</v>
      </c>
      <c r="H73" s="229">
        <f>H75*H76</f>
        <v>1349773.2304128343</v>
      </c>
      <c r="I73" s="230">
        <f>I75*I76</f>
        <v>228946.51861336044</v>
      </c>
    </row>
    <row r="74" spans="2:9" x14ac:dyDescent="0.2">
      <c r="B74" s="755" t="s">
        <v>992</v>
      </c>
      <c r="C74" s="149">
        <v>7333471</v>
      </c>
      <c r="D74" s="11">
        <v>6691933</v>
      </c>
      <c r="E74" s="11">
        <v>6691873</v>
      </c>
      <c r="F74" s="11">
        <v>5110204</v>
      </c>
      <c r="G74" s="745">
        <f>G75-G73</f>
        <v>3638932.4416988539</v>
      </c>
      <c r="H74" s="473">
        <f>H75-H73</f>
        <v>2031522.6195871658</v>
      </c>
      <c r="I74" s="474">
        <f>I75-I73</f>
        <v>344583.8313866395</v>
      </c>
    </row>
    <row r="75" spans="2:9" x14ac:dyDescent="0.2">
      <c r="B75" s="744" t="s">
        <v>1536</v>
      </c>
      <c r="C75" s="748">
        <f>SUM(C73:C74)</f>
        <v>10828533</v>
      </c>
      <c r="D75" s="8">
        <f t="shared" ref="D75:E75" si="2">SUM(D73:D74)</f>
        <v>11211353</v>
      </c>
      <c r="E75" s="8">
        <f t="shared" si="2"/>
        <v>10679396</v>
      </c>
      <c r="F75" s="9">
        <f>SUM(F73:F74)</f>
        <v>8505498</v>
      </c>
      <c r="G75" s="418">
        <f>6056692.18</f>
        <v>6056692.1799999997</v>
      </c>
      <c r="H75" s="418">
        <f>3381295.85</f>
        <v>3381295.85</v>
      </c>
      <c r="I75" s="436">
        <f>573530.35</f>
        <v>573530.35</v>
      </c>
    </row>
    <row r="76" spans="2:9" x14ac:dyDescent="0.2">
      <c r="B76" s="757" t="s">
        <v>1537</v>
      </c>
      <c r="C76" s="155">
        <f>C73/C75</f>
        <v>0.32276412695976453</v>
      </c>
      <c r="D76" s="156">
        <f t="shared" ref="D76:E76" si="3">D73/D75</f>
        <v>0.40311102504755669</v>
      </c>
      <c r="E76" s="156">
        <f t="shared" si="3"/>
        <v>0.37338469329164309</v>
      </c>
      <c r="F76" s="156">
        <f>F73/F75</f>
        <v>0.39918814865396479</v>
      </c>
      <c r="G76" s="746">
        <f>F76</f>
        <v>0.39918814865396479</v>
      </c>
      <c r="H76" s="579">
        <f>G76</f>
        <v>0.39918814865396479</v>
      </c>
      <c r="I76" s="580">
        <f>H76</f>
        <v>0.39918814865396479</v>
      </c>
    </row>
    <row r="77" spans="2:9" x14ac:dyDescent="0.2">
      <c r="B77" s="689" t="s">
        <v>1060</v>
      </c>
      <c r="C77" s="697">
        <f>_xlfn.FORECAST.LINEAR(C72,D77:F77,D72:F72)</f>
        <v>2.1432853534170349E-2</v>
      </c>
      <c r="D77" s="576">
        <f>_xlfn.FORECAST.LINEAR(D72,E77:F77,E72:F72)</f>
        <v>2.5898873363631836E-2</v>
      </c>
      <c r="E77" s="576">
        <f>C43/E73</f>
        <v>3.0364893193092553E-2</v>
      </c>
      <c r="F77" s="576">
        <f>D43/F73</f>
        <v>3.4830913022554158E-2</v>
      </c>
      <c r="G77" s="697">
        <f t="shared" ref="G77:I78" si="4">E54</f>
        <v>4.53E-2</v>
      </c>
      <c r="H77" s="576">
        <f t="shared" si="4"/>
        <v>4.4999999999999998E-2</v>
      </c>
      <c r="I77" s="577">
        <f t="shared" si="4"/>
        <v>4.8899999999999999E-2</v>
      </c>
    </row>
    <row r="78" spans="2:9" x14ac:dyDescent="0.2">
      <c r="B78" s="758" t="s">
        <v>1061</v>
      </c>
      <c r="C78" s="747">
        <f>C79/C75</f>
        <v>1.9153841060464978E-2</v>
      </c>
      <c r="D78" s="579">
        <f>D79/D75</f>
        <v>2.262652866250844E-2</v>
      </c>
      <c r="E78" s="571">
        <f>E79/E75</f>
        <v>4.9473116269871442E-2</v>
      </c>
      <c r="F78" s="571">
        <f>F79/F75</f>
        <v>5.9185717285454659E-2</v>
      </c>
      <c r="G78" s="747">
        <f t="shared" si="4"/>
        <v>4.4200000000000003E-2</v>
      </c>
      <c r="H78" s="579">
        <f t="shared" si="4"/>
        <v>5.4600000000000003E-2</v>
      </c>
      <c r="I78" s="580">
        <f t="shared" si="4"/>
        <v>5.196344186506429E-2</v>
      </c>
    </row>
    <row r="79" spans="2:9" x14ac:dyDescent="0.2">
      <c r="B79" s="574" t="s">
        <v>1558</v>
      </c>
      <c r="C79" s="749">
        <v>207408</v>
      </c>
      <c r="D79" s="759">
        <v>253674</v>
      </c>
      <c r="E79" s="52">
        <v>528343</v>
      </c>
      <c r="F79" s="51">
        <f>D47</f>
        <v>503404</v>
      </c>
      <c r="G79" s="543">
        <f>E47</f>
        <v>270365.33006813127</v>
      </c>
      <c r="H79" s="110">
        <f>F47</f>
        <v>171660.93039803678</v>
      </c>
      <c r="I79" s="466">
        <f>G47</f>
        <v>29101.246650094083</v>
      </c>
    </row>
    <row r="81" spans="2:9" x14ac:dyDescent="0.2">
      <c r="G81" s="11"/>
      <c r="H81" s="11"/>
      <c r="I81" s="11"/>
    </row>
    <row r="82" spans="2:9" x14ac:dyDescent="0.2">
      <c r="H82" s="11"/>
    </row>
    <row r="83" spans="2:9" ht="26" x14ac:dyDescent="0.2">
      <c r="B83" s="124"/>
      <c r="C83" s="124"/>
      <c r="D83" s="388"/>
      <c r="H83" s="11"/>
    </row>
    <row r="84" spans="2:9" x14ac:dyDescent="0.2">
      <c r="B84"/>
      <c r="C84"/>
      <c r="D84"/>
      <c r="E84"/>
      <c r="F84"/>
      <c r="G84"/>
      <c r="H84" s="11"/>
    </row>
    <row r="85" spans="2:9" x14ac:dyDescent="0.2">
      <c r="B85"/>
      <c r="C85"/>
      <c r="D85"/>
      <c r="E85"/>
      <c r="F85"/>
      <c r="G85"/>
      <c r="H85" s="11"/>
    </row>
    <row r="86" spans="2:9" x14ac:dyDescent="0.2">
      <c r="B86"/>
      <c r="C86"/>
      <c r="D86"/>
      <c r="E86"/>
      <c r="F86"/>
      <c r="G86"/>
      <c r="H86" s="11"/>
    </row>
    <row r="87" spans="2:9" x14ac:dyDescent="0.2">
      <c r="B87"/>
      <c r="C87"/>
      <c r="D87"/>
      <c r="E87"/>
      <c r="F87"/>
      <c r="G87"/>
      <c r="H87" s="11"/>
    </row>
    <row r="88" spans="2:9" x14ac:dyDescent="0.2">
      <c r="B88"/>
      <c r="C88"/>
      <c r="D88"/>
      <c r="E88"/>
      <c r="F88"/>
      <c r="G88"/>
    </row>
    <row r="89" spans="2:9" x14ac:dyDescent="0.2">
      <c r="B89"/>
      <c r="C89"/>
      <c r="D89"/>
      <c r="E89"/>
      <c r="F89"/>
      <c r="G89"/>
    </row>
    <row r="90" spans="2:9" x14ac:dyDescent="0.2">
      <c r="B90"/>
      <c r="C90"/>
      <c r="D90"/>
      <c r="E90"/>
      <c r="F90"/>
      <c r="G90"/>
    </row>
    <row r="91" spans="2:9" x14ac:dyDescent="0.2">
      <c r="B91"/>
      <c r="C91"/>
      <c r="D91"/>
      <c r="E91"/>
      <c r="F91"/>
      <c r="G91"/>
    </row>
  </sheetData>
  <mergeCells count="1">
    <mergeCell ref="C27:Z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1355-35B2-194D-92D9-8B0A432CDEED}">
  <sheetPr>
    <tabColor rgb="FF92D050"/>
  </sheetPr>
  <dimension ref="B2:O60"/>
  <sheetViews>
    <sheetView showGridLines="0" workbookViewId="0"/>
  </sheetViews>
  <sheetFormatPr baseColWidth="10" defaultRowHeight="16" x14ac:dyDescent="0.2"/>
  <cols>
    <col min="1" max="1" width="8.6640625" customWidth="1"/>
    <col min="2" max="2" width="55.6640625" bestFit="1" customWidth="1"/>
    <col min="3" max="15" width="19.33203125" customWidth="1"/>
  </cols>
  <sheetData>
    <row r="2" spans="2:15" x14ac:dyDescent="0.2">
      <c r="B2" s="794" t="s">
        <v>1532</v>
      </c>
      <c r="C2" s="799"/>
      <c r="D2" s="799"/>
      <c r="E2" s="799"/>
      <c r="F2" s="799"/>
    </row>
    <row r="3" spans="2:15" ht="8" customHeight="1" x14ac:dyDescent="0.2"/>
    <row r="4" spans="2:15" ht="19" x14ac:dyDescent="0.25">
      <c r="B4" s="609" t="s">
        <v>1363</v>
      </c>
      <c r="C4" s="612">
        <v>2024</v>
      </c>
      <c r="D4" s="623">
        <v>2025</v>
      </c>
      <c r="E4" s="610">
        <v>2026</v>
      </c>
      <c r="F4" s="611">
        <v>2027</v>
      </c>
    </row>
    <row r="5" spans="2:15" x14ac:dyDescent="0.2">
      <c r="B5" s="197" t="s">
        <v>1062</v>
      </c>
      <c r="C5" s="613">
        <f>incidenze!C36</f>
        <v>0.24</v>
      </c>
      <c r="D5" s="616">
        <f>incidenze!D36</f>
        <v>0.24</v>
      </c>
      <c r="E5" s="603">
        <f>incidenze!E36</f>
        <v>0.24</v>
      </c>
      <c r="F5" s="617">
        <f>incidenze!F36</f>
        <v>0.24</v>
      </c>
    </row>
    <row r="6" spans="2:15" x14ac:dyDescent="0.2">
      <c r="B6" s="197" t="s">
        <v>1067</v>
      </c>
      <c r="C6" s="198">
        <f>BP!C31</f>
        <v>1087200.9958218909</v>
      </c>
      <c r="D6" s="618">
        <f>BP!D31</f>
        <v>2108862.1052622898</v>
      </c>
      <c r="E6" s="199">
        <f>BP!E31</f>
        <v>2557849.0154965413</v>
      </c>
      <c r="F6" s="200">
        <f>BP!F31</f>
        <v>3041515.8833990917</v>
      </c>
    </row>
    <row r="7" spans="2:15" x14ac:dyDescent="0.2">
      <c r="B7" s="197" t="s">
        <v>1066</v>
      </c>
      <c r="C7" s="198">
        <f>incidenze!C38</f>
        <v>1087200.9958218909</v>
      </c>
      <c r="D7" s="618">
        <f>incidenze!D38</f>
        <v>2108862.1052622898</v>
      </c>
      <c r="E7" s="199">
        <f>incidenze!E38</f>
        <v>2557849.0154965413</v>
      </c>
      <c r="F7" s="200">
        <f>incidenze!F38</f>
        <v>3041515.8833990917</v>
      </c>
    </row>
    <row r="8" spans="2:15" x14ac:dyDescent="0.2">
      <c r="B8" s="605" t="s">
        <v>1065</v>
      </c>
      <c r="C8" s="614">
        <f>incidenze!C39</f>
        <v>260928.23899725379</v>
      </c>
      <c r="D8" s="619">
        <f>incidenze!D39</f>
        <v>506126.90526294953</v>
      </c>
      <c r="E8" s="606">
        <f>incidenze!E39</f>
        <v>613883.76371916989</v>
      </c>
      <c r="F8" s="620">
        <f>incidenze!F39</f>
        <v>729963.81201578199</v>
      </c>
    </row>
    <row r="9" spans="2:15" x14ac:dyDescent="0.2">
      <c r="B9" s="197"/>
      <c r="C9" s="586"/>
      <c r="D9" s="197"/>
      <c r="F9" s="604"/>
    </row>
    <row r="10" spans="2:15" x14ac:dyDescent="0.2">
      <c r="B10" s="197" t="s">
        <v>1063</v>
      </c>
      <c r="C10" s="613">
        <f>incidenze!C41</f>
        <v>2.6800000000000001E-2</v>
      </c>
      <c r="D10" s="616">
        <f>incidenze!D41</f>
        <v>2.6800000000000001E-2</v>
      </c>
      <c r="E10" s="603">
        <f>incidenze!E41</f>
        <v>2.6800000000000001E-2</v>
      </c>
      <c r="F10" s="617">
        <f>incidenze!F41</f>
        <v>2.6800000000000001E-2</v>
      </c>
    </row>
    <row r="11" spans="2:15" x14ac:dyDescent="0.2">
      <c r="B11" s="197" t="s">
        <v>1064</v>
      </c>
      <c r="C11" s="198">
        <f>incidenze!C42</f>
        <v>2279853.9958218932</v>
      </c>
      <c r="D11" s="618">
        <f>incidenze!D42</f>
        <v>2946393.1181906685</v>
      </c>
      <c r="E11" s="199">
        <f>incidenze!E42</f>
        <v>3238984.5026103929</v>
      </c>
      <c r="F11" s="200">
        <f>incidenze!F42</f>
        <v>3550858.1985184252</v>
      </c>
    </row>
    <row r="12" spans="2:15" x14ac:dyDescent="0.2">
      <c r="B12" s="607" t="s">
        <v>1383</v>
      </c>
      <c r="C12" s="615">
        <f>incidenze!C43</f>
        <v>61100.087088026739</v>
      </c>
      <c r="D12" s="621">
        <f>incidenze!D43</f>
        <v>78963.335567509916</v>
      </c>
      <c r="E12" s="608">
        <f>incidenze!E43</f>
        <v>86804.784669958535</v>
      </c>
      <c r="F12" s="622">
        <f>incidenze!F43</f>
        <v>95162.999720293796</v>
      </c>
    </row>
    <row r="16" spans="2:15" x14ac:dyDescent="0.2">
      <c r="B16" s="794" t="s">
        <v>1533</v>
      </c>
      <c r="C16" s="799"/>
      <c r="D16" s="799"/>
      <c r="E16" s="799"/>
      <c r="F16" s="799"/>
      <c r="G16" s="799"/>
      <c r="H16" s="799"/>
      <c r="I16" s="799"/>
      <c r="J16" s="799"/>
      <c r="K16" s="799"/>
      <c r="L16" s="799"/>
      <c r="M16" s="799"/>
      <c r="N16" s="799"/>
      <c r="O16" s="799"/>
    </row>
    <row r="17" spans="2:15" ht="8" customHeight="1" x14ac:dyDescent="0.2">
      <c r="B17" s="57"/>
    </row>
    <row r="18" spans="2:15" x14ac:dyDescent="0.2">
      <c r="D18" s="957" t="s">
        <v>1129</v>
      </c>
      <c r="E18" s="958"/>
      <c r="F18" s="959"/>
      <c r="G18" s="957" t="s">
        <v>1412</v>
      </c>
      <c r="H18" s="958"/>
      <c r="I18" s="959"/>
      <c r="J18" s="957" t="s">
        <v>1416</v>
      </c>
      <c r="K18" s="958"/>
      <c r="L18" s="959"/>
      <c r="M18" s="957" t="s">
        <v>1417</v>
      </c>
      <c r="N18" s="958"/>
      <c r="O18" s="959"/>
    </row>
    <row r="19" spans="2:15" ht="19" x14ac:dyDescent="0.25">
      <c r="B19" s="656" t="s">
        <v>1407</v>
      </c>
      <c r="C19" s="641" t="s">
        <v>1408</v>
      </c>
      <c r="D19" s="623">
        <v>2025</v>
      </c>
      <c r="E19" s="610">
        <v>2026</v>
      </c>
      <c r="F19" s="611">
        <v>2027</v>
      </c>
      <c r="G19" s="623">
        <v>2025</v>
      </c>
      <c r="H19" s="610">
        <v>2026</v>
      </c>
      <c r="I19" s="611">
        <v>2027</v>
      </c>
      <c r="J19" s="610">
        <v>2025</v>
      </c>
      <c r="K19" s="610">
        <v>2026</v>
      </c>
      <c r="L19" s="611">
        <v>2027</v>
      </c>
      <c r="M19" s="642">
        <v>2025</v>
      </c>
      <c r="N19" s="642">
        <v>2026</v>
      </c>
      <c r="O19" s="643">
        <v>2027</v>
      </c>
    </row>
    <row r="20" spans="2:15" x14ac:dyDescent="0.2">
      <c r="B20" s="126" t="s">
        <v>1126</v>
      </c>
      <c r="C20" s="125">
        <v>1</v>
      </c>
      <c r="D20" s="199">
        <f>HR!F129</f>
        <v>39840</v>
      </c>
      <c r="E20" s="199">
        <f>HR!K129</f>
        <v>40812</v>
      </c>
      <c r="F20" s="200">
        <f>HR!P129</f>
        <v>41412</v>
      </c>
      <c r="G20" s="618">
        <f>D20*0.9081</f>
        <v>36178.703999999998</v>
      </c>
      <c r="H20" s="199">
        <f t="shared" ref="H20:I20" si="0">E20*0.9081</f>
        <v>37061.377200000003</v>
      </c>
      <c r="I20" s="200">
        <f t="shared" si="0"/>
        <v>37606.237200000003</v>
      </c>
      <c r="J20" s="225">
        <f>IF(G20&lt;28000, G20*$C$39, IF(G20&lt;50000, ((6440+G20-28000)*$C$40), (6440+7700+(G20-50000)*$C$41)))</f>
        <v>5116.5463999999993</v>
      </c>
      <c r="K20" s="202">
        <f>IF(H20&lt;28000, H20*$D$39, IF(H20&lt;50000, ((6440+H20-28000)*$D$40), (6440+7700+(H20-50000)*$D$41)))</f>
        <v>5115.4544760000008</v>
      </c>
      <c r="L20" s="202">
        <f>IF(I20&lt;28000, I20*$E$39, IF(I20&lt;50000, ((6440+I20-28000)*$E$40), (6440+7700+(I20-50000)*$E$41)))</f>
        <v>5295.2582760000014</v>
      </c>
      <c r="M20" s="225">
        <f>J20*$C20</f>
        <v>5116.5463999999993</v>
      </c>
      <c r="N20" s="202">
        <f t="shared" ref="N20:O20" si="1">K20*$C20</f>
        <v>5115.4544760000008</v>
      </c>
      <c r="O20" s="226">
        <f t="shared" si="1"/>
        <v>5295.2582760000014</v>
      </c>
    </row>
    <row r="21" spans="2:15" x14ac:dyDescent="0.2">
      <c r="B21" s="150" t="s">
        <v>1127</v>
      </c>
      <c r="C21" s="148">
        <v>1</v>
      </c>
      <c r="D21" s="199">
        <f>HR!H129</f>
        <v>27780</v>
      </c>
      <c r="E21" s="199">
        <f>HR!M129</f>
        <v>28548</v>
      </c>
      <c r="F21" s="200">
        <f>HR!R129</f>
        <v>29040</v>
      </c>
      <c r="G21" s="618">
        <f t="shared" ref="G21:G32" si="2">D21*0.9081</f>
        <v>25227.018</v>
      </c>
      <c r="H21" s="199">
        <f t="shared" ref="H21:H32" si="3">E21*0.9081</f>
        <v>25924.4388</v>
      </c>
      <c r="I21" s="200">
        <f t="shared" ref="I21:I32" si="4">F21*0.9081</f>
        <v>26371.224000000002</v>
      </c>
      <c r="J21" s="618">
        <f t="shared" ref="J21:J32" si="5">IF(G21&lt;28000, G21*$C$39, IF(G21&lt;50000, ((6440+G21-28000)*$C$40), (6440+7700+(G21-50000)*$C$41)))</f>
        <v>5802.21414</v>
      </c>
      <c r="K21" s="199">
        <f t="shared" ref="K21:K32" si="6">IF(H21&lt;28000, H21*$D$39, IF(H21&lt;50000, ((6440+H21-28000)*$D$40), (6440+7700+(H21-50000)*$D$41)))</f>
        <v>5962.6209239999998</v>
      </c>
      <c r="L21" s="199">
        <f t="shared" ref="L21:L32" si="7">IF(I21&lt;28000, I21*$E$39, IF(I21&lt;50000, ((6440+I21-28000)*$E$40), (6440+7700+(I21-50000)*$E$41)))</f>
        <v>6065.3815200000008</v>
      </c>
      <c r="M21" s="618">
        <f t="shared" ref="M21:M32" si="8">J21*$C21</f>
        <v>5802.21414</v>
      </c>
      <c r="N21" s="199">
        <f t="shared" ref="N21:N31" si="9">K21*$C21</f>
        <v>5962.6209239999998</v>
      </c>
      <c r="O21" s="200">
        <f t="shared" ref="O21:O32" si="10">L21*$C21</f>
        <v>6065.3815200000008</v>
      </c>
    </row>
    <row r="22" spans="2:15" x14ac:dyDescent="0.2">
      <c r="B22" s="150" t="s">
        <v>1133</v>
      </c>
      <c r="C22" s="849">
        <v>11</v>
      </c>
      <c r="D22" s="199">
        <f>HR!E173</f>
        <v>22536</v>
      </c>
      <c r="E22" s="199">
        <f>HR!J173</f>
        <v>23100</v>
      </c>
      <c r="F22" s="200">
        <f>HR!O173</f>
        <v>23484</v>
      </c>
      <c r="G22" s="618">
        <f t="shared" si="2"/>
        <v>20464.941600000002</v>
      </c>
      <c r="H22" s="199">
        <f t="shared" si="3"/>
        <v>20977.11</v>
      </c>
      <c r="I22" s="200">
        <f t="shared" si="4"/>
        <v>21325.820400000001</v>
      </c>
      <c r="J22" s="618">
        <f t="shared" si="5"/>
        <v>4706.936568000001</v>
      </c>
      <c r="K22" s="199">
        <f t="shared" si="6"/>
        <v>4824.7353000000003</v>
      </c>
      <c r="L22" s="199">
        <f t="shared" si="7"/>
        <v>4904.9386920000006</v>
      </c>
      <c r="M22" s="618">
        <f t="shared" si="8"/>
        <v>51776.302248000007</v>
      </c>
      <c r="N22" s="199">
        <f t="shared" si="9"/>
        <v>53072.088300000003</v>
      </c>
      <c r="O22" s="200">
        <f t="shared" si="10"/>
        <v>53954.325612000008</v>
      </c>
    </row>
    <row r="23" spans="2:15" x14ac:dyDescent="0.2">
      <c r="B23" s="150" t="s">
        <v>1136</v>
      </c>
      <c r="C23" s="849">
        <v>5</v>
      </c>
      <c r="D23" s="199">
        <f>HR!G173</f>
        <v>25536</v>
      </c>
      <c r="E23" s="199">
        <f>HR!L173</f>
        <v>26208</v>
      </c>
      <c r="F23" s="200">
        <f>HR!Q173</f>
        <v>26664</v>
      </c>
      <c r="G23" s="618">
        <f t="shared" si="2"/>
        <v>23189.241600000001</v>
      </c>
      <c r="H23" s="199">
        <f t="shared" si="3"/>
        <v>23799.484800000002</v>
      </c>
      <c r="I23" s="200">
        <f t="shared" si="4"/>
        <v>24213.578400000002</v>
      </c>
      <c r="J23" s="618">
        <f t="shared" si="5"/>
        <v>5333.5255680000009</v>
      </c>
      <c r="K23" s="199">
        <f t="shared" si="6"/>
        <v>5473.8815040000009</v>
      </c>
      <c r="L23" s="199">
        <f>IF(I23&lt;28000, I23*$E$39, IF(I23&lt;50000, ((6440+I23-28000)*$E$40), (6440+7700+(I23-50000)*$E$41)))</f>
        <v>5569.1230320000004</v>
      </c>
      <c r="M23" s="618">
        <f t="shared" si="8"/>
        <v>26667.627840000005</v>
      </c>
      <c r="N23" s="199">
        <f t="shared" si="9"/>
        <v>27369.407520000004</v>
      </c>
      <c r="O23" s="200">
        <f t="shared" si="10"/>
        <v>27845.615160000001</v>
      </c>
    </row>
    <row r="24" spans="2:15" x14ac:dyDescent="0.2">
      <c r="B24" s="150" t="s">
        <v>1141</v>
      </c>
      <c r="C24" s="148">
        <v>4</v>
      </c>
      <c r="D24" s="199">
        <f>HR!E217</f>
        <v>22296</v>
      </c>
      <c r="E24" s="199">
        <f>HR!J217</f>
        <v>22752</v>
      </c>
      <c r="F24" s="200">
        <f>HR!O217</f>
        <v>26664</v>
      </c>
      <c r="G24" s="618">
        <f t="shared" si="2"/>
        <v>20246.997599999999</v>
      </c>
      <c r="H24" s="199">
        <f t="shared" si="3"/>
        <v>20661.091199999999</v>
      </c>
      <c r="I24" s="200">
        <f t="shared" si="4"/>
        <v>24213.578400000002</v>
      </c>
      <c r="J24" s="618">
        <f t="shared" si="5"/>
        <v>4656.809448</v>
      </c>
      <c r="K24" s="199">
        <f t="shared" si="6"/>
        <v>4752.0509759999995</v>
      </c>
      <c r="L24" s="199">
        <f t="shared" si="7"/>
        <v>5569.1230320000004</v>
      </c>
      <c r="M24" s="618">
        <f t="shared" si="8"/>
        <v>18627.237792</v>
      </c>
      <c r="N24" s="199">
        <f t="shared" si="9"/>
        <v>19008.203903999998</v>
      </c>
      <c r="O24" s="200">
        <f t="shared" si="10"/>
        <v>22276.492128000002</v>
      </c>
    </row>
    <row r="25" spans="2:15" x14ac:dyDescent="0.2">
      <c r="B25" s="197" t="s">
        <v>1144</v>
      </c>
      <c r="C25" s="148">
        <v>2</v>
      </c>
      <c r="D25" s="199">
        <f>HR!G217</f>
        <v>23028</v>
      </c>
      <c r="E25" s="199">
        <f>HR!L217</f>
        <v>23496</v>
      </c>
      <c r="F25" s="200">
        <f>HR!Q217</f>
        <v>29040</v>
      </c>
      <c r="G25" s="618">
        <f t="shared" si="2"/>
        <v>20911.7268</v>
      </c>
      <c r="H25" s="199">
        <f t="shared" si="3"/>
        <v>21336.7176</v>
      </c>
      <c r="I25" s="200">
        <f t="shared" si="4"/>
        <v>26371.224000000002</v>
      </c>
      <c r="J25" s="618">
        <f t="shared" si="5"/>
        <v>4809.6971640000002</v>
      </c>
      <c r="K25" s="199">
        <f t="shared" si="6"/>
        <v>4907.4450480000005</v>
      </c>
      <c r="L25" s="199">
        <f t="shared" si="7"/>
        <v>6065.3815200000008</v>
      </c>
      <c r="M25" s="618">
        <f t="shared" si="8"/>
        <v>9619.3943280000003</v>
      </c>
      <c r="N25" s="199">
        <f t="shared" si="9"/>
        <v>9814.890096000001</v>
      </c>
      <c r="O25" s="200">
        <f t="shared" si="10"/>
        <v>12130.763040000002</v>
      </c>
    </row>
    <row r="26" spans="2:15" x14ac:dyDescent="0.2">
      <c r="B26" s="197" t="s">
        <v>1153</v>
      </c>
      <c r="C26" s="148">
        <v>2</v>
      </c>
      <c r="D26" s="199">
        <f>HR!E261</f>
        <v>25536</v>
      </c>
      <c r="E26" s="199">
        <f>HR!H261</f>
        <v>26208</v>
      </c>
      <c r="F26" s="200">
        <f>HR!K261</f>
        <v>26664</v>
      </c>
      <c r="G26" s="618">
        <f t="shared" si="2"/>
        <v>23189.241600000001</v>
      </c>
      <c r="H26" s="199">
        <f t="shared" si="3"/>
        <v>23799.484800000002</v>
      </c>
      <c r="I26" s="200">
        <f t="shared" si="4"/>
        <v>24213.578400000002</v>
      </c>
      <c r="J26" s="618">
        <f t="shared" si="5"/>
        <v>5333.5255680000009</v>
      </c>
      <c r="K26" s="199">
        <f t="shared" si="6"/>
        <v>5473.8815040000009</v>
      </c>
      <c r="L26" s="199">
        <f t="shared" si="7"/>
        <v>5569.1230320000004</v>
      </c>
      <c r="M26" s="618">
        <f t="shared" si="8"/>
        <v>10667.051136000002</v>
      </c>
      <c r="N26" s="199">
        <f t="shared" si="9"/>
        <v>10947.763008000002</v>
      </c>
      <c r="O26" s="200">
        <f t="shared" si="10"/>
        <v>11138.246064000001</v>
      </c>
    </row>
    <row r="27" spans="2:15" x14ac:dyDescent="0.2">
      <c r="B27" s="197" t="s">
        <v>1156</v>
      </c>
      <c r="C27" s="148">
        <v>1</v>
      </c>
      <c r="D27" s="199">
        <f>HR!E305</f>
        <v>27780</v>
      </c>
      <c r="E27" s="199">
        <f>HR!H305</f>
        <v>28548</v>
      </c>
      <c r="F27" s="200">
        <f>HR!K305</f>
        <v>29040</v>
      </c>
      <c r="G27" s="618">
        <f t="shared" si="2"/>
        <v>25227.018</v>
      </c>
      <c r="H27" s="199">
        <f t="shared" si="3"/>
        <v>25924.4388</v>
      </c>
      <c r="I27" s="200">
        <f t="shared" si="4"/>
        <v>26371.224000000002</v>
      </c>
      <c r="J27" s="618">
        <f t="shared" si="5"/>
        <v>5802.21414</v>
      </c>
      <c r="K27" s="199">
        <f t="shared" si="6"/>
        <v>5962.6209239999998</v>
      </c>
      <c r="L27" s="199">
        <f t="shared" si="7"/>
        <v>6065.3815200000008</v>
      </c>
      <c r="M27" s="618">
        <f t="shared" si="8"/>
        <v>5802.21414</v>
      </c>
      <c r="N27" s="199">
        <f t="shared" si="9"/>
        <v>5962.6209239999998</v>
      </c>
      <c r="O27" s="200">
        <f t="shared" si="10"/>
        <v>6065.3815200000008</v>
      </c>
    </row>
    <row r="28" spans="2:15" x14ac:dyDescent="0.2">
      <c r="B28" s="197" t="s">
        <v>1157</v>
      </c>
      <c r="C28" s="148">
        <v>2</v>
      </c>
      <c r="D28" s="199">
        <f>HR!E349</f>
        <v>24036</v>
      </c>
      <c r="E28" s="199">
        <f>HR!H349</f>
        <v>24660</v>
      </c>
      <c r="F28" s="200">
        <f>HR!K349</f>
        <v>25080</v>
      </c>
      <c r="G28" s="618">
        <f t="shared" si="2"/>
        <v>21827.0916</v>
      </c>
      <c r="H28" s="199">
        <f t="shared" si="3"/>
        <v>22393.745999999999</v>
      </c>
      <c r="I28" s="200">
        <f t="shared" si="4"/>
        <v>22775.148000000001</v>
      </c>
      <c r="J28" s="618">
        <f t="shared" si="5"/>
        <v>5020.2310680000001</v>
      </c>
      <c r="K28" s="199">
        <f t="shared" si="6"/>
        <v>5150.5615799999996</v>
      </c>
      <c r="L28" s="199">
        <f t="shared" si="7"/>
        <v>5238.2840400000005</v>
      </c>
      <c r="M28" s="618">
        <f t="shared" si="8"/>
        <v>10040.462136</v>
      </c>
      <c r="N28" s="199">
        <f t="shared" si="9"/>
        <v>10301.123159999999</v>
      </c>
      <c r="O28" s="200">
        <f t="shared" si="10"/>
        <v>10476.568080000001</v>
      </c>
    </row>
    <row r="29" spans="2:15" x14ac:dyDescent="0.2">
      <c r="B29" s="197" t="s">
        <v>1409</v>
      </c>
      <c r="C29" s="148">
        <v>1</v>
      </c>
      <c r="D29" s="199">
        <f>HR!E393</f>
        <v>25536</v>
      </c>
      <c r="E29" s="199">
        <f>HR!J393</f>
        <v>26208</v>
      </c>
      <c r="F29" s="200">
        <f>HR!O393</f>
        <v>26664</v>
      </c>
      <c r="G29" s="618">
        <f t="shared" si="2"/>
        <v>23189.241600000001</v>
      </c>
      <c r="H29" s="199">
        <f t="shared" si="3"/>
        <v>23799.484800000002</v>
      </c>
      <c r="I29" s="200">
        <f t="shared" si="4"/>
        <v>24213.578400000002</v>
      </c>
      <c r="J29" s="618">
        <f t="shared" si="5"/>
        <v>5333.5255680000009</v>
      </c>
      <c r="K29" s="199">
        <f t="shared" si="6"/>
        <v>5473.8815040000009</v>
      </c>
      <c r="L29" s="199">
        <f t="shared" si="7"/>
        <v>5569.1230320000004</v>
      </c>
      <c r="M29" s="618">
        <f t="shared" si="8"/>
        <v>5333.5255680000009</v>
      </c>
      <c r="N29" s="199">
        <f t="shared" si="9"/>
        <v>5473.8815040000009</v>
      </c>
      <c r="O29" s="200">
        <f t="shared" si="10"/>
        <v>5569.1230320000004</v>
      </c>
    </row>
    <row r="30" spans="2:15" x14ac:dyDescent="0.2">
      <c r="B30" s="197" t="s">
        <v>1410</v>
      </c>
      <c r="C30" s="148">
        <v>1</v>
      </c>
      <c r="D30" s="199">
        <f>HR!G393</f>
        <v>30780</v>
      </c>
      <c r="E30" s="199">
        <f>HR!L393</f>
        <v>31656</v>
      </c>
      <c r="F30" s="200">
        <f>HR!Q393</f>
        <v>32220</v>
      </c>
      <c r="G30" s="618">
        <f t="shared" si="2"/>
        <v>27951.317999999999</v>
      </c>
      <c r="H30" s="199">
        <f t="shared" si="3"/>
        <v>28746.813600000001</v>
      </c>
      <c r="I30" s="200">
        <f t="shared" si="4"/>
        <v>29258.982</v>
      </c>
      <c r="J30" s="618">
        <f t="shared" si="5"/>
        <v>6428.80314</v>
      </c>
      <c r="K30" s="199">
        <f t="shared" si="6"/>
        <v>2371.6484880000007</v>
      </c>
      <c r="L30" s="199">
        <f t="shared" si="7"/>
        <v>2540.6640600000014</v>
      </c>
      <c r="M30" s="618">
        <f t="shared" si="8"/>
        <v>6428.80314</v>
      </c>
      <c r="N30" s="199">
        <f t="shared" si="9"/>
        <v>2371.6484880000007</v>
      </c>
      <c r="O30" s="200">
        <f t="shared" si="10"/>
        <v>2540.6640600000014</v>
      </c>
    </row>
    <row r="31" spans="2:15" x14ac:dyDescent="0.2">
      <c r="B31" s="197" t="s">
        <v>1411</v>
      </c>
      <c r="C31" s="849">
        <v>1</v>
      </c>
      <c r="D31" s="199">
        <f>HR!E437</f>
        <v>39840</v>
      </c>
      <c r="E31" s="199">
        <f>HR!H437</f>
        <v>40812</v>
      </c>
      <c r="F31" s="200">
        <f>HR!K437</f>
        <v>41412</v>
      </c>
      <c r="G31" s="618">
        <f t="shared" si="2"/>
        <v>36178.703999999998</v>
      </c>
      <c r="H31" s="199">
        <f t="shared" si="3"/>
        <v>37061.377200000003</v>
      </c>
      <c r="I31" s="200">
        <f t="shared" si="4"/>
        <v>37606.237200000003</v>
      </c>
      <c r="J31" s="618">
        <f t="shared" si="5"/>
        <v>5116.5463999999993</v>
      </c>
      <c r="K31" s="199">
        <f t="shared" si="6"/>
        <v>5115.4544760000008</v>
      </c>
      <c r="L31" s="199">
        <f t="shared" si="7"/>
        <v>5295.2582760000014</v>
      </c>
      <c r="M31" s="618">
        <f t="shared" si="8"/>
        <v>5116.5463999999993</v>
      </c>
      <c r="N31" s="199">
        <f t="shared" si="9"/>
        <v>5115.4544760000008</v>
      </c>
      <c r="O31" s="200">
        <f t="shared" si="10"/>
        <v>5295.2582760000014</v>
      </c>
    </row>
    <row r="32" spans="2:15" x14ac:dyDescent="0.2">
      <c r="B32" s="271" t="s">
        <v>1160</v>
      </c>
      <c r="C32" s="144">
        <v>1</v>
      </c>
      <c r="D32" s="636">
        <f>HR!E481</f>
        <v>40548</v>
      </c>
      <c r="E32" s="636">
        <f>HR!H481</f>
        <v>41748</v>
      </c>
      <c r="F32" s="228">
        <f>HR!K481</f>
        <v>42540</v>
      </c>
      <c r="G32" s="227">
        <f t="shared" si="2"/>
        <v>36821.638800000001</v>
      </c>
      <c r="H32" s="636">
        <f t="shared" si="3"/>
        <v>37911.358800000002</v>
      </c>
      <c r="I32" s="228">
        <f t="shared" si="4"/>
        <v>38630.574000000001</v>
      </c>
      <c r="J32" s="227">
        <f t="shared" si="5"/>
        <v>5341.5735800000002</v>
      </c>
      <c r="K32" s="636">
        <f t="shared" si="6"/>
        <v>5395.9484040000007</v>
      </c>
      <c r="L32" s="228">
        <f t="shared" si="7"/>
        <v>5633.2894200000001</v>
      </c>
      <c r="M32" s="636">
        <f t="shared" si="8"/>
        <v>5341.5735800000002</v>
      </c>
      <c r="N32" s="636">
        <f>K32*$C32</f>
        <v>5395.9484040000007</v>
      </c>
      <c r="O32" s="228">
        <f t="shared" si="10"/>
        <v>5633.2894200000001</v>
      </c>
    </row>
    <row r="33" spans="2:15" x14ac:dyDescent="0.2">
      <c r="L33" s="645" t="s">
        <v>1418</v>
      </c>
      <c r="M33" s="204">
        <f>SUM(M20:M32)</f>
        <v>166339.49884799999</v>
      </c>
      <c r="N33" s="204">
        <f t="shared" ref="N33:O33" si="11">SUM(N20:N32)</f>
        <v>165911.10518399999</v>
      </c>
      <c r="O33" s="644">
        <f t="shared" si="11"/>
        <v>174286.36618800001</v>
      </c>
    </row>
    <row r="34" spans="2:15" x14ac:dyDescent="0.2">
      <c r="L34" s="703"/>
      <c r="M34" s="199"/>
      <c r="N34" s="199"/>
      <c r="O34" s="199"/>
    </row>
    <row r="36" spans="2:15" x14ac:dyDescent="0.2">
      <c r="B36" s="794" t="s">
        <v>1534</v>
      </c>
      <c r="C36" s="799"/>
      <c r="D36" s="799"/>
      <c r="E36" s="799"/>
    </row>
    <row r="37" spans="2:15" ht="8" customHeight="1" x14ac:dyDescent="0.2"/>
    <row r="38" spans="2:15" ht="19" x14ac:dyDescent="0.25">
      <c r="B38" s="654" t="s">
        <v>1435</v>
      </c>
      <c r="C38" s="652">
        <v>2025</v>
      </c>
      <c r="D38" s="652">
        <v>2026</v>
      </c>
      <c r="E38" s="653">
        <v>2027</v>
      </c>
    </row>
    <row r="39" spans="2:15" x14ac:dyDescent="0.2">
      <c r="B39" s="586" t="s">
        <v>1413</v>
      </c>
      <c r="C39" s="637">
        <v>0.23</v>
      </c>
      <c r="D39" s="637">
        <v>0.23</v>
      </c>
      <c r="E39" s="638">
        <v>0.23</v>
      </c>
    </row>
    <row r="40" spans="2:15" x14ac:dyDescent="0.2">
      <c r="B40" s="586" t="s">
        <v>1414</v>
      </c>
      <c r="C40" s="637">
        <v>0.35</v>
      </c>
      <c r="D40" s="637">
        <v>0.33</v>
      </c>
      <c r="E40" s="638">
        <v>0.33</v>
      </c>
    </row>
    <row r="41" spans="2:15" x14ac:dyDescent="0.2">
      <c r="B41" s="278" t="s">
        <v>1415</v>
      </c>
      <c r="C41" s="639">
        <v>0.43</v>
      </c>
      <c r="D41" s="639">
        <v>0.43</v>
      </c>
      <c r="E41" s="640">
        <v>0.43</v>
      </c>
    </row>
    <row r="45" spans="2:15" x14ac:dyDescent="0.2">
      <c r="B45" s="794" t="s">
        <v>1535</v>
      </c>
      <c r="C45" s="799"/>
      <c r="D45" s="799"/>
      <c r="E45" s="799"/>
      <c r="F45" s="799"/>
    </row>
    <row r="46" spans="2:15" ht="8" customHeight="1" x14ac:dyDescent="0.2"/>
    <row r="47" spans="2:15" ht="19" x14ac:dyDescent="0.25">
      <c r="B47" s="654" t="s">
        <v>1436</v>
      </c>
      <c r="C47" s="611">
        <v>2024</v>
      </c>
      <c r="D47" s="623">
        <v>2025</v>
      </c>
      <c r="E47" s="610">
        <v>2026</v>
      </c>
      <c r="F47" s="611">
        <v>2027</v>
      </c>
    </row>
    <row r="48" spans="2:15" s="5" customFormat="1" x14ac:dyDescent="0.2">
      <c r="B48" s="599" t="s">
        <v>1429</v>
      </c>
      <c r="C48" s="46">
        <f>(BP!C6*0.22*1/12)-('COSTI DI GESTIONE &amp; BEP'!D11+'COSTI DI GESTIONE &amp; BEP'!D43+'COSTI DI GESTIONE &amp; BEP'!D39)*(1/12)*0.22</f>
        <v>71672.809923401393</v>
      </c>
      <c r="D48" s="41">
        <f>(BP!D6*0.22*1/12)-('COSTI DI GESTIONE &amp; BEP'!E11+'COSTI DI GESTIONE &amp; BEP'!E43+'COSTI DI GESTIONE &amp; BEP'!E39)*(1/12)*0.22</f>
        <v>85854.285833389673</v>
      </c>
      <c r="E48" s="41">
        <f>(BP!E6*0.22*1/12)-('COSTI DI GESTIONE &amp; BEP'!F11+'COSTI DI GESTIONE &amp; BEP'!F43+'COSTI DI GESTIONE &amp; BEP'!F39)*(1/12)*0.22</f>
        <v>92045.245926424686</v>
      </c>
      <c r="F48" s="40">
        <f>(BP!F6*0.22*1/12)-('COSTI DI GESTIONE &amp; BEP'!G11+'COSTI DI GESTIONE &amp; BEP'!G43+'COSTI DI GESTIONE &amp; BEP'!G39)*(1/12)*0.22</f>
        <v>99178.905194622406</v>
      </c>
    </row>
    <row r="49" spans="2:10" x14ac:dyDescent="0.2">
      <c r="B49" s="657" t="s">
        <v>1437</v>
      </c>
      <c r="C49" s="278"/>
      <c r="D49" s="636">
        <f>1/12*M33</f>
        <v>13861.624903999998</v>
      </c>
      <c r="E49" s="636">
        <f t="shared" ref="E49:F49" si="12">1/12*N33</f>
        <v>13825.925431999998</v>
      </c>
      <c r="F49" s="228">
        <f t="shared" si="12"/>
        <v>14523.863849000001</v>
      </c>
    </row>
    <row r="51" spans="2:10" x14ac:dyDescent="0.2">
      <c r="D51" s="313" t="s">
        <v>1531</v>
      </c>
    </row>
    <row r="60" spans="2:10" x14ac:dyDescent="0.2">
      <c r="J60" s="850"/>
    </row>
  </sheetData>
  <mergeCells count="4">
    <mergeCell ref="D18:F18"/>
    <mergeCell ref="G18:I18"/>
    <mergeCell ref="J18:L18"/>
    <mergeCell ref="M18:O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7F2A-134C-804B-96C5-35A9433F3CBF}">
  <sheetPr>
    <tabColor theme="9" tint="0.59999389629810485"/>
  </sheetPr>
  <dimension ref="A1:K92"/>
  <sheetViews>
    <sheetView showGridLines="0" workbookViewId="0"/>
  </sheetViews>
  <sheetFormatPr baseColWidth="10" defaultRowHeight="17" customHeight="1" x14ac:dyDescent="0.2"/>
  <cols>
    <col min="1" max="1" width="8.6640625" style="142" customWidth="1"/>
    <col min="2" max="2" width="55.6640625" style="5" bestFit="1" customWidth="1"/>
    <col min="3" max="3" width="23.33203125" style="5" customWidth="1"/>
    <col min="4" max="6" width="20" style="5" customWidth="1"/>
    <col min="7" max="7" width="10" style="138" customWidth="1"/>
    <col min="8" max="8" width="20" style="5" customWidth="1"/>
    <col min="9" max="9" width="10.83203125" style="5"/>
    <col min="10" max="11" width="12" style="5" bestFit="1" customWidth="1"/>
    <col min="12" max="16384" width="10.83203125" style="5"/>
  </cols>
  <sheetData>
    <row r="1" spans="2:10" ht="16" x14ac:dyDescent="0.2"/>
    <row r="2" spans="2:10" ht="17" customHeight="1" x14ac:dyDescent="0.2">
      <c r="B2" s="794" t="s">
        <v>1374</v>
      </c>
      <c r="C2" s="795"/>
      <c r="D2" s="795"/>
      <c r="E2" s="796"/>
      <c r="F2" s="797"/>
      <c r="G2" s="800"/>
      <c r="H2" s="798" t="s">
        <v>1264</v>
      </c>
      <c r="I2" s="288"/>
      <c r="J2" s="288"/>
    </row>
    <row r="3" spans="2:10" ht="4" customHeight="1" x14ac:dyDescent="0.2">
      <c r="B3" s="506"/>
      <c r="C3" s="507"/>
      <c r="D3" s="507"/>
      <c r="E3" s="508"/>
      <c r="F3" s="509"/>
      <c r="G3" s="593"/>
      <c r="H3" s="842" t="s">
        <v>1500</v>
      </c>
      <c r="I3" s="288"/>
      <c r="J3" s="288"/>
    </row>
    <row r="4" spans="2:10" ht="17" hidden="1" customHeight="1" x14ac:dyDescent="0.2">
      <c r="B4" s="510" t="s">
        <v>1257</v>
      </c>
      <c r="C4" s="947" t="s">
        <v>1273</v>
      </c>
      <c r="D4" s="947"/>
      <c r="E4" s="947"/>
      <c r="F4" s="947"/>
      <c r="G4" s="947"/>
      <c r="H4" s="947"/>
      <c r="I4" s="947"/>
      <c r="J4" s="947"/>
    </row>
    <row r="5" spans="2:10" ht="8" customHeight="1" x14ac:dyDescent="0.2"/>
    <row r="6" spans="2:10" ht="17" customHeight="1" x14ac:dyDescent="0.2">
      <c r="B6" s="422" t="s">
        <v>395</v>
      </c>
      <c r="C6" s="441">
        <v>2024</v>
      </c>
      <c r="D6" s="423">
        <v>2025</v>
      </c>
      <c r="E6" s="423">
        <v>2026</v>
      </c>
      <c r="F6" s="424">
        <v>2027</v>
      </c>
      <c r="H6" s="425" t="s">
        <v>1082</v>
      </c>
    </row>
    <row r="7" spans="2:10" ht="17" customHeight="1" x14ac:dyDescent="0.2">
      <c r="B7" s="578" t="s">
        <v>304</v>
      </c>
      <c r="C7" s="585"/>
      <c r="D7" s="405"/>
      <c r="E7" s="405"/>
      <c r="F7" s="556"/>
      <c r="H7" s="590"/>
    </row>
    <row r="8" spans="2:10" ht="17" customHeight="1" x14ac:dyDescent="0.2">
      <c r="B8" s="128" t="s">
        <v>305</v>
      </c>
      <c r="C8" s="582">
        <f>'REVENUE MODEL'!S34</f>
        <v>21463379</v>
      </c>
      <c r="D8" s="209">
        <f>'REVENUE MODEL'!J34</f>
        <v>22422792.041299999</v>
      </c>
      <c r="E8" s="209">
        <f>'REVENUE MODEL'!K34</f>
        <v>23425090.845546108</v>
      </c>
      <c r="F8" s="210">
        <f>'REVENUE MODEL'!L34</f>
        <v>24472192.406342018</v>
      </c>
      <c r="H8" s="586"/>
    </row>
    <row r="9" spans="2:10" ht="17" customHeight="1" x14ac:dyDescent="0.2">
      <c r="B9" s="128" t="s">
        <v>396</v>
      </c>
      <c r="C9" s="75">
        <f>'COSTI DI GESTIONE &amp; BEP'!D11/incidenze!C8</f>
        <v>0.70497413291728206</v>
      </c>
      <c r="D9" s="25">
        <f>'COSTI DI GESTIONE &amp; BEP'!E11/incidenze!D8</f>
        <v>0.67864076498466996</v>
      </c>
      <c r="E9" s="25">
        <f>'COSTI DI GESTIONE &amp; BEP'!F11/incidenze!E8</f>
        <v>0.67246953183893021</v>
      </c>
      <c r="F9" s="13">
        <f>'COSTI DI GESTIONE &amp; BEP'!G11/incidenze!F8</f>
        <v>0.66635441692319386</v>
      </c>
      <c r="G9" s="138" t="s">
        <v>1368</v>
      </c>
      <c r="H9" s="587">
        <f>'D. Benchmark di settore'!P15</f>
        <v>0.74703255348068842</v>
      </c>
    </row>
    <row r="10" spans="2:10" ht="17" customHeight="1" x14ac:dyDescent="0.2">
      <c r="B10" s="128" t="s">
        <v>397</v>
      </c>
      <c r="C10" s="75">
        <f>'COSTI DI GESTIONE &amp; BEP'!D39/incidenze!C8</f>
        <v>0.11285389892141905</v>
      </c>
      <c r="D10" s="25">
        <f>'COSTI DI GESTIONE &amp; BEP'!E39/incidenze!D8</f>
        <v>0.112484219056966</v>
      </c>
      <c r="E10" s="25">
        <f>'COSTI DI GESTIONE &amp; BEP'!F39/incidenze!E8</f>
        <v>0.11317698663509802</v>
      </c>
      <c r="F10" s="13">
        <f>'COSTI DI GESTIONE &amp; BEP'!G39/incidenze!F8</f>
        <v>0.11256369652874523</v>
      </c>
      <c r="G10" s="138" t="s">
        <v>1368</v>
      </c>
      <c r="H10" s="587">
        <f>'D. Benchmark di settore'!Q15</f>
        <v>0.55114030902459032</v>
      </c>
    </row>
    <row r="11" spans="2:10" ht="17" customHeight="1" x14ac:dyDescent="0.2">
      <c r="B11" s="128" t="s">
        <v>398</v>
      </c>
      <c r="C11" s="75">
        <f>'COSTI DI GESTIONE &amp; BEP'!D16/incidenze!C8</f>
        <v>6.9814636362708779E-2</v>
      </c>
      <c r="D11" s="25">
        <f>'COSTI DI GESTIONE &amp; BEP'!E16/incidenze!D8</f>
        <v>7.1538588250871255E-2</v>
      </c>
      <c r="E11" s="25">
        <f>'COSTI DI GESTIONE &amp; BEP'!F16/incidenze!E8</f>
        <v>7.0209540980334204E-2</v>
      </c>
      <c r="F11" s="13">
        <f>'COSTI DI GESTIONE &amp; BEP'!G16/incidenze!F8</f>
        <v>7.0110473857967801E-2</v>
      </c>
      <c r="G11" s="138" t="s">
        <v>1368</v>
      </c>
      <c r="H11" s="587">
        <f>'D. Benchmark di settore'!R15</f>
        <v>8.6370682304309984E-2</v>
      </c>
    </row>
    <row r="12" spans="2:10" ht="17" customHeight="1" x14ac:dyDescent="0.2">
      <c r="B12" s="128" t="s">
        <v>399</v>
      </c>
      <c r="C12" s="45">
        <f>'COSTI DI GESTIONE &amp; BEP'!D15</f>
        <v>79658</v>
      </c>
      <c r="D12" s="11">
        <f>'COSTI DI GESTIONE &amp; BEP'!E15</f>
        <v>78592.035789473681</v>
      </c>
      <c r="E12" s="11">
        <f>'COSTI DI GESTIONE &amp; BEP'!F15</f>
        <v>80579.747368421042</v>
      </c>
      <c r="F12" s="12">
        <f>'COSTI DI GESTIONE &amp; BEP'!G15</f>
        <v>84062.88</v>
      </c>
      <c r="H12" s="148"/>
    </row>
    <row r="13" spans="2:10" ht="17" customHeight="1" x14ac:dyDescent="0.2">
      <c r="B13" s="128" t="s">
        <v>400</v>
      </c>
      <c r="C13" s="75">
        <f>C12/C8</f>
        <v>3.7113447980394888E-3</v>
      </c>
      <c r="D13" s="25">
        <f t="shared" ref="D13:F13" si="0">D12/D8</f>
        <v>3.50500667556105E-3</v>
      </c>
      <c r="E13" s="25">
        <f t="shared" si="0"/>
        <v>3.4398904960380098E-3</v>
      </c>
      <c r="F13" s="13">
        <f t="shared" si="0"/>
        <v>3.4350367390138261E-3</v>
      </c>
      <c r="G13" s="138" t="s">
        <v>1368</v>
      </c>
      <c r="H13" s="587">
        <f>'D. Benchmark di settore'!S15</f>
        <v>8.8948735476517568E-4</v>
      </c>
    </row>
    <row r="14" spans="2:10" ht="17" customHeight="1" x14ac:dyDescent="0.2">
      <c r="B14" s="128" t="s">
        <v>401</v>
      </c>
      <c r="C14" s="75">
        <f>'COSTI DI GESTIONE &amp; BEP'!D46/incidenze!C8</f>
        <v>2.4253403902526251E-3</v>
      </c>
      <c r="D14" s="25">
        <f>'COSTI DI GESTIONE &amp; BEP'!E46/incidenze!D8</f>
        <v>2.4297154475523275E-3</v>
      </c>
      <c r="E14" s="25">
        <f>'COSTI DI GESTIONE &amp; BEP'!F46/incidenze!E8</f>
        <v>2.43416994681929E-3</v>
      </c>
      <c r="F14" s="13">
        <f>'COSTI DI GESTIONE &amp; BEP'!G46/incidenze!F8</f>
        <v>2.4387018416597074E-3</v>
      </c>
      <c r="H14" s="148"/>
    </row>
    <row r="15" spans="2:10" ht="8" customHeight="1" x14ac:dyDescent="0.2">
      <c r="B15" s="128"/>
      <c r="C15" s="45"/>
      <c r="D15" s="11"/>
      <c r="E15" s="11"/>
      <c r="F15" s="12"/>
      <c r="H15" s="148"/>
    </row>
    <row r="16" spans="2:10" ht="17" customHeight="1" x14ac:dyDescent="0.2">
      <c r="B16" s="128" t="s">
        <v>402</v>
      </c>
      <c r="C16" s="45">
        <f>INV!E26</f>
        <v>37282</v>
      </c>
      <c r="D16" s="11">
        <f>INV!F26</f>
        <v>36290</v>
      </c>
      <c r="E16" s="11">
        <f>INV!G26</f>
        <v>2194</v>
      </c>
      <c r="F16" s="12">
        <f>INV!H26</f>
        <v>2194</v>
      </c>
      <c r="H16" s="148"/>
    </row>
    <row r="17" spans="1:8" ht="17" customHeight="1" x14ac:dyDescent="0.2">
      <c r="A17" s="743" t="s">
        <v>1422</v>
      </c>
      <c r="B17" s="438" t="s">
        <v>403</v>
      </c>
      <c r="C17" s="45">
        <f>INV!J137</f>
        <v>197250</v>
      </c>
      <c r="D17" s="11">
        <f>INV!K137</f>
        <v>99722</v>
      </c>
      <c r="E17" s="11">
        <f>INV!L137</f>
        <v>50958</v>
      </c>
      <c r="F17" s="12">
        <f>INV!M137</f>
        <v>53152</v>
      </c>
      <c r="H17" s="148"/>
    </row>
    <row r="18" spans="1:8" ht="17" customHeight="1" x14ac:dyDescent="0.2">
      <c r="B18" s="128" t="s">
        <v>404</v>
      </c>
      <c r="C18" s="45">
        <f>INV!E27</f>
        <v>879520</v>
      </c>
      <c r="D18" s="11">
        <f>INV!F27</f>
        <v>763006.26240674721</v>
      </c>
      <c r="E18" s="11">
        <f>INV!G27</f>
        <v>747494.49079027993</v>
      </c>
      <c r="F18" s="12">
        <f>INV!H27</f>
        <v>728047.2432149807</v>
      </c>
      <c r="H18" s="148"/>
    </row>
    <row r="19" spans="1:8" ht="17" customHeight="1" x14ac:dyDescent="0.2">
      <c r="A19" s="743" t="s">
        <v>1422</v>
      </c>
      <c r="B19" s="438" t="s">
        <v>405</v>
      </c>
      <c r="C19" s="45">
        <f>INV!J169</f>
        <v>1082927.3553577536</v>
      </c>
      <c r="D19" s="11">
        <f>INV!K169</f>
        <v>1845936.257764501</v>
      </c>
      <c r="E19" s="11">
        <f>INV!L169</f>
        <v>2573986.1409794819</v>
      </c>
      <c r="F19" s="12">
        <f>INV!M169</f>
        <v>3302036.0241944627</v>
      </c>
      <c r="H19" s="148"/>
    </row>
    <row r="20" spans="1:8" ht="8" customHeight="1" x14ac:dyDescent="0.2">
      <c r="B20" s="128"/>
      <c r="C20" s="45"/>
      <c r="D20" s="11"/>
      <c r="E20" s="11"/>
      <c r="F20" s="12"/>
      <c r="H20" s="148"/>
    </row>
    <row r="21" spans="1:8" ht="17" customHeight="1" x14ac:dyDescent="0.2">
      <c r="B21" s="128" t="s">
        <v>406</v>
      </c>
      <c r="C21" s="75">
        <f>FONTI!D55</f>
        <v>5.9185717285454659E-2</v>
      </c>
      <c r="D21" s="25">
        <f>FONTI!E55</f>
        <v>4.4200000000000003E-2</v>
      </c>
      <c r="E21" s="25">
        <f>FONTI!F55</f>
        <v>5.4600000000000003E-2</v>
      </c>
      <c r="F21" s="13">
        <f>FONTI!G55</f>
        <v>5.196344186506429E-2</v>
      </c>
      <c r="G21" s="138" t="s">
        <v>1368</v>
      </c>
      <c r="H21" s="587">
        <f>'D. Benchmark di settore'!X15</f>
        <v>6.8905790686498488E-3</v>
      </c>
    </row>
    <row r="22" spans="1:8" ht="17" customHeight="1" x14ac:dyDescent="0.2">
      <c r="B22" s="128" t="s">
        <v>407</v>
      </c>
      <c r="C22" s="45">
        <f>INV!C358+INV!C349</f>
        <v>452724.33142807393</v>
      </c>
      <c r="D22" s="594">
        <f>-(FONTI!F75-FONTI!G75)</f>
        <v>-2448805.8200000003</v>
      </c>
      <c r="E22" s="594">
        <f>-(FONTI!G75-FONTI!H75)</f>
        <v>-2675396.3299999996</v>
      </c>
      <c r="F22" s="236">
        <f>-(FONTI!H75-FONTI!I75)</f>
        <v>-2807765.5</v>
      </c>
      <c r="H22" s="148"/>
    </row>
    <row r="23" spans="1:8" ht="17" customHeight="1" x14ac:dyDescent="0.2">
      <c r="B23" s="128" t="s">
        <v>408</v>
      </c>
      <c r="C23" s="75">
        <f>FONTI!D54</f>
        <v>3.4830913022554158E-2</v>
      </c>
      <c r="D23" s="25">
        <f>FONTI!E54</f>
        <v>4.53E-2</v>
      </c>
      <c r="E23" s="25">
        <f>FONTI!F54</f>
        <v>4.4999999999999998E-2</v>
      </c>
      <c r="F23" s="13">
        <f>FONTI!G54</f>
        <v>4.8899999999999999E-2</v>
      </c>
      <c r="G23" s="138" t="s">
        <v>1368</v>
      </c>
      <c r="H23" s="587">
        <f>'D. Benchmark di settore'!Y15</f>
        <v>2.0338063505680664E-2</v>
      </c>
    </row>
    <row r="24" spans="1:8" ht="17" customHeight="1" x14ac:dyDescent="0.2">
      <c r="B24" s="128" t="s">
        <v>409</v>
      </c>
      <c r="C24" s="45">
        <f>AVERAGE(INV!C372:D372)</f>
        <v>3691408.5</v>
      </c>
      <c r="D24" s="11">
        <f>FONTI!G73</f>
        <v>2417759.7383011458</v>
      </c>
      <c r="E24" s="11">
        <f>FONTI!H73</f>
        <v>1349773.2304128343</v>
      </c>
      <c r="F24" s="12">
        <f>FONTI!I73</f>
        <v>228946.51861336044</v>
      </c>
      <c r="H24" s="148"/>
    </row>
    <row r="25" spans="1:8" ht="8" customHeight="1" x14ac:dyDescent="0.2">
      <c r="B25" s="128"/>
      <c r="C25" s="45"/>
      <c r="D25" s="11"/>
      <c r="E25" s="11"/>
      <c r="F25" s="12"/>
      <c r="H25" s="148"/>
    </row>
    <row r="26" spans="1:8" ht="17" customHeight="1" x14ac:dyDescent="0.2">
      <c r="B26" s="128" t="s">
        <v>410</v>
      </c>
      <c r="C26" s="75">
        <f>1756/C8</f>
        <v>8.1813772193092249E-5</v>
      </c>
      <c r="D26" s="25">
        <v>1E-4</v>
      </c>
      <c r="E26" s="25">
        <v>1E-4</v>
      </c>
      <c r="F26" s="13">
        <v>1E-4</v>
      </c>
      <c r="G26" s="138" t="s">
        <v>1368</v>
      </c>
      <c r="H26" s="587">
        <f>'D. Benchmark di settore'!Z15</f>
        <v>1.3724513381651608E-3</v>
      </c>
    </row>
    <row r="27" spans="1:8" ht="17" customHeight="1" x14ac:dyDescent="0.2">
      <c r="B27" s="128" t="s">
        <v>1362</v>
      </c>
      <c r="C27" s="75">
        <v>0</v>
      </c>
      <c r="D27" s="25">
        <v>0</v>
      </c>
      <c r="E27" s="25">
        <v>0</v>
      </c>
      <c r="F27" s="13">
        <v>0</v>
      </c>
      <c r="H27" s="148"/>
    </row>
    <row r="28" spans="1:8" ht="8" customHeight="1" x14ac:dyDescent="0.2">
      <c r="B28" s="128"/>
      <c r="C28" s="45"/>
      <c r="D28" s="11"/>
      <c r="E28" s="11"/>
      <c r="F28" s="12"/>
      <c r="H28" s="148"/>
    </row>
    <row r="29" spans="1:8" ht="17" customHeight="1" x14ac:dyDescent="0.2">
      <c r="A29" s="743" t="s">
        <v>1422</v>
      </c>
      <c r="B29" s="438" t="s">
        <v>344</v>
      </c>
      <c r="C29" s="45">
        <v>191675</v>
      </c>
      <c r="D29" s="11">
        <f>C29+'COSTI DI GESTIONE &amp; BEP'!E15</f>
        <v>270267.03578947368</v>
      </c>
      <c r="E29" s="11">
        <f>D29+'COSTI DI GESTIONE &amp; BEP'!F15</f>
        <v>350846.78315789474</v>
      </c>
      <c r="F29" s="12">
        <f>E29+'COSTI DI GESTIONE &amp; BEP'!G15</f>
        <v>434909.66315789474</v>
      </c>
      <c r="H29" s="148"/>
    </row>
    <row r="30" spans="1:8" ht="17" customHeight="1" x14ac:dyDescent="0.2">
      <c r="B30" s="128" t="s">
        <v>411</v>
      </c>
      <c r="C30" s="45">
        <f>CCN!C18</f>
        <v>0</v>
      </c>
      <c r="D30" s="11">
        <f>CCN!D18</f>
        <v>0</v>
      </c>
      <c r="E30" s="11">
        <f>CCN!E18</f>
        <v>0</v>
      </c>
      <c r="F30" s="12">
        <f>CCN!F18</f>
        <v>0</v>
      </c>
      <c r="H30" s="148"/>
    </row>
    <row r="31" spans="1:8" ht="17" customHeight="1" x14ac:dyDescent="0.2">
      <c r="B31" s="128" t="s">
        <v>412</v>
      </c>
      <c r="C31" s="45">
        <v>0</v>
      </c>
      <c r="D31" s="11">
        <v>0</v>
      </c>
      <c r="E31" s="11">
        <v>0</v>
      </c>
      <c r="F31" s="12">
        <v>0</v>
      </c>
      <c r="H31" s="148"/>
    </row>
    <row r="32" spans="1:8" ht="8" customHeight="1" x14ac:dyDescent="0.2">
      <c r="B32" s="128"/>
      <c r="C32" s="45"/>
      <c r="D32" s="11"/>
      <c r="E32" s="11"/>
      <c r="F32" s="12"/>
      <c r="H32" s="148"/>
    </row>
    <row r="33" spans="2:8" ht="17" customHeight="1" x14ac:dyDescent="0.2">
      <c r="B33" s="128" t="s">
        <v>413</v>
      </c>
      <c r="C33" s="75">
        <v>1.328658455875E-2</v>
      </c>
      <c r="D33" s="25">
        <f>C33</f>
        <v>1.328658455875E-2</v>
      </c>
      <c r="E33" s="25">
        <f>D33</f>
        <v>1.328658455875E-2</v>
      </c>
      <c r="F33" s="13">
        <f>E33</f>
        <v>1.328658455875E-2</v>
      </c>
      <c r="H33" s="148"/>
    </row>
    <row r="34" spans="2:8" ht="17" customHeight="1" x14ac:dyDescent="0.2">
      <c r="B34" s="136"/>
      <c r="C34" s="222"/>
      <c r="D34" s="156"/>
      <c r="E34" s="156"/>
      <c r="F34" s="157"/>
      <c r="H34" s="144"/>
    </row>
    <row r="35" spans="2:8" ht="17" customHeight="1" x14ac:dyDescent="0.2">
      <c r="B35" s="578" t="s">
        <v>1363</v>
      </c>
      <c r="C35" s="583"/>
      <c r="D35" s="229"/>
      <c r="E35" s="229"/>
      <c r="F35" s="230"/>
      <c r="H35" s="591"/>
    </row>
    <row r="36" spans="2:8" ht="17" customHeight="1" x14ac:dyDescent="0.2">
      <c r="B36" s="128" t="s">
        <v>1062</v>
      </c>
      <c r="C36" s="75">
        <v>0.24</v>
      </c>
      <c r="D36" s="25">
        <v>0.24</v>
      </c>
      <c r="E36" s="25">
        <v>0.24</v>
      </c>
      <c r="F36" s="13">
        <v>0.24</v>
      </c>
      <c r="H36" s="148"/>
    </row>
    <row r="37" spans="2:8" ht="17" hidden="1" customHeight="1" x14ac:dyDescent="0.2">
      <c r="B37" s="76" t="s">
        <v>1067</v>
      </c>
      <c r="C37" s="233">
        <f>BP!C31</f>
        <v>1087200.9958218909</v>
      </c>
      <c r="D37" s="568">
        <f>BP!D31</f>
        <v>2108862.1052622898</v>
      </c>
      <c r="E37" s="568">
        <f>BP!E31</f>
        <v>2557849.0154965413</v>
      </c>
      <c r="F37" s="234">
        <f>BP!F31</f>
        <v>3041515.8833990917</v>
      </c>
      <c r="H37" s="148"/>
    </row>
    <row r="38" spans="2:8" ht="17" customHeight="1" x14ac:dyDescent="0.2">
      <c r="B38" s="128" t="s">
        <v>1066</v>
      </c>
      <c r="C38" s="45">
        <f>C37</f>
        <v>1087200.9958218909</v>
      </c>
      <c r="D38" s="11">
        <f t="shared" ref="D38:F38" si="1">D37</f>
        <v>2108862.1052622898</v>
      </c>
      <c r="E38" s="11">
        <f t="shared" si="1"/>
        <v>2557849.0154965413</v>
      </c>
      <c r="F38" s="12">
        <f t="shared" si="1"/>
        <v>3041515.8833990917</v>
      </c>
      <c r="H38" s="148"/>
    </row>
    <row r="39" spans="2:8" ht="17" customHeight="1" x14ac:dyDescent="0.2">
      <c r="B39" s="128" t="s">
        <v>1065</v>
      </c>
      <c r="C39" s="45">
        <f>C38*C36</f>
        <v>260928.23899725379</v>
      </c>
      <c r="D39" s="11">
        <f t="shared" ref="D39:F39" si="2">D38*D36</f>
        <v>506126.90526294953</v>
      </c>
      <c r="E39" s="11">
        <f t="shared" si="2"/>
        <v>613883.76371916989</v>
      </c>
      <c r="F39" s="12">
        <f t="shared" si="2"/>
        <v>729963.81201578199</v>
      </c>
      <c r="H39" s="148"/>
    </row>
    <row r="40" spans="2:8" ht="8" customHeight="1" x14ac:dyDescent="0.2">
      <c r="B40" s="128"/>
      <c r="C40" s="45"/>
      <c r="D40" s="11"/>
      <c r="E40" s="11"/>
      <c r="F40" s="12"/>
      <c r="H40" s="148"/>
    </row>
    <row r="41" spans="2:8" ht="17" customHeight="1" x14ac:dyDescent="0.2">
      <c r="B41" s="128" t="s">
        <v>1063</v>
      </c>
      <c r="C41" s="75">
        <v>2.6800000000000001E-2</v>
      </c>
      <c r="D41" s="25">
        <v>2.6800000000000001E-2</v>
      </c>
      <c r="E41" s="25">
        <v>2.6800000000000001E-2</v>
      </c>
      <c r="F41" s="13">
        <v>2.6800000000000001E-2</v>
      </c>
      <c r="H41" s="148"/>
    </row>
    <row r="42" spans="2:8" ht="17" customHeight="1" x14ac:dyDescent="0.2">
      <c r="B42" s="128" t="s">
        <v>1064</v>
      </c>
      <c r="C42" s="45">
        <f>C8-(C8*C9+C8*C10+C8*C11+C8*C14+C8*C13)</f>
        <v>2279853.9958218932</v>
      </c>
      <c r="D42" s="11">
        <f>D8-(D8*D9+D8*D10+D8*D11+D8*D14+D8*D13)</f>
        <v>2946393.1181906685</v>
      </c>
      <c r="E42" s="11">
        <f>E8-(E8*E9+E8*E10+E8*E11+E8*E14+E8*E13)</f>
        <v>3238984.5026103929</v>
      </c>
      <c r="F42" s="12">
        <f>F8-(F8*F9+F8*F10+F8*F11+F8*F14+F8*F13)</f>
        <v>3550858.1985184252</v>
      </c>
      <c r="H42" s="148"/>
    </row>
    <row r="43" spans="2:8" ht="17" customHeight="1" x14ac:dyDescent="0.2">
      <c r="B43" s="128" t="s">
        <v>1383</v>
      </c>
      <c r="C43" s="45">
        <f>C42*C41</f>
        <v>61100.087088026739</v>
      </c>
      <c r="D43" s="11">
        <f t="shared" ref="D43:F43" si="3">D42*D41</f>
        <v>78963.335567509916</v>
      </c>
      <c r="E43" s="11">
        <f t="shared" si="3"/>
        <v>86804.784669958535</v>
      </c>
      <c r="F43" s="12">
        <f t="shared" si="3"/>
        <v>95162.999720293796</v>
      </c>
      <c r="H43" s="148"/>
    </row>
    <row r="44" spans="2:8" ht="17" customHeight="1" x14ac:dyDescent="0.2">
      <c r="B44" s="136"/>
      <c r="C44" s="153"/>
      <c r="D44" s="145"/>
      <c r="E44" s="145"/>
      <c r="F44" s="147"/>
      <c r="H44" s="144"/>
    </row>
    <row r="45" spans="2:8" ht="17" customHeight="1" x14ac:dyDescent="0.2">
      <c r="B45" s="578" t="s">
        <v>1364</v>
      </c>
      <c r="C45" s="584"/>
      <c r="D45" s="700"/>
      <c r="E45" s="229"/>
      <c r="F45" s="230"/>
      <c r="H45" s="591"/>
    </row>
    <row r="46" spans="2:8" ht="17" customHeight="1" x14ac:dyDescent="0.2">
      <c r="B46" s="128" t="s">
        <v>414</v>
      </c>
      <c r="C46" s="75">
        <f>C47/C8</f>
        <v>0.19830982810302142</v>
      </c>
      <c r="D46" s="154">
        <f>D47/D8</f>
        <v>0.19830982810302142</v>
      </c>
      <c r="E46" s="25">
        <f>E47/E8</f>
        <v>0.19830982810302142</v>
      </c>
      <c r="F46" s="13">
        <f>F47/F8</f>
        <v>0.19830982810302142</v>
      </c>
      <c r="G46" s="138" t="s">
        <v>1368</v>
      </c>
      <c r="H46" s="587">
        <f>'D. Benchmark di settore'!AA15</f>
        <v>0.13493916827100855</v>
      </c>
    </row>
    <row r="47" spans="2:8" ht="17" customHeight="1" x14ac:dyDescent="0.2">
      <c r="B47" s="128" t="s">
        <v>333</v>
      </c>
      <c r="C47" s="45">
        <v>4256399</v>
      </c>
      <c r="D47" s="151">
        <f>D48*D49</f>
        <v>4446660.0352999996</v>
      </c>
      <c r="E47" s="11">
        <f t="shared" ref="E47:F47" si="4">E48*E49</f>
        <v>4645425.7388779093</v>
      </c>
      <c r="F47" s="12">
        <f t="shared" si="4"/>
        <v>4853076.2694057515</v>
      </c>
      <c r="G47" s="239"/>
      <c r="H47" s="582"/>
    </row>
    <row r="48" spans="2:8" ht="17" customHeight="1" x14ac:dyDescent="0.2">
      <c r="B48" s="77" t="s">
        <v>1068</v>
      </c>
      <c r="C48" s="692">
        <f>(C8*1.22)/360</f>
        <v>72737.006611111108</v>
      </c>
      <c r="D48" s="78">
        <f t="shared" ref="D48:F48" si="5">(D8*1.22)/360</f>
        <v>75988.350806627772</v>
      </c>
      <c r="E48" s="24">
        <f t="shared" si="5"/>
        <v>79385.030087684034</v>
      </c>
      <c r="F48" s="44">
        <f t="shared" si="5"/>
        <v>82933.540932603501</v>
      </c>
      <c r="H48" s="148"/>
    </row>
    <row r="49" spans="2:11" ht="17" customHeight="1" x14ac:dyDescent="0.2">
      <c r="B49" s="77" t="s">
        <v>1069</v>
      </c>
      <c r="C49" s="694">
        <f>C47/C48</f>
        <v>58.517654194334192</v>
      </c>
      <c r="D49" s="698">
        <f>C49</f>
        <v>58.517654194334192</v>
      </c>
      <c r="E49" s="699">
        <f>D49</f>
        <v>58.517654194334192</v>
      </c>
      <c r="F49" s="695">
        <f>E49</f>
        <v>58.517654194334192</v>
      </c>
      <c r="G49" s="138" t="s">
        <v>1368</v>
      </c>
      <c r="H49" s="588">
        <f>'D. Benchmark di settore'!O15</f>
        <v>40.371144605670594</v>
      </c>
      <c r="J49" s="163"/>
    </row>
    <row r="50" spans="2:11" ht="17" customHeight="1" x14ac:dyDescent="0.2">
      <c r="B50" s="128" t="s">
        <v>415</v>
      </c>
      <c r="C50" s="75">
        <f>C51/C8</f>
        <v>3.5284146079701616E-2</v>
      </c>
      <c r="D50" s="154">
        <f>D51/D8</f>
        <v>4.3059260952877786E-2</v>
      </c>
      <c r="E50" s="25">
        <f>E51/E8</f>
        <v>4.4189018897855772E-2</v>
      </c>
      <c r="F50" s="13">
        <f>F51/F8</f>
        <v>4.5576472838924166E-2</v>
      </c>
      <c r="G50" s="138" t="s">
        <v>1368</v>
      </c>
      <c r="H50" s="587">
        <f>'D. Benchmark di settore'!AB15</f>
        <v>6.2559822059686812E-2</v>
      </c>
    </row>
    <row r="51" spans="2:11" ht="17" customHeight="1" x14ac:dyDescent="0.2">
      <c r="B51" s="77" t="s">
        <v>334</v>
      </c>
      <c r="C51" s="45">
        <f>SUM(C52:C53)</f>
        <v>757317</v>
      </c>
      <c r="D51" s="151">
        <f>SUM(D52:D53)</f>
        <v>965508.85379844788</v>
      </c>
      <c r="E51" s="11">
        <f t="shared" ref="E51:F51" si="6">SUM(E52:E53)</f>
        <v>1035131.7820578252</v>
      </c>
      <c r="F51" s="12">
        <f t="shared" si="6"/>
        <v>1115356.2125165733</v>
      </c>
      <c r="H51" s="148"/>
    </row>
    <row r="52" spans="2:11" ht="17" customHeight="1" x14ac:dyDescent="0.2">
      <c r="B52" s="77" t="s">
        <v>1070</v>
      </c>
      <c r="C52" s="45">
        <f>120585+613458</f>
        <v>734043</v>
      </c>
      <c r="D52" s="151">
        <f>D53/(9.76%)</f>
        <v>879654.56796505814</v>
      </c>
      <c r="E52" s="11">
        <f>E53/(9.76%)</f>
        <v>943086.5361314005</v>
      </c>
      <c r="F52" s="12">
        <f t="shared" ref="F52" si="7">F53/(9.76%)</f>
        <v>1016177.3073219509</v>
      </c>
      <c r="H52" s="148"/>
      <c r="K52" s="25"/>
    </row>
    <row r="53" spans="2:11" ht="17" customHeight="1" x14ac:dyDescent="0.2">
      <c r="B53" s="77" t="s">
        <v>1071</v>
      </c>
      <c r="C53" s="45">
        <v>23274</v>
      </c>
      <c r="D53" s="151">
        <f>TAX!D48</f>
        <v>85854.285833389673</v>
      </c>
      <c r="E53" s="11">
        <f>TAX!E48</f>
        <v>92045.245926424686</v>
      </c>
      <c r="F53" s="12">
        <f>TAX!F48</f>
        <v>99178.905194622406</v>
      </c>
      <c r="H53" s="148"/>
      <c r="J53" s="11"/>
      <c r="K53" s="25"/>
    </row>
    <row r="54" spans="2:11" ht="17" customHeight="1" x14ac:dyDescent="0.2">
      <c r="B54" s="77" t="s">
        <v>1434</v>
      </c>
      <c r="C54" s="696">
        <f>C55*365/(C9*C8)</f>
        <v>111.17592959202577</v>
      </c>
      <c r="D54" s="661">
        <f>C54</f>
        <v>111.17592959202577</v>
      </c>
      <c r="E54" s="245">
        <f>D54</f>
        <v>111.17592959202577</v>
      </c>
      <c r="F54" s="246">
        <f>E54</f>
        <v>111.17592959202577</v>
      </c>
      <c r="H54" s="148"/>
      <c r="K54" s="25"/>
    </row>
    <row r="55" spans="2:11" ht="17" customHeight="1" x14ac:dyDescent="0.2">
      <c r="B55" s="77" t="s">
        <v>332</v>
      </c>
      <c r="C55" s="45">
        <v>4608814</v>
      </c>
      <c r="D55" s="151">
        <f>D54*(D9*D8)/365</f>
        <v>4634976.5118776429</v>
      </c>
      <c r="E55" s="11">
        <f t="shared" ref="E55:F55" si="8">E54*(E9*E8)/365</f>
        <v>4798127.6850957358</v>
      </c>
      <c r="F55" s="12">
        <f t="shared" si="8"/>
        <v>4967021.779611106</v>
      </c>
      <c r="H55" s="148"/>
    </row>
    <row r="56" spans="2:11" ht="17" customHeight="1" x14ac:dyDescent="0.2">
      <c r="B56" s="128" t="s">
        <v>416</v>
      </c>
      <c r="C56" s="75">
        <f>C55/(C9*C8)</f>
        <v>0.30459158792335828</v>
      </c>
      <c r="D56" s="154">
        <f t="shared" ref="D56:F56" si="9">D55/(D9*D8)</f>
        <v>0.30459158792335828</v>
      </c>
      <c r="E56" s="25">
        <f t="shared" si="9"/>
        <v>0.30459158792335828</v>
      </c>
      <c r="F56" s="13">
        <f t="shared" si="9"/>
        <v>0.30459158792335828</v>
      </c>
      <c r="G56" s="138" t="s">
        <v>1368</v>
      </c>
      <c r="H56" s="587">
        <f>'D. Benchmark di settore'!AC15</f>
        <v>0.20416287311610498</v>
      </c>
    </row>
    <row r="57" spans="2:11" ht="17" customHeight="1" x14ac:dyDescent="0.2">
      <c r="B57" s="128" t="s">
        <v>1181</v>
      </c>
      <c r="C57" s="75">
        <f>CCN!C7/BP!C6</f>
        <v>0.21472919059016757</v>
      </c>
      <c r="D57" s="154">
        <f>C57</f>
        <v>0.21472919059016757</v>
      </c>
      <c r="E57" s="25">
        <f>D57</f>
        <v>0.21472919059016757</v>
      </c>
      <c r="F57" s="13">
        <f>E57</f>
        <v>0.21472919059016757</v>
      </c>
      <c r="H57" s="148"/>
    </row>
    <row r="58" spans="2:11" ht="17" customHeight="1" x14ac:dyDescent="0.2">
      <c r="B58" s="128" t="s">
        <v>417</v>
      </c>
      <c r="C58" s="75">
        <f>CCN!C11/incidenze!C8</f>
        <v>3.8646757344218729E-3</v>
      </c>
      <c r="D58" s="154">
        <v>4.0000000000000001E-3</v>
      </c>
      <c r="E58" s="25">
        <v>4.0000000000000001E-3</v>
      </c>
      <c r="F58" s="13">
        <v>4.0000000000000001E-3</v>
      </c>
      <c r="G58" s="138" t="s">
        <v>1368</v>
      </c>
      <c r="H58" s="587">
        <f>'D. Benchmark di settore'!AE15</f>
        <v>1.7561601658798547E-2</v>
      </c>
    </row>
    <row r="59" spans="2:11" ht="17" customHeight="1" x14ac:dyDescent="0.2">
      <c r="B59" s="136"/>
      <c r="C59" s="222"/>
      <c r="D59" s="155"/>
      <c r="E59" s="156"/>
      <c r="F59" s="157"/>
      <c r="H59" s="589"/>
    </row>
    <row r="60" spans="2:11" ht="17" customHeight="1" x14ac:dyDescent="0.2">
      <c r="B60" s="578" t="s">
        <v>1365</v>
      </c>
      <c r="C60" s="581"/>
      <c r="D60" s="697"/>
      <c r="E60" s="576"/>
      <c r="F60" s="577"/>
      <c r="H60" s="591"/>
    </row>
    <row r="61" spans="2:11" ht="17" customHeight="1" x14ac:dyDescent="0.2">
      <c r="B61" s="128" t="s">
        <v>418</v>
      </c>
      <c r="C61" s="75">
        <f>CCN!C15/'COSTI DI GESTIONE &amp; BEP'!D11</f>
        <v>0.15029898301692926</v>
      </c>
      <c r="D61" s="154">
        <f>C61</f>
        <v>0.15029898301692926</v>
      </c>
      <c r="E61" s="25">
        <f t="shared" ref="E61:F61" si="10">D61</f>
        <v>0.15029898301692926</v>
      </c>
      <c r="F61" s="13">
        <f t="shared" si="10"/>
        <v>0.15029898301692926</v>
      </c>
      <c r="G61" s="138" t="s">
        <v>1368</v>
      </c>
      <c r="H61" s="587">
        <f>'D. Benchmark di settore'!AD15</f>
        <v>0.19212397262152636</v>
      </c>
    </row>
    <row r="62" spans="2:11" ht="17" customHeight="1" x14ac:dyDescent="0.2">
      <c r="B62" s="128" t="s">
        <v>347</v>
      </c>
      <c r="C62" s="45">
        <v>2274193</v>
      </c>
      <c r="D62" s="151">
        <f>D63*D64</f>
        <v>2372164.4559813333</v>
      </c>
      <c r="E62" s="11">
        <f t="shared" ref="E62:F62" si="11">E63*E64</f>
        <v>2455664.6448318763</v>
      </c>
      <c r="F62" s="12">
        <f t="shared" si="11"/>
        <v>2542104.0403299588</v>
      </c>
      <c r="H62" s="587"/>
    </row>
    <row r="63" spans="2:11" ht="17" customHeight="1" x14ac:dyDescent="0.2">
      <c r="B63" s="77" t="s">
        <v>1420</v>
      </c>
      <c r="C63" s="692">
        <f>1.22*('COSTI DI GESTIONE &amp; BEP'!D9/360)</f>
        <v>49815.294166666667</v>
      </c>
      <c r="D63" s="78">
        <f>1.22*('COSTI DI GESTIONE &amp; BEP'!E9/360)</f>
        <v>51568.792521333336</v>
      </c>
      <c r="E63" s="24">
        <f>1.22*('COSTI DI GESTIONE &amp; BEP'!F9/360)</f>
        <v>53384.014018084272</v>
      </c>
      <c r="F63" s="44">
        <f>1.22*('COSTI DI GESTIONE &amp; BEP'!G9/360)</f>
        <v>55263.13131152084</v>
      </c>
      <c r="H63" s="587"/>
    </row>
    <row r="64" spans="2:11" ht="17" customHeight="1" x14ac:dyDescent="0.2">
      <c r="B64" s="77" t="s">
        <v>1421</v>
      </c>
      <c r="C64" s="694">
        <f>C62/C63</f>
        <v>45.652505682115397</v>
      </c>
      <c r="D64" s="698">
        <v>46</v>
      </c>
      <c r="E64" s="699">
        <v>46</v>
      </c>
      <c r="F64" s="695">
        <v>46</v>
      </c>
      <c r="H64" s="587"/>
    </row>
    <row r="65" spans="2:8" ht="17" customHeight="1" x14ac:dyDescent="0.2">
      <c r="B65" s="77" t="s">
        <v>348</v>
      </c>
      <c r="C65" s="45">
        <f>820065+70140+235721+435</f>
        <v>1126361</v>
      </c>
      <c r="D65" s="11">
        <f>CCN!D16</f>
        <v>1436005.68</v>
      </c>
      <c r="E65" s="11">
        <f>CCN!E16</f>
        <v>1539556.19</v>
      </c>
      <c r="F65" s="12">
        <f>CCN!F16</f>
        <v>1658874.35</v>
      </c>
      <c r="H65" s="148"/>
    </row>
    <row r="66" spans="2:8" ht="17" customHeight="1" x14ac:dyDescent="0.2">
      <c r="B66" s="77" t="str">
        <f>TAX!B49</f>
        <v>Debito: Acconto IRPEF per conto dipendenti</v>
      </c>
      <c r="C66" s="45"/>
      <c r="D66" s="151">
        <f>TAX!D49</f>
        <v>13861.624903999998</v>
      </c>
      <c r="E66" s="11">
        <f>TAX!E49</f>
        <v>13825.925431999998</v>
      </c>
      <c r="F66" s="12">
        <f>TAX!F49</f>
        <v>14523.863849000001</v>
      </c>
      <c r="H66" s="148"/>
    </row>
    <row r="67" spans="2:8" ht="17" customHeight="1" x14ac:dyDescent="0.2">
      <c r="B67" s="128" t="s">
        <v>419</v>
      </c>
      <c r="C67" s="75">
        <f>CCN!C17/incidenze!C8</f>
        <v>4.3601941707314587E-2</v>
      </c>
      <c r="D67" s="154">
        <f>C67</f>
        <v>4.3601941707314587E-2</v>
      </c>
      <c r="E67" s="25">
        <f>D67</f>
        <v>4.3601941707314587E-2</v>
      </c>
      <c r="F67" s="13">
        <f>E67</f>
        <v>4.3601941707314587E-2</v>
      </c>
      <c r="G67" s="138" t="s">
        <v>1368</v>
      </c>
      <c r="H67" s="587">
        <f>'D. Benchmark di settore'!AF15</f>
        <v>7.3580493614277986E-2</v>
      </c>
    </row>
    <row r="68" spans="2:8" ht="17" customHeight="1" x14ac:dyDescent="0.2">
      <c r="B68" s="136"/>
      <c r="C68" s="222"/>
      <c r="D68" s="155"/>
      <c r="E68" s="156"/>
      <c r="F68" s="157"/>
      <c r="H68" s="589"/>
    </row>
    <row r="69" spans="2:8" ht="17" customHeight="1" x14ac:dyDescent="0.2">
      <c r="B69" s="578" t="s">
        <v>1367</v>
      </c>
      <c r="C69" s="584"/>
      <c r="D69" s="229"/>
      <c r="E69" s="229"/>
      <c r="F69" s="230"/>
      <c r="H69" s="592"/>
    </row>
    <row r="70" spans="2:8" ht="17" customHeight="1" x14ac:dyDescent="0.2">
      <c r="B70" s="128" t="s">
        <v>420</v>
      </c>
      <c r="C70" s="45">
        <v>0</v>
      </c>
      <c r="D70" s="11">
        <v>0</v>
      </c>
      <c r="E70" s="11">
        <v>0</v>
      </c>
      <c r="F70" s="12">
        <v>0</v>
      </c>
      <c r="H70" s="148"/>
    </row>
    <row r="71" spans="2:8" ht="17" customHeight="1" x14ac:dyDescent="0.2">
      <c r="B71" s="128" t="s">
        <v>421</v>
      </c>
      <c r="C71" s="45">
        <v>0</v>
      </c>
      <c r="D71" s="11">
        <v>0</v>
      </c>
      <c r="E71" s="11">
        <v>0</v>
      </c>
      <c r="F71" s="12">
        <v>0</v>
      </c>
      <c r="H71" s="148"/>
    </row>
    <row r="72" spans="2:8" ht="17" customHeight="1" x14ac:dyDescent="0.2">
      <c r="B72" s="136" t="s">
        <v>422</v>
      </c>
      <c r="C72" s="222">
        <v>0</v>
      </c>
      <c r="D72" s="156">
        <v>0</v>
      </c>
      <c r="E72" s="156">
        <v>0</v>
      </c>
      <c r="F72" s="157">
        <v>0</v>
      </c>
      <c r="H72" s="144"/>
    </row>
    <row r="73" spans="2:8" ht="17" customHeight="1" x14ac:dyDescent="0.2">
      <c r="C73" s="11"/>
      <c r="D73" s="11"/>
      <c r="E73" s="11"/>
      <c r="F73" s="11"/>
    </row>
    <row r="74" spans="2:8" ht="17" customHeight="1" x14ac:dyDescent="0.2">
      <c r="C74" s="11"/>
      <c r="D74" s="11"/>
      <c r="E74" s="11"/>
      <c r="F74" s="11"/>
    </row>
    <row r="75" spans="2:8" ht="17" customHeight="1" x14ac:dyDescent="0.2">
      <c r="C75" s="11"/>
      <c r="D75" s="11"/>
      <c r="E75" s="11"/>
      <c r="F75" s="11"/>
    </row>
    <row r="76" spans="2:8" ht="17" customHeight="1" x14ac:dyDescent="0.2">
      <c r="C76" s="11"/>
      <c r="D76" s="11"/>
      <c r="E76" s="11"/>
      <c r="F76" s="11"/>
    </row>
    <row r="77" spans="2:8" ht="17" customHeight="1" x14ac:dyDescent="0.2">
      <c r="C77" s="11"/>
      <c r="D77" s="11"/>
      <c r="E77" s="11"/>
      <c r="F77" s="11"/>
    </row>
    <row r="78" spans="2:8" ht="17" customHeight="1" x14ac:dyDescent="0.2">
      <c r="C78" s="11"/>
      <c r="D78" s="11"/>
      <c r="E78" s="11"/>
      <c r="F78" s="11"/>
    </row>
    <row r="79" spans="2:8" ht="17" customHeight="1" x14ac:dyDescent="0.2">
      <c r="C79" s="11"/>
      <c r="D79" s="11"/>
      <c r="E79" s="11"/>
      <c r="F79" s="11"/>
    </row>
    <row r="80" spans="2:8" ht="17" customHeight="1" x14ac:dyDescent="0.2">
      <c r="C80" s="11"/>
      <c r="D80" s="11"/>
      <c r="E80" s="11"/>
      <c r="F80" s="11"/>
    </row>
    <row r="81" spans="3:6" ht="17" customHeight="1" x14ac:dyDescent="0.2">
      <c r="C81" s="11"/>
      <c r="D81" s="11"/>
      <c r="E81" s="11"/>
      <c r="F81" s="11"/>
    </row>
    <row r="82" spans="3:6" ht="17" customHeight="1" x14ac:dyDescent="0.2">
      <c r="C82" s="11"/>
      <c r="D82" s="11"/>
      <c r="E82" s="11"/>
      <c r="F82" s="11"/>
    </row>
    <row r="83" spans="3:6" ht="17" customHeight="1" x14ac:dyDescent="0.2">
      <c r="C83" s="11"/>
      <c r="D83" s="11"/>
      <c r="E83" s="11"/>
      <c r="F83" s="11"/>
    </row>
    <row r="84" spans="3:6" ht="17" customHeight="1" x14ac:dyDescent="0.2">
      <c r="C84" s="11"/>
      <c r="D84" s="11"/>
      <c r="E84" s="11"/>
      <c r="F84" s="11"/>
    </row>
    <row r="85" spans="3:6" ht="17" customHeight="1" x14ac:dyDescent="0.2">
      <c r="C85" s="11"/>
      <c r="D85" s="11"/>
      <c r="E85" s="11"/>
      <c r="F85" s="11"/>
    </row>
    <row r="86" spans="3:6" ht="17" customHeight="1" x14ac:dyDescent="0.2">
      <c r="C86" s="11"/>
      <c r="D86" s="11"/>
      <c r="E86" s="11"/>
      <c r="F86" s="11"/>
    </row>
    <row r="87" spans="3:6" ht="17" customHeight="1" x14ac:dyDescent="0.2">
      <c r="C87" s="11"/>
      <c r="D87" s="11"/>
      <c r="E87" s="11"/>
      <c r="F87" s="11"/>
    </row>
    <row r="88" spans="3:6" ht="17" customHeight="1" x14ac:dyDescent="0.2">
      <c r="C88" s="11"/>
      <c r="D88" s="11"/>
      <c r="E88" s="11"/>
      <c r="F88" s="11"/>
    </row>
    <row r="89" spans="3:6" ht="17" customHeight="1" x14ac:dyDescent="0.2">
      <c r="C89" s="11"/>
      <c r="D89" s="11"/>
      <c r="E89" s="11"/>
      <c r="F89" s="11"/>
    </row>
    <row r="90" spans="3:6" ht="17" customHeight="1" x14ac:dyDescent="0.2">
      <c r="C90" s="11"/>
      <c r="D90" s="11"/>
      <c r="E90" s="11"/>
      <c r="F90" s="11"/>
    </row>
    <row r="91" spans="3:6" ht="17" customHeight="1" x14ac:dyDescent="0.2">
      <c r="C91" s="11"/>
      <c r="D91" s="11"/>
      <c r="E91" s="11"/>
      <c r="F91" s="11"/>
    </row>
    <row r="92" spans="3:6" ht="17" customHeight="1" x14ac:dyDescent="0.2">
      <c r="C92" s="11"/>
      <c r="D92" s="11"/>
      <c r="E92" s="11"/>
      <c r="F92" s="11"/>
    </row>
  </sheetData>
  <mergeCells count="1">
    <mergeCell ref="C4:J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B124-5C7A-284F-B02E-7CB7DD96464F}">
  <sheetPr>
    <tabColor theme="0"/>
  </sheetPr>
  <dimension ref="A1"/>
  <sheetViews>
    <sheetView showGridLines="0" workbookViewId="0">
      <selection activeCell="I74" sqref="I74"/>
    </sheetView>
  </sheetViews>
  <sheetFormatPr baseColWidth="10" defaultRowHeight="16"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3E2D-D8D5-CA4B-BF57-5477AD5AC12B}">
  <sheetPr>
    <tabColor rgb="FF00B050"/>
  </sheetPr>
  <dimension ref="A2:P136"/>
  <sheetViews>
    <sheetView showGridLines="0" zoomScaleNormal="100" workbookViewId="0"/>
  </sheetViews>
  <sheetFormatPr baseColWidth="10" defaultRowHeight="16" x14ac:dyDescent="0.2"/>
  <cols>
    <col min="1" max="1" width="8.6640625" style="5" customWidth="1"/>
    <col min="2" max="2" width="44.1640625" style="5" customWidth="1"/>
    <col min="3" max="6" width="20.83203125" style="5" customWidth="1"/>
    <col min="7" max="7" width="10.83203125" style="5"/>
    <col min="8" max="8" width="13.33203125" style="5" customWidth="1"/>
    <col min="9" max="9" width="14.33203125" style="5" bestFit="1" customWidth="1"/>
    <col min="10" max="10" width="33.33203125" style="5" customWidth="1"/>
    <col min="11" max="11" width="16.6640625" style="5" customWidth="1"/>
    <col min="12" max="12" width="33.33203125" style="5" customWidth="1"/>
    <col min="13" max="13" width="16.6640625" style="5" customWidth="1"/>
    <col min="14" max="14" width="10.83203125" style="5"/>
    <col min="15" max="15" width="13" style="5" bestFit="1" customWidth="1"/>
    <col min="16" max="16384" width="10.83203125" style="5"/>
  </cols>
  <sheetData>
    <row r="2" spans="2:13" ht="16" customHeight="1" x14ac:dyDescent="0.2">
      <c r="B2" s="794" t="s">
        <v>1375</v>
      </c>
      <c r="C2" s="795"/>
      <c r="D2" s="795"/>
      <c r="E2" s="796"/>
      <c r="F2" s="797"/>
      <c r="G2" s="288"/>
      <c r="H2" s="505"/>
      <c r="I2" s="288"/>
      <c r="J2" s="794" t="s">
        <v>1554</v>
      </c>
      <c r="K2" s="790"/>
      <c r="L2" s="790"/>
      <c r="M2" s="790"/>
    </row>
    <row r="3" spans="2:13" ht="8" customHeight="1" x14ac:dyDescent="0.2"/>
    <row r="4" spans="2:13" ht="19" x14ac:dyDescent="0.2">
      <c r="B4" s="422" t="s">
        <v>304</v>
      </c>
      <c r="C4" s="441">
        <v>2024</v>
      </c>
      <c r="D4" s="423">
        <v>2025</v>
      </c>
      <c r="E4" s="423">
        <v>2026</v>
      </c>
      <c r="F4" s="424">
        <v>2027</v>
      </c>
      <c r="J4" s="960" t="s">
        <v>1539</v>
      </c>
      <c r="K4" s="960"/>
      <c r="L4" s="960" t="s">
        <v>1540</v>
      </c>
      <c r="M4" s="960"/>
    </row>
    <row r="5" spans="2:13" x14ac:dyDescent="0.2">
      <c r="B5" s="128"/>
      <c r="C5" s="10"/>
      <c r="F5" s="135"/>
      <c r="J5" s="74" t="s">
        <v>980</v>
      </c>
      <c r="K5" s="688">
        <f>SUM(K6:K9)</f>
        <v>9705479</v>
      </c>
      <c r="L5" s="74" t="s">
        <v>983</v>
      </c>
      <c r="M5" s="688">
        <f>SUM(M6:M10)</f>
        <v>4528074</v>
      </c>
    </row>
    <row r="6" spans="2:13" x14ac:dyDescent="0.2">
      <c r="B6" s="128" t="s">
        <v>305</v>
      </c>
      <c r="C6" s="45">
        <f>incidenze!C8</f>
        <v>21463379</v>
      </c>
      <c r="D6" s="11">
        <f>incidenze!D8</f>
        <v>22422792.041299999</v>
      </c>
      <c r="E6" s="11">
        <f>incidenze!E8</f>
        <v>23425090.845546108</v>
      </c>
      <c r="F6" s="12">
        <f>incidenze!F8</f>
        <v>24472192.406342018</v>
      </c>
      <c r="H6"/>
      <c r="I6"/>
      <c r="J6" s="750" t="s">
        <v>332</v>
      </c>
      <c r="K6" s="12">
        <f>C48</f>
        <v>4608814</v>
      </c>
      <c r="L6" s="750" t="s">
        <v>982</v>
      </c>
      <c r="M6" s="12">
        <f>C77</f>
        <v>2274193</v>
      </c>
    </row>
    <row r="7" spans="2:13" x14ac:dyDescent="0.2">
      <c r="B7" s="128" t="s">
        <v>306</v>
      </c>
      <c r="C7" s="93" t="s">
        <v>535</v>
      </c>
      <c r="D7" s="25">
        <f>(D6-C6)/C6</f>
        <v>4.4699999999999941E-2</v>
      </c>
      <c r="E7" s="25">
        <f>(E6-D6)/D6</f>
        <v>4.4699999999999955E-2</v>
      </c>
      <c r="F7" s="13">
        <f>(F6-E6)/E6</f>
        <v>4.4699999999999983E-2</v>
      </c>
      <c r="H7"/>
      <c r="I7"/>
      <c r="J7" s="750" t="s">
        <v>979</v>
      </c>
      <c r="K7" s="12">
        <f>C49</f>
        <v>4256399</v>
      </c>
      <c r="L7" s="750" t="s">
        <v>348</v>
      </c>
      <c r="M7" s="12">
        <f>C78</f>
        <v>1126361</v>
      </c>
    </row>
    <row r="8" spans="2:13" x14ac:dyDescent="0.2">
      <c r="B8" s="128" t="s">
        <v>307</v>
      </c>
      <c r="C8" s="235">
        <f>-'COSTI DI GESTIONE &amp; BEP'!D11</f>
        <v>-15131127</v>
      </c>
      <c r="D8" s="594">
        <f>-'COSTI DI GESTIONE &amp; BEP'!E11</f>
        <v>-15217020.744000001</v>
      </c>
      <c r="E8" s="594">
        <f>-'COSTI DI GESTIONE &amp; BEP'!F11</f>
        <v>-15752659.874188801</v>
      </c>
      <c r="F8" s="236">
        <f>-'COSTI DI GESTIONE &amp; BEP'!G11</f>
        <v>-16307153.501760248</v>
      </c>
      <c r="H8"/>
      <c r="I8"/>
      <c r="J8" s="750" t="s">
        <v>334</v>
      </c>
      <c r="K8" s="12">
        <f>C50</f>
        <v>757317</v>
      </c>
      <c r="L8" s="750" t="s">
        <v>349</v>
      </c>
      <c r="M8" s="12">
        <f>C79</f>
        <v>935845</v>
      </c>
    </row>
    <row r="9" spans="2:13" s="4" customFormat="1" x14ac:dyDescent="0.2">
      <c r="B9" s="430" t="s">
        <v>308</v>
      </c>
      <c r="C9" s="597">
        <f>C6+C8</f>
        <v>6332252</v>
      </c>
      <c r="D9" s="595">
        <f>D6+D8</f>
        <v>7205771.2972999979</v>
      </c>
      <c r="E9" s="595">
        <f>E6+E8</f>
        <v>7672430.9713573065</v>
      </c>
      <c r="F9" s="596">
        <f>F6+F8</f>
        <v>8165038.9045817703</v>
      </c>
      <c r="H9"/>
      <c r="I9"/>
      <c r="J9" s="750" t="s">
        <v>336</v>
      </c>
      <c r="K9" s="12">
        <f>C52</f>
        <v>82949</v>
      </c>
      <c r="L9" s="750" t="s">
        <v>344</v>
      </c>
      <c r="M9" s="9">
        <f>C74</f>
        <v>191675</v>
      </c>
    </row>
    <row r="10" spans="2:13" x14ac:dyDescent="0.2">
      <c r="B10" s="128" t="s">
        <v>309</v>
      </c>
      <c r="C10" s="94" t="str">
        <f>C7</f>
        <v>n.d.</v>
      </c>
      <c r="D10" s="25">
        <f>(D9-C9)/C9</f>
        <v>0.13794765232021686</v>
      </c>
      <c r="E10" s="25">
        <f>(E9-D9)/D9</f>
        <v>6.476193245713556E-2</v>
      </c>
      <c r="F10" s="13">
        <f>(F9-E9)/E9</f>
        <v>6.4204935184619602E-2</v>
      </c>
      <c r="H10"/>
      <c r="I10"/>
      <c r="J10" s="150"/>
      <c r="K10" s="135"/>
      <c r="L10" s="750" t="s">
        <v>1428</v>
      </c>
      <c r="M10" s="12">
        <v>0</v>
      </c>
    </row>
    <row r="11" spans="2:13" x14ac:dyDescent="0.2">
      <c r="B11" s="128" t="s">
        <v>310</v>
      </c>
      <c r="C11" s="235">
        <f>-incidenze!C10*incidenze!C8</f>
        <v>-2422226.0041781082</v>
      </c>
      <c r="D11" s="594">
        <f>-incidenze!D10*incidenze!D8</f>
        <v>-2522210.2518423828</v>
      </c>
      <c r="E11" s="594">
        <f>-incidenze!E10*incidenze!E8</f>
        <v>-2651181.1935523287</v>
      </c>
      <c r="F11" s="236">
        <f>-incidenze!F10*incidenze!F8</f>
        <v>-2754680.4394205464</v>
      </c>
      <c r="H11"/>
      <c r="I11"/>
      <c r="J11" s="150"/>
      <c r="K11" s="135"/>
      <c r="L11" s="149"/>
      <c r="M11" s="135"/>
    </row>
    <row r="12" spans="2:13" x14ac:dyDescent="0.2">
      <c r="B12" s="128" t="s">
        <v>1072</v>
      </c>
      <c r="C12" s="235">
        <f>-'COSTI DI GESTIONE &amp; BEP'!D41</f>
        <v>-117380</v>
      </c>
      <c r="D12" s="594">
        <f>-'COSTI DI GESTIONE &amp; BEP'!E41</f>
        <v>-123249</v>
      </c>
      <c r="E12" s="594">
        <f>-'COSTI DI GESTIONE &amp; BEP'!F41</f>
        <v>-129411.45000000001</v>
      </c>
      <c r="F12" s="236">
        <f>-'COSTI DI GESTIONE &amp; BEP'!G41</f>
        <v>-135882.02250000002</v>
      </c>
      <c r="H12"/>
      <c r="I12" s="237"/>
      <c r="J12" s="682" t="s">
        <v>1541</v>
      </c>
      <c r="K12" s="9">
        <f>SUM(K13:K14)</f>
        <v>8784248</v>
      </c>
      <c r="L12" s="748" t="s">
        <v>1542</v>
      </c>
      <c r="M12" s="9">
        <f>SUM(M13:M14)</f>
        <v>8505498</v>
      </c>
    </row>
    <row r="13" spans="2:13" x14ac:dyDescent="0.2">
      <c r="B13" s="128" t="s">
        <v>311</v>
      </c>
      <c r="C13" s="235">
        <f>-C6*incidenze!C11</f>
        <v>-1498458</v>
      </c>
      <c r="D13" s="594">
        <f>-D6*incidenze!D11</f>
        <v>-1604094.8872774735</v>
      </c>
      <c r="E13" s="594">
        <f>-E6*incidenze!E11</f>
        <v>-1644664.8756884211</v>
      </c>
      <c r="F13" s="236">
        <f>-F6*incidenze!F11</f>
        <v>-1715757.0059520002</v>
      </c>
      <c r="H13"/>
      <c r="I13"/>
      <c r="J13" s="750" t="s">
        <v>329</v>
      </c>
      <c r="K13" s="12">
        <f>C44</f>
        <v>8694725</v>
      </c>
      <c r="L13" s="752" t="s">
        <v>1553</v>
      </c>
      <c r="M13" s="12">
        <f>C76</f>
        <v>3395294</v>
      </c>
    </row>
    <row r="14" spans="2:13" x14ac:dyDescent="0.2">
      <c r="B14" s="220" t="s">
        <v>312</v>
      </c>
      <c r="C14" s="235">
        <f>'COSTI DI GESTIONE &amp; BEP'!D15</f>
        <v>79658</v>
      </c>
      <c r="D14" s="594">
        <f>'COSTI DI GESTIONE &amp; BEP'!E15</f>
        <v>78592.035789473681</v>
      </c>
      <c r="E14" s="594">
        <f>'COSTI DI GESTIONE &amp; BEP'!F15</f>
        <v>80579.747368421042</v>
      </c>
      <c r="F14" s="236">
        <f>'COSTI DI GESTIONE &amp; BEP'!G15</f>
        <v>84062.88</v>
      </c>
      <c r="H14"/>
      <c r="I14" s="237"/>
      <c r="J14" s="751" t="s">
        <v>328</v>
      </c>
      <c r="K14" s="12">
        <f>C43</f>
        <v>89523</v>
      </c>
      <c r="L14" s="750" t="s">
        <v>1543</v>
      </c>
      <c r="M14" s="12">
        <f>C75</f>
        <v>5110204</v>
      </c>
    </row>
    <row r="15" spans="2:13" s="4" customFormat="1" x14ac:dyDescent="0.2">
      <c r="B15" s="430" t="s">
        <v>313</v>
      </c>
      <c r="C15" s="597">
        <f>C9+SUM(C11:C13)</f>
        <v>2294187.9958218918</v>
      </c>
      <c r="D15" s="595">
        <f>D9+SUM(D11:D13)</f>
        <v>2956217.1581801418</v>
      </c>
      <c r="E15" s="595">
        <f>E9+SUM(E11:E13)</f>
        <v>3247173.4521165565</v>
      </c>
      <c r="F15" s="596">
        <f>F9+SUM(F11:F13)</f>
        <v>3558719.4367092233</v>
      </c>
      <c r="H15"/>
      <c r="I15"/>
      <c r="J15" s="682"/>
      <c r="K15" s="135"/>
      <c r="L15" s="150"/>
      <c r="M15" s="135"/>
    </row>
    <row r="16" spans="2:13" x14ac:dyDescent="0.2">
      <c r="B16" s="128" t="s">
        <v>314</v>
      </c>
      <c r="C16" s="235"/>
      <c r="D16" s="25">
        <f>(D15-C15)/D15</f>
        <v>0.22394469923373206</v>
      </c>
      <c r="E16" s="25">
        <f t="shared" ref="E16:F16" si="0">(E15-D15)/E15</f>
        <v>8.9602941828304541E-2</v>
      </c>
      <c r="F16" s="13">
        <f t="shared" si="0"/>
        <v>8.7544407513269987E-2</v>
      </c>
      <c r="H16"/>
      <c r="I16"/>
      <c r="J16" s="682" t="s">
        <v>1545</v>
      </c>
      <c r="K16" s="9">
        <f>SUM(K17:K18)</f>
        <v>301132</v>
      </c>
      <c r="L16" s="682" t="s">
        <v>1544</v>
      </c>
      <c r="M16" s="9">
        <f>SUM(M17:M19)</f>
        <v>5757286.9958218914</v>
      </c>
    </row>
    <row r="17" spans="2:13" x14ac:dyDescent="0.2">
      <c r="B17" s="128"/>
      <c r="C17" s="235"/>
      <c r="D17" s="594"/>
      <c r="E17" s="594"/>
      <c r="F17" s="236"/>
      <c r="H17"/>
      <c r="I17"/>
      <c r="J17" s="750" t="s">
        <v>1549</v>
      </c>
      <c r="K17" s="12">
        <f>C51</f>
        <v>242430</v>
      </c>
      <c r="L17" s="750" t="s">
        <v>1546</v>
      </c>
      <c r="M17" s="12">
        <f>C62</f>
        <v>140000</v>
      </c>
    </row>
    <row r="18" spans="2:13" x14ac:dyDescent="0.2">
      <c r="B18" s="128" t="s">
        <v>316</v>
      </c>
      <c r="C18" s="235">
        <f>-incidenze!C16</f>
        <v>-37282</v>
      </c>
      <c r="D18" s="594">
        <f>-incidenze!D16</f>
        <v>-36290</v>
      </c>
      <c r="E18" s="594">
        <f>-incidenze!E16</f>
        <v>-2194</v>
      </c>
      <c r="F18" s="236">
        <f>-incidenze!F16</f>
        <v>-2194</v>
      </c>
      <c r="H18" s="690"/>
      <c r="I18"/>
      <c r="J18" s="750" t="s">
        <v>1550</v>
      </c>
      <c r="K18" s="12">
        <f>C45</f>
        <v>58702</v>
      </c>
      <c r="L18" s="752" t="s">
        <v>1547</v>
      </c>
      <c r="M18" s="12">
        <f>C63</f>
        <v>4717554</v>
      </c>
    </row>
    <row r="19" spans="2:13" x14ac:dyDescent="0.2">
      <c r="B19" s="128" t="s">
        <v>317</v>
      </c>
      <c r="C19" s="235">
        <f>-incidenze!C18</f>
        <v>-879520</v>
      </c>
      <c r="D19" s="594">
        <f>-incidenze!D18</f>
        <v>-763006.26240674721</v>
      </c>
      <c r="E19" s="594">
        <f>-incidenze!E18</f>
        <v>-747494.49079027993</v>
      </c>
      <c r="F19" s="236">
        <f>-incidenze!F18</f>
        <v>-728047.2432149807</v>
      </c>
      <c r="H19" s="690"/>
      <c r="I19"/>
      <c r="J19" s="150"/>
      <c r="K19" s="135"/>
      <c r="L19" s="750" t="s">
        <v>1548</v>
      </c>
      <c r="M19" s="12">
        <f>C67</f>
        <v>899732.99582189089</v>
      </c>
    </row>
    <row r="20" spans="2:13" x14ac:dyDescent="0.2">
      <c r="B20" s="128" t="s">
        <v>315</v>
      </c>
      <c r="C20" s="235">
        <f>'COSTI DI GESTIONE &amp; BEP'!D48</f>
        <v>0</v>
      </c>
      <c r="D20" s="594">
        <f>'COSTI DI GESTIONE &amp; BEP'!E48</f>
        <v>0</v>
      </c>
      <c r="E20" s="594">
        <f>'COSTI DI GESTIONE &amp; BEP'!F48</f>
        <v>0</v>
      </c>
      <c r="F20" s="236">
        <f>'COSTI DI GESTIONE &amp; BEP'!G48</f>
        <v>0</v>
      </c>
      <c r="H20"/>
      <c r="I20"/>
      <c r="J20" s="150"/>
      <c r="K20" s="135"/>
      <c r="L20" s="150"/>
      <c r="M20" s="135"/>
    </row>
    <row r="21" spans="2:13" x14ac:dyDescent="0.2">
      <c r="B21" s="128" t="s">
        <v>300</v>
      </c>
      <c r="C21" s="235">
        <f>-'COSTI DI GESTIONE &amp; BEP'!D46</f>
        <v>-52056</v>
      </c>
      <c r="D21" s="594">
        <f>-'COSTI DI GESTIONE &amp; BEP'!E46</f>
        <v>-54481.004199999996</v>
      </c>
      <c r="E21" s="594">
        <f>-'COSTI DI GESTIONE &amp; BEP'!F46</f>
        <v>-57020.652137740006</v>
      </c>
      <c r="F21" s="236">
        <f>-'COSTI DI GESTIONE &amp; BEP'!G46</f>
        <v>-59680.380690796985</v>
      </c>
      <c r="H21"/>
      <c r="I21"/>
      <c r="J21" s="48" t="s">
        <v>1551</v>
      </c>
      <c r="K21" s="51">
        <f>K5+K12+K16</f>
        <v>18790859</v>
      </c>
      <c r="L21" s="749" t="s">
        <v>1552</v>
      </c>
      <c r="M21" s="51">
        <f>M5+M12+M16</f>
        <v>18790858.995821893</v>
      </c>
    </row>
    <row r="22" spans="2:13" s="4" customFormat="1" x14ac:dyDescent="0.2">
      <c r="B22" s="430" t="s">
        <v>1073</v>
      </c>
      <c r="C22" s="597">
        <f>C15+SUM(C18:C21)</f>
        <v>1325329.9958218918</v>
      </c>
      <c r="D22" s="595">
        <f>D15+SUM(D18:D21)</f>
        <v>2102439.8915733946</v>
      </c>
      <c r="E22" s="595">
        <f>E15+SUM(E18:E21)</f>
        <v>2440464.3091885364</v>
      </c>
      <c r="F22" s="596">
        <f>F15+SUM(F18:F21)</f>
        <v>2768797.8128034454</v>
      </c>
      <c r="J22" s="5"/>
      <c r="K22" s="5"/>
      <c r="L22" s="687"/>
      <c r="M22" s="11"/>
    </row>
    <row r="23" spans="2:13" x14ac:dyDescent="0.2">
      <c r="B23" s="128" t="s">
        <v>318</v>
      </c>
      <c r="C23" s="94" t="str">
        <f>C10</f>
        <v>n.d.</v>
      </c>
      <c r="D23" s="25">
        <f>(D22-C22)/C22</f>
        <v>0.58635200154025402</v>
      </c>
      <c r="E23" s="25">
        <f>(E22-D22)/D22</f>
        <v>0.16077720888475708</v>
      </c>
      <c r="F23" s="13">
        <f>(F22-E22)/E22</f>
        <v>0.13453731012525283</v>
      </c>
    </row>
    <row r="24" spans="2:13" x14ac:dyDescent="0.2">
      <c r="B24" s="128"/>
      <c r="C24" s="235"/>
      <c r="D24" s="594"/>
      <c r="E24" s="594"/>
      <c r="F24" s="236"/>
      <c r="J24" s="4"/>
      <c r="K24" s="4"/>
      <c r="L24" s="4"/>
      <c r="M24" s="4"/>
    </row>
    <row r="25" spans="2:13" x14ac:dyDescent="0.2">
      <c r="B25" s="128" t="s">
        <v>319</v>
      </c>
      <c r="C25" s="235">
        <f>-FONTI!D46</f>
        <v>-385142.81</v>
      </c>
      <c r="D25" s="594">
        <f>-FONTI!E46</f>
        <v>-160840.81392308936</v>
      </c>
      <c r="E25" s="594">
        <f>-FONTI!F46</f>
        <v>-110921.13502945926</v>
      </c>
      <c r="F25" s="236">
        <f>-FONTI!G46</f>
        <v>-17905.761889900758</v>
      </c>
      <c r="H25" s="237"/>
      <c r="I25"/>
      <c r="J25" s="794" t="s">
        <v>1538</v>
      </c>
      <c r="K25" s="790"/>
      <c r="L25" s="790"/>
      <c r="M25" s="790"/>
    </row>
    <row r="26" spans="2:13" x14ac:dyDescent="0.2">
      <c r="B26" s="128" t="s">
        <v>320</v>
      </c>
      <c r="C26" s="235">
        <f>-FONTI!D43</f>
        <v>-118261.19</v>
      </c>
      <c r="D26" s="594">
        <f>-FONTI!E43</f>
        <v>-109524.51614504191</v>
      </c>
      <c r="E26" s="594">
        <f>-FONTI!F43</f>
        <v>-60739.795368577543</v>
      </c>
      <c r="F26" s="236">
        <f>-FONTI!G43</f>
        <v>-11195.484760193325</v>
      </c>
      <c r="H26"/>
      <c r="I26"/>
    </row>
    <row r="27" spans="2:13" x14ac:dyDescent="0.2">
      <c r="B27" s="128" t="s">
        <v>321</v>
      </c>
      <c r="C27" s="235">
        <f>incidenze!C26*incidenze!C8</f>
        <v>1756.0000000000002</v>
      </c>
      <c r="D27" s="594">
        <f>incidenze!D26*incidenze!D8</f>
        <v>2242.2792041299999</v>
      </c>
      <c r="E27" s="594">
        <f>incidenze!E26*incidenze!E8</f>
        <v>2342.509084554611</v>
      </c>
      <c r="F27" s="236">
        <f>incidenze!F26*incidenze!F8</f>
        <v>2447.2192406342019</v>
      </c>
      <c r="H27"/>
      <c r="I27"/>
      <c r="J27" s="960" t="s">
        <v>1539</v>
      </c>
      <c r="K27" s="960"/>
      <c r="L27" s="960" t="s">
        <v>1540</v>
      </c>
      <c r="M27" s="960"/>
    </row>
    <row r="28" spans="2:13" x14ac:dyDescent="0.2">
      <c r="B28" s="128" t="s">
        <v>322</v>
      </c>
      <c r="C28" s="235">
        <f>incidenze!C27</f>
        <v>0</v>
      </c>
      <c r="D28" s="594">
        <f>incidenze!D27</f>
        <v>0</v>
      </c>
      <c r="E28" s="594">
        <f>incidenze!E27</f>
        <v>0</v>
      </c>
      <c r="F28" s="236">
        <f>incidenze!F27</f>
        <v>0</v>
      </c>
      <c r="H28"/>
      <c r="I28"/>
      <c r="J28" s="74" t="s">
        <v>980</v>
      </c>
      <c r="K28" s="688">
        <f>SUM(K29:K32)</f>
        <v>10136836.569141289</v>
      </c>
      <c r="L28" s="74" t="s">
        <v>983</v>
      </c>
      <c r="M28" s="688">
        <f>SUM(M29:M33)</f>
        <v>5056114.4432708072</v>
      </c>
    </row>
    <row r="29" spans="2:13" x14ac:dyDescent="0.2">
      <c r="B29" s="128" t="s">
        <v>1201</v>
      </c>
      <c r="C29" s="235">
        <f>-21656</f>
        <v>-21656</v>
      </c>
      <c r="D29" s="594">
        <f>(C29/(CCN!C9+CCN!C10))*(CCN!D9+CCN!D10)</f>
        <v>-23377.057947102705</v>
      </c>
      <c r="E29" s="594">
        <f>(C29/(CCN!C9+CCN!C10))*(CCN!E10+CCN!E9)</f>
        <v>-24536.322694261955</v>
      </c>
      <c r="F29" s="236">
        <f>(C29/(CCN!C9+CCN!C10))*(CCN!F9+CCN!F10)</f>
        <v>-25779.755739756674</v>
      </c>
      <c r="H29"/>
      <c r="I29"/>
      <c r="J29" s="750" t="s">
        <v>332</v>
      </c>
      <c r="K29" s="12">
        <f>D48</f>
        <v>4634976.5118776429</v>
      </c>
      <c r="L29" s="750" t="s">
        <v>982</v>
      </c>
      <c r="M29" s="12">
        <f>D77</f>
        <v>2372164.4559813333</v>
      </c>
    </row>
    <row r="30" spans="2:13" x14ac:dyDescent="0.2">
      <c r="B30" s="128" t="s">
        <v>323</v>
      </c>
      <c r="C30" s="235">
        <f>incidenze!C33*incidenze!C8</f>
        <v>285174.99999999901</v>
      </c>
      <c r="D30" s="594">
        <f>incidenze!D33*incidenze!D8</f>
        <v>297922.32249999896</v>
      </c>
      <c r="E30" s="594">
        <f>incidenze!E33*incidenze!E8</f>
        <v>311239.45031574892</v>
      </c>
      <c r="F30" s="236">
        <f>incidenze!F33*incidenze!F8</f>
        <v>325151.85374486289</v>
      </c>
      <c r="H30"/>
      <c r="I30"/>
      <c r="J30" s="750" t="s">
        <v>979</v>
      </c>
      <c r="K30" s="12">
        <f>D49</f>
        <v>4446660.0352999996</v>
      </c>
      <c r="L30" s="750" t="s">
        <v>348</v>
      </c>
      <c r="M30" s="12">
        <f>D78</f>
        <v>1436005.68</v>
      </c>
    </row>
    <row r="31" spans="2:13" s="4" customFormat="1" x14ac:dyDescent="0.2">
      <c r="B31" s="430" t="s">
        <v>324</v>
      </c>
      <c r="C31" s="597">
        <f>C22+SUM(C25:C30)</f>
        <v>1087200.9958218909</v>
      </c>
      <c r="D31" s="595">
        <f>D22+SUM(D25:D30)</f>
        <v>2108862.1052622898</v>
      </c>
      <c r="E31" s="595">
        <f>E22+SUM(E25:E30)</f>
        <v>2557849.0154965413</v>
      </c>
      <c r="F31" s="596">
        <f>F22+SUM(F25:F30)</f>
        <v>3041515.8833990917</v>
      </c>
      <c r="H31"/>
      <c r="I31"/>
      <c r="J31" s="750" t="s">
        <v>334</v>
      </c>
      <c r="K31" s="12">
        <f>D50</f>
        <v>965508.85379844788</v>
      </c>
      <c r="L31" s="750" t="s">
        <v>349</v>
      </c>
      <c r="M31" s="12">
        <f>D79</f>
        <v>977677.27150000003</v>
      </c>
    </row>
    <row r="32" spans="2:13" x14ac:dyDescent="0.2">
      <c r="B32" s="128"/>
      <c r="C32" s="235"/>
      <c r="D32" s="594"/>
      <c r="E32" s="594"/>
      <c r="F32" s="236"/>
      <c r="J32" s="750" t="s">
        <v>336</v>
      </c>
      <c r="K32" s="12">
        <f>D52</f>
        <v>89691.168165199997</v>
      </c>
      <c r="L32" s="750" t="s">
        <v>344</v>
      </c>
      <c r="M32" s="9">
        <f>D74</f>
        <v>270267.03578947368</v>
      </c>
    </row>
    <row r="33" spans="2:16" x14ac:dyDescent="0.2">
      <c r="B33" s="128" t="s">
        <v>325</v>
      </c>
      <c r="C33" s="235">
        <f>-187468</f>
        <v>-187468</v>
      </c>
      <c r="D33" s="594">
        <f>-(incidenze!D39+incidenze!D43)</f>
        <v>-585090.2408304594</v>
      </c>
      <c r="E33" s="594">
        <f>-(incidenze!E39+incidenze!E43)</f>
        <v>-700688.54838912841</v>
      </c>
      <c r="F33" s="236">
        <f>-(incidenze!F39+incidenze!F43)</f>
        <v>-825126.81173607579</v>
      </c>
      <c r="J33" s="150"/>
      <c r="K33" s="135"/>
      <c r="L33" s="750" t="s">
        <v>1428</v>
      </c>
      <c r="M33" s="12">
        <v>0</v>
      </c>
    </row>
    <row r="34" spans="2:16" s="4" customFormat="1" x14ac:dyDescent="0.2">
      <c r="B34" s="430" t="s">
        <v>326</v>
      </c>
      <c r="C34" s="597">
        <f>C31+C33</f>
        <v>899732.99582189089</v>
      </c>
      <c r="D34" s="595">
        <f>D31+D33</f>
        <v>1523771.8644318304</v>
      </c>
      <c r="E34" s="595">
        <f>E31+E33</f>
        <v>1857160.4671074129</v>
      </c>
      <c r="F34" s="596">
        <f>F31+F33</f>
        <v>2216389.071663016</v>
      </c>
      <c r="J34" s="150"/>
      <c r="K34" s="135"/>
      <c r="L34" s="149"/>
      <c r="M34" s="135"/>
    </row>
    <row r="35" spans="2:16" x14ac:dyDescent="0.2">
      <c r="B35" s="136" t="s">
        <v>1074</v>
      </c>
      <c r="C35" s="95" t="str">
        <f>C23</f>
        <v>n.d.</v>
      </c>
      <c r="D35" s="156">
        <f>(D34-C34)/C34</f>
        <v>0.69358228664259503</v>
      </c>
      <c r="E35" s="156">
        <f>(E34-D34)/D34</f>
        <v>0.21879167771606894</v>
      </c>
      <c r="F35" s="157">
        <f>(F34-E34)/E34</f>
        <v>0.19342895291924517</v>
      </c>
      <c r="J35" s="682" t="s">
        <v>1541</v>
      </c>
      <c r="K35" s="9">
        <f>SUM(K36:K37)</f>
        <v>8013753.7375932541</v>
      </c>
      <c r="L35" s="748" t="s">
        <v>1542</v>
      </c>
      <c r="M35" s="9">
        <f>SUM(M36:M37)</f>
        <v>6056692.1799999997</v>
      </c>
    </row>
    <row r="36" spans="2:16" x14ac:dyDescent="0.2">
      <c r="J36" s="750" t="s">
        <v>329</v>
      </c>
      <c r="K36" s="12">
        <f>D44</f>
        <v>7955926.7375932541</v>
      </c>
      <c r="L36" s="752" t="s">
        <v>1553</v>
      </c>
      <c r="M36" s="12">
        <f>FONTI!G73</f>
        <v>2417759.7383011458</v>
      </c>
    </row>
    <row r="37" spans="2:16" x14ac:dyDescent="0.2">
      <c r="C37" s="837"/>
      <c r="D37" s="808">
        <f>D31</f>
        <v>2108862.1052622898</v>
      </c>
      <c r="E37" s="808">
        <f>D22</f>
        <v>2102439.8915733946</v>
      </c>
      <c r="F37" s="836"/>
      <c r="J37" s="751" t="s">
        <v>328</v>
      </c>
      <c r="K37" s="12">
        <f>D43</f>
        <v>57827</v>
      </c>
      <c r="L37" s="750" t="s">
        <v>1543</v>
      </c>
      <c r="M37" s="12">
        <f>FONTI!G74</f>
        <v>3638932.4416988539</v>
      </c>
    </row>
    <row r="38" spans="2:16" x14ac:dyDescent="0.2">
      <c r="C38" s="837"/>
      <c r="D38" s="806">
        <f>D33</f>
        <v>-585090.2408304594</v>
      </c>
      <c r="E38" s="808">
        <f>E37*D38/D37</f>
        <v>-583308.43890774285</v>
      </c>
      <c r="F38" s="808">
        <f>D38-E38-6449.46</f>
        <v>-8231.2619227165487</v>
      </c>
      <c r="J38" s="682"/>
      <c r="K38" s="135"/>
      <c r="L38" s="150"/>
      <c r="M38" s="135"/>
    </row>
    <row r="39" spans="2:16" x14ac:dyDescent="0.2">
      <c r="B39" s="794" t="s">
        <v>1376</v>
      </c>
      <c r="C39" s="790"/>
      <c r="D39" s="790"/>
      <c r="E39" s="790"/>
      <c r="F39" s="790"/>
      <c r="J39" s="682" t="s">
        <v>1545</v>
      </c>
      <c r="K39" s="9">
        <f>SUM(K40:K41)</f>
        <v>243275.17999999996</v>
      </c>
      <c r="L39" s="682" t="s">
        <v>1544</v>
      </c>
      <c r="M39" s="9">
        <f>SUM(M40:M42)</f>
        <v>7281058.8602537215</v>
      </c>
    </row>
    <row r="40" spans="2:16" x14ac:dyDescent="0.2">
      <c r="J40" s="750" t="s">
        <v>1549</v>
      </c>
      <c r="K40" s="12">
        <f>D51</f>
        <v>184573.17999999996</v>
      </c>
      <c r="L40" s="750" t="s">
        <v>1546</v>
      </c>
      <c r="M40" s="12">
        <f>D62</f>
        <v>140000</v>
      </c>
    </row>
    <row r="41" spans="2:16" ht="19" x14ac:dyDescent="0.2">
      <c r="B41" s="422" t="s">
        <v>327</v>
      </c>
      <c r="C41" s="441">
        <v>2024</v>
      </c>
      <c r="D41" s="423">
        <v>2025</v>
      </c>
      <c r="E41" s="423">
        <v>2026</v>
      </c>
      <c r="F41" s="424">
        <v>2027</v>
      </c>
      <c r="J41" s="750" t="s">
        <v>1550</v>
      </c>
      <c r="K41" s="12">
        <f>D45</f>
        <v>58702</v>
      </c>
      <c r="L41" s="752" t="s">
        <v>1547</v>
      </c>
      <c r="M41" s="12">
        <f>D63</f>
        <v>5617286.9958218914</v>
      </c>
    </row>
    <row r="42" spans="2:16" x14ac:dyDescent="0.2">
      <c r="B42" s="600" t="s">
        <v>1369</v>
      </c>
      <c r="C42" s="601"/>
      <c r="D42" s="494"/>
      <c r="E42" s="494"/>
      <c r="F42" s="495"/>
      <c r="J42" s="150"/>
      <c r="K42" s="135"/>
      <c r="L42" s="750" t="s">
        <v>1548</v>
      </c>
      <c r="M42" s="12">
        <f>D67</f>
        <v>1523771.8644318304</v>
      </c>
    </row>
    <row r="43" spans="2:16" x14ac:dyDescent="0.2">
      <c r="B43" s="599" t="s">
        <v>328</v>
      </c>
      <c r="C43" s="46">
        <f>INV!C43</f>
        <v>89523</v>
      </c>
      <c r="D43" s="41">
        <f>INV!N43</f>
        <v>57827</v>
      </c>
      <c r="E43" s="41">
        <f>INV!O43</f>
        <v>21537</v>
      </c>
      <c r="F43" s="40">
        <f>INV!P43</f>
        <v>18351</v>
      </c>
      <c r="H43" s="11"/>
      <c r="J43" s="150"/>
      <c r="K43" s="135"/>
      <c r="L43" s="150"/>
      <c r="M43" s="135"/>
    </row>
    <row r="44" spans="2:16" x14ac:dyDescent="0.2">
      <c r="B44" s="438" t="s">
        <v>329</v>
      </c>
      <c r="C44" s="45">
        <f>INV!C54</f>
        <v>8694725</v>
      </c>
      <c r="D44" s="11">
        <f>INV!N54</f>
        <v>7955926.7375932541</v>
      </c>
      <c r="E44" s="11">
        <f>INV!O54</f>
        <v>7208432.2468029736</v>
      </c>
      <c r="F44" s="12">
        <f>INV!P54</f>
        <v>6480385.0035879929</v>
      </c>
      <c r="H44" s="11"/>
      <c r="I44" s="11"/>
      <c r="J44" s="48" t="s">
        <v>1551</v>
      </c>
      <c r="K44" s="51">
        <f>K28+K35+K39</f>
        <v>18393865.486734543</v>
      </c>
      <c r="L44" s="749" t="s">
        <v>1552</v>
      </c>
      <c r="M44" s="51">
        <f>M28+M35+M39</f>
        <v>18393865.483524527</v>
      </c>
    </row>
    <row r="45" spans="2:16" s="4" customFormat="1" x14ac:dyDescent="0.2">
      <c r="B45" s="438" t="s">
        <v>330</v>
      </c>
      <c r="C45" s="45">
        <f>INV!C63</f>
        <v>58702</v>
      </c>
      <c r="D45" s="11">
        <f>C45</f>
        <v>58702</v>
      </c>
      <c r="E45" s="11">
        <f>D45</f>
        <v>58702</v>
      </c>
      <c r="F45" s="12">
        <f>E45</f>
        <v>58702</v>
      </c>
      <c r="H45" s="5"/>
      <c r="I45" s="693"/>
      <c r="J45" s="5"/>
      <c r="K45" s="5"/>
      <c r="L45" s="5"/>
      <c r="M45" s="11"/>
      <c r="P45" s="11"/>
    </row>
    <row r="46" spans="2:16" x14ac:dyDescent="0.2">
      <c r="B46" s="430" t="s">
        <v>331</v>
      </c>
      <c r="C46" s="443">
        <f>SUM(C43:C45)</f>
        <v>8842950</v>
      </c>
      <c r="D46" s="432">
        <f>SUM(D43:D45)</f>
        <v>8072455.7375932541</v>
      </c>
      <c r="E46" s="432">
        <f>SUM(E43:E45)</f>
        <v>7288671.2468029736</v>
      </c>
      <c r="F46" s="433">
        <f>SUM(F43:F45)</f>
        <v>6557438.0035879929</v>
      </c>
      <c r="I46" s="11"/>
    </row>
    <row r="47" spans="2:16" x14ac:dyDescent="0.2">
      <c r="B47" s="128"/>
      <c r="C47" s="45"/>
      <c r="D47" s="11"/>
      <c r="E47" s="11"/>
      <c r="F47" s="12"/>
    </row>
    <row r="48" spans="2:16" x14ac:dyDescent="0.2">
      <c r="B48" s="438" t="s">
        <v>332</v>
      </c>
      <c r="C48" s="45">
        <f>CCN!C7</f>
        <v>4608814</v>
      </c>
      <c r="D48" s="151">
        <f>CCN!D7</f>
        <v>4634976.5118776429</v>
      </c>
      <c r="E48" s="11">
        <f>CCN!E7</f>
        <v>4798127.6850957358</v>
      </c>
      <c r="F48" s="12">
        <f>CCN!F7</f>
        <v>4967021.779611106</v>
      </c>
    </row>
    <row r="49" spans="2:13" x14ac:dyDescent="0.2">
      <c r="B49" s="438" t="s">
        <v>333</v>
      </c>
      <c r="C49" s="45">
        <f>incidenze!C47</f>
        <v>4256399</v>
      </c>
      <c r="D49" s="11">
        <f>incidenze!D47</f>
        <v>4446660.0352999996</v>
      </c>
      <c r="E49" s="11">
        <f>incidenze!E47</f>
        <v>4645425.7388779093</v>
      </c>
      <c r="F49" s="12">
        <f>incidenze!F47</f>
        <v>4853076.2694057515</v>
      </c>
    </row>
    <row r="50" spans="2:13" x14ac:dyDescent="0.2">
      <c r="B50" s="438" t="s">
        <v>334</v>
      </c>
      <c r="C50" s="45">
        <f>CCN!C10</f>
        <v>757317</v>
      </c>
      <c r="D50" s="151">
        <f>CCN!D10</f>
        <v>965508.85379844788</v>
      </c>
      <c r="E50" s="11">
        <f>CCN!E10</f>
        <v>1035131.7820578252</v>
      </c>
      <c r="F50" s="12">
        <f>CCN!F10</f>
        <v>1115356.2125165733</v>
      </c>
      <c r="J50" s="794" t="s">
        <v>1555</v>
      </c>
      <c r="K50" s="790"/>
      <c r="L50" s="790"/>
      <c r="M50" s="790"/>
    </row>
    <row r="51" spans="2:13" x14ac:dyDescent="0.2">
      <c r="B51" s="438" t="s">
        <v>335</v>
      </c>
      <c r="C51" s="45">
        <f>FONTI!D5</f>
        <v>242430</v>
      </c>
      <c r="D51" s="11">
        <f>FONTI!E5</f>
        <v>184573.17999999996</v>
      </c>
      <c r="E51" s="11">
        <f>FONTI!F5</f>
        <v>33419.72</v>
      </c>
      <c r="F51" s="12">
        <f>FONTI!G5</f>
        <v>40280.870000000003</v>
      </c>
    </row>
    <row r="52" spans="2:13" s="4" customFormat="1" x14ac:dyDescent="0.2">
      <c r="B52" s="438" t="s">
        <v>336</v>
      </c>
      <c r="C52" s="45">
        <f>incidenze!C58*incidenze!C8</f>
        <v>82949</v>
      </c>
      <c r="D52" s="11">
        <f>incidenze!D58*incidenze!D8</f>
        <v>89691.168165199997</v>
      </c>
      <c r="E52" s="11">
        <f>incidenze!E58*incidenze!E8-7514.3</f>
        <v>86186.063382184424</v>
      </c>
      <c r="F52" s="12">
        <f>incidenze!F58*incidenze!F8</f>
        <v>97888.769625368077</v>
      </c>
      <c r="J52" s="960" t="s">
        <v>1539</v>
      </c>
      <c r="K52" s="960"/>
      <c r="L52" s="960" t="s">
        <v>1540</v>
      </c>
      <c r="M52" s="960"/>
    </row>
    <row r="53" spans="2:13" x14ac:dyDescent="0.2">
      <c r="B53" s="430" t="s">
        <v>337</v>
      </c>
      <c r="C53" s="443">
        <f>SUM(C48:C52)</f>
        <v>9947909</v>
      </c>
      <c r="D53" s="432">
        <f>SUM(D48:D52)</f>
        <v>10321409.749141289</v>
      </c>
      <c r="E53" s="432">
        <f>SUM(E48:E52)</f>
        <v>10598290.989413656</v>
      </c>
      <c r="F53" s="433">
        <f>SUM(F48:F52)</f>
        <v>11073623.901158798</v>
      </c>
      <c r="J53" s="74" t="s">
        <v>980</v>
      </c>
      <c r="K53" s="688">
        <f>SUM(K54:K61)</f>
        <v>10564871.269413656</v>
      </c>
      <c r="L53" s="74" t="s">
        <v>983</v>
      </c>
      <c r="M53" s="688">
        <f>SUM(M54:M62)</f>
        <v>5367447.0635258202</v>
      </c>
    </row>
    <row r="54" spans="2:13" s="4" customFormat="1" x14ac:dyDescent="0.2">
      <c r="B54" s="136"/>
      <c r="C54" s="153"/>
      <c r="D54" s="145"/>
      <c r="E54" s="145"/>
      <c r="F54" s="147"/>
      <c r="J54" s="750" t="s">
        <v>332</v>
      </c>
      <c r="K54" s="12">
        <f>E48</f>
        <v>4798127.6850957358</v>
      </c>
      <c r="L54" s="750" t="s">
        <v>982</v>
      </c>
      <c r="M54" s="12">
        <f>E77</f>
        <v>2455664.6448318763</v>
      </c>
    </row>
    <row r="55" spans="2:13" x14ac:dyDescent="0.2">
      <c r="B55" s="454" t="s">
        <v>338</v>
      </c>
      <c r="C55" s="444">
        <f>C46+C53</f>
        <v>18790859</v>
      </c>
      <c r="D55" s="598">
        <f>D46+D53</f>
        <v>18393865.486734543</v>
      </c>
      <c r="E55" s="598">
        <f>E46+E53</f>
        <v>17886962.236216631</v>
      </c>
      <c r="F55" s="521">
        <f>F46+F53</f>
        <v>17631061.904746793</v>
      </c>
      <c r="J55" s="750" t="s">
        <v>979</v>
      </c>
      <c r="K55" s="12">
        <f>E49</f>
        <v>4645425.7388779093</v>
      </c>
      <c r="L55" s="750" t="s">
        <v>348</v>
      </c>
      <c r="M55" s="12">
        <f>E78</f>
        <v>1539556.19</v>
      </c>
    </row>
    <row r="56" spans="2:13" hidden="1" x14ac:dyDescent="0.2">
      <c r="B56" s="5" t="s">
        <v>1461</v>
      </c>
      <c r="C56" s="11"/>
      <c r="D56" s="11">
        <f>D55-C55</f>
        <v>-396993.513265457</v>
      </c>
      <c r="E56" s="11">
        <f t="shared" ref="E56:F56" si="1">E55-D55</f>
        <v>-506903.25051791221</v>
      </c>
      <c r="F56" s="11">
        <f t="shared" si="1"/>
        <v>-255900.33146983758</v>
      </c>
      <c r="J56" s="150"/>
      <c r="K56" s="135"/>
      <c r="L56" s="150"/>
      <c r="M56" s="135"/>
    </row>
    <row r="57" spans="2:13" hidden="1" x14ac:dyDescent="0.2">
      <c r="B57" s="5" t="s">
        <v>1468</v>
      </c>
      <c r="C57" s="11"/>
      <c r="D57" s="11">
        <f>D46-C46</f>
        <v>-770494.26240674593</v>
      </c>
      <c r="E57" s="11">
        <f t="shared" ref="E57:F57" si="2">E46-D46</f>
        <v>-783784.49079028051</v>
      </c>
      <c r="F57" s="11">
        <f t="shared" si="2"/>
        <v>-731233.2432149807</v>
      </c>
      <c r="J57" s="150"/>
      <c r="K57" s="135"/>
      <c r="L57" s="150"/>
      <c r="M57" s="135"/>
    </row>
    <row r="58" spans="2:13" hidden="1" x14ac:dyDescent="0.2">
      <c r="B58" s="5" t="s">
        <v>1462</v>
      </c>
      <c r="C58" s="11"/>
      <c r="D58" s="11">
        <f>D53-C53</f>
        <v>373500.74914128892</v>
      </c>
      <c r="E58" s="11">
        <f>E53-D53</f>
        <v>276881.24027236737</v>
      </c>
      <c r="F58" s="11">
        <f>F53-E53</f>
        <v>475332.91174514219</v>
      </c>
      <c r="J58" s="150"/>
      <c r="K58" s="135"/>
      <c r="L58" s="150"/>
      <c r="M58" s="135"/>
    </row>
    <row r="59" spans="2:13" hidden="1" x14ac:dyDescent="0.2">
      <c r="B59" s="5" t="s">
        <v>1463</v>
      </c>
      <c r="C59" s="11"/>
      <c r="D59" s="11"/>
      <c r="E59" s="11"/>
      <c r="F59" s="11"/>
      <c r="J59" s="150"/>
      <c r="K59" s="135"/>
      <c r="L59" s="150"/>
      <c r="M59" s="135"/>
    </row>
    <row r="60" spans="2:13" x14ac:dyDescent="0.2">
      <c r="C60" s="11"/>
      <c r="D60" s="11"/>
      <c r="E60" s="11"/>
      <c r="F60" s="11"/>
      <c r="J60" s="750" t="s">
        <v>334</v>
      </c>
      <c r="K60" s="12">
        <f>E50</f>
        <v>1035131.7820578252</v>
      </c>
      <c r="L60" s="750" t="s">
        <v>349</v>
      </c>
      <c r="M60" s="12">
        <f>E79</f>
        <v>1021379.44553605</v>
      </c>
    </row>
    <row r="61" spans="2:13" x14ac:dyDescent="0.2">
      <c r="B61" s="600" t="s">
        <v>1366</v>
      </c>
      <c r="C61" s="601"/>
      <c r="D61" s="494"/>
      <c r="E61" s="494"/>
      <c r="F61" s="495"/>
      <c r="J61" s="750" t="s">
        <v>336</v>
      </c>
      <c r="K61" s="12">
        <f>E52</f>
        <v>86186.063382184424</v>
      </c>
      <c r="L61" s="750" t="s">
        <v>344</v>
      </c>
      <c r="M61" s="12">
        <f>E74</f>
        <v>350846.78315789474</v>
      </c>
    </row>
    <row r="62" spans="2:13" x14ac:dyDescent="0.2">
      <c r="B62" s="599" t="s">
        <v>339</v>
      </c>
      <c r="C62" s="46">
        <v>140000</v>
      </c>
      <c r="D62" s="143">
        <f>C62</f>
        <v>140000</v>
      </c>
      <c r="E62" s="41">
        <f>D62</f>
        <v>140000</v>
      </c>
      <c r="F62" s="40">
        <f>E62</f>
        <v>140000</v>
      </c>
      <c r="J62" s="150"/>
      <c r="K62" s="135"/>
      <c r="L62" s="750" t="s">
        <v>1428</v>
      </c>
      <c r="M62" s="12">
        <v>0</v>
      </c>
    </row>
    <row r="63" spans="2:13" x14ac:dyDescent="0.2">
      <c r="B63" s="438" t="s">
        <v>340</v>
      </c>
      <c r="C63" s="45">
        <f>SUM(C64:C66)</f>
        <v>4717554</v>
      </c>
      <c r="D63" s="151">
        <f>SUM(D64:D66)</f>
        <v>5617286.9958218914</v>
      </c>
      <c r="E63" s="11">
        <f>SUM(E64:E66)</f>
        <v>7141058.8602537215</v>
      </c>
      <c r="F63" s="12">
        <f>SUM(F64:F66)</f>
        <v>8998219.3273611348</v>
      </c>
      <c r="J63" s="150"/>
      <c r="K63" s="135"/>
      <c r="L63" s="149"/>
      <c r="M63" s="135"/>
    </row>
    <row r="64" spans="2:13" x14ac:dyDescent="0.2">
      <c r="B64" s="753" t="s">
        <v>1077</v>
      </c>
      <c r="C64" s="692">
        <v>28000</v>
      </c>
      <c r="D64" s="78">
        <f>C64</f>
        <v>28000</v>
      </c>
      <c r="E64" s="24">
        <f>D64</f>
        <v>28000</v>
      </c>
      <c r="F64" s="44">
        <f>E64</f>
        <v>28000</v>
      </c>
      <c r="J64" s="682" t="s">
        <v>1541</v>
      </c>
      <c r="K64" s="9">
        <f>SUM(K65:K66)</f>
        <v>7229969.2468029736</v>
      </c>
      <c r="L64" s="748" t="s">
        <v>1542</v>
      </c>
      <c r="M64" s="9">
        <f>SUM(M65:M66)</f>
        <v>3381295.85</v>
      </c>
    </row>
    <row r="65" spans="2:13" x14ac:dyDescent="0.2">
      <c r="B65" s="753" t="s">
        <v>1438</v>
      </c>
      <c r="C65" s="692">
        <v>0</v>
      </c>
      <c r="D65" s="78">
        <f>C67</f>
        <v>899732.99582189089</v>
      </c>
      <c r="E65" s="24">
        <f>D67</f>
        <v>1523771.8644318304</v>
      </c>
      <c r="F65" s="44">
        <f>E67</f>
        <v>1857160.4671074129</v>
      </c>
      <c r="J65" s="750" t="s">
        <v>329</v>
      </c>
      <c r="K65" s="12">
        <f>E44</f>
        <v>7208432.2468029736</v>
      </c>
      <c r="L65" s="752" t="s">
        <v>1553</v>
      </c>
      <c r="M65" s="12">
        <f>FONTI!H73</f>
        <v>1349773.2304128343</v>
      </c>
    </row>
    <row r="66" spans="2:13" x14ac:dyDescent="0.2">
      <c r="B66" s="753" t="s">
        <v>1076</v>
      </c>
      <c r="C66" s="692">
        <f>4689554</f>
        <v>4689554</v>
      </c>
      <c r="D66" s="78">
        <f>C63-C64</f>
        <v>4689554</v>
      </c>
      <c r="E66" s="24">
        <f>D63-D64</f>
        <v>5589286.9958218914</v>
      </c>
      <c r="F66" s="44">
        <f>E63-E64</f>
        <v>7113058.8602537215</v>
      </c>
      <c r="J66" s="751" t="s">
        <v>328</v>
      </c>
      <c r="K66" s="12">
        <f>E43</f>
        <v>21537</v>
      </c>
      <c r="L66" s="750" t="s">
        <v>1543</v>
      </c>
      <c r="M66" s="12">
        <f>FONTI!H74</f>
        <v>2031522.6195871658</v>
      </c>
    </row>
    <row r="67" spans="2:13" x14ac:dyDescent="0.2">
      <c r="B67" s="667" t="s">
        <v>341</v>
      </c>
      <c r="C67" s="153">
        <f>C34</f>
        <v>899732.99582189089</v>
      </c>
      <c r="D67" s="146">
        <f>D34</f>
        <v>1523771.8644318304</v>
      </c>
      <c r="E67" s="145">
        <f>E34</f>
        <v>1857160.4671074129</v>
      </c>
      <c r="F67" s="147">
        <f>F34</f>
        <v>2216389.071663016</v>
      </c>
      <c r="J67" s="682"/>
      <c r="K67" s="135"/>
      <c r="L67" s="150"/>
      <c r="M67" s="135"/>
    </row>
    <row r="68" spans="2:13" x14ac:dyDescent="0.2">
      <c r="B68" s="454" t="s">
        <v>342</v>
      </c>
      <c r="C68" s="444">
        <f>C67+SUM(C62:C63)</f>
        <v>5757286.9958218914</v>
      </c>
      <c r="D68" s="598">
        <f>D67+SUM(D62:D63)</f>
        <v>7281058.8602537215</v>
      </c>
      <c r="E68" s="598">
        <f>E67+SUM(E62:E63)</f>
        <v>9138219.3273611348</v>
      </c>
      <c r="F68" s="521">
        <f>F67+SUM(F62:F63)</f>
        <v>11354608.399024151</v>
      </c>
      <c r="J68" s="150"/>
      <c r="K68" s="135"/>
      <c r="L68" s="150"/>
      <c r="M68" s="135"/>
    </row>
    <row r="69" spans="2:13" hidden="1" x14ac:dyDescent="0.2">
      <c r="B69" s="5" t="s">
        <v>1466</v>
      </c>
      <c r="C69" s="8"/>
      <c r="D69" s="8">
        <f>D68-C68</f>
        <v>1523771.8644318301</v>
      </c>
      <c r="E69" s="8">
        <f t="shared" ref="E69:F69" si="3">E68-D68</f>
        <v>1857160.4671074133</v>
      </c>
      <c r="F69" s="8">
        <f t="shared" si="3"/>
        <v>2216389.0716630165</v>
      </c>
      <c r="J69" s="150"/>
      <c r="K69" s="135"/>
      <c r="L69" s="150"/>
      <c r="M69" s="135"/>
    </row>
    <row r="70" spans="2:13" hidden="1" x14ac:dyDescent="0.2">
      <c r="B70" s="4" t="s">
        <v>1467</v>
      </c>
      <c r="C70" s="8"/>
      <c r="D70" s="8"/>
      <c r="E70" s="8"/>
      <c r="F70" s="8"/>
      <c r="J70" s="150"/>
      <c r="K70" s="135"/>
      <c r="L70" s="150"/>
      <c r="M70" s="135"/>
    </row>
    <row r="71" spans="2:13" x14ac:dyDescent="0.2">
      <c r="B71" s="4"/>
      <c r="C71" s="8"/>
      <c r="D71" s="8"/>
      <c r="E71" s="8"/>
      <c r="F71" s="8"/>
      <c r="J71" s="682" t="s">
        <v>1545</v>
      </c>
      <c r="K71" s="9">
        <f>SUM(K72:K73)</f>
        <v>92121.72</v>
      </c>
      <c r="L71" s="682" t="s">
        <v>1544</v>
      </c>
      <c r="M71" s="9">
        <f>SUM(M72:M74)</f>
        <v>9138219.3273611348</v>
      </c>
    </row>
    <row r="72" spans="2:13" x14ac:dyDescent="0.2">
      <c r="B72" s="600" t="s">
        <v>1370</v>
      </c>
      <c r="C72" s="601"/>
      <c r="D72" s="494"/>
      <c r="E72" s="494"/>
      <c r="F72" s="495"/>
      <c r="J72" s="750" t="s">
        <v>1549</v>
      </c>
      <c r="K72" s="12">
        <f>E51</f>
        <v>33419.72</v>
      </c>
      <c r="L72" s="750" t="s">
        <v>1546</v>
      </c>
      <c r="M72" s="12">
        <f>E62</f>
        <v>140000</v>
      </c>
    </row>
    <row r="73" spans="2:13" x14ac:dyDescent="0.2">
      <c r="B73" s="599" t="s">
        <v>343</v>
      </c>
      <c r="C73" s="46">
        <f>0-CCN!C18</f>
        <v>0</v>
      </c>
      <c r="D73" s="143">
        <f>0-CCN!D18</f>
        <v>0</v>
      </c>
      <c r="E73" s="41">
        <f>0-CCN!E18</f>
        <v>0</v>
      </c>
      <c r="F73" s="40">
        <f>0-CCN!F18</f>
        <v>0</v>
      </c>
      <c r="J73" s="750" t="s">
        <v>1550</v>
      </c>
      <c r="K73" s="12">
        <f>E45</f>
        <v>58702</v>
      </c>
      <c r="L73" s="752" t="s">
        <v>1547</v>
      </c>
      <c r="M73" s="12">
        <f>E63</f>
        <v>7141058.8602537215</v>
      </c>
    </row>
    <row r="74" spans="2:13" x14ac:dyDescent="0.2">
      <c r="B74" s="438" t="s">
        <v>344</v>
      </c>
      <c r="C74" s="45">
        <f>191675</f>
        <v>191675</v>
      </c>
      <c r="D74" s="151">
        <f>C74+HR!P8</f>
        <v>270267.03578947368</v>
      </c>
      <c r="E74" s="11">
        <f>D74+HR!Q8</f>
        <v>350846.78315789474</v>
      </c>
      <c r="F74" s="12">
        <f>E74+HR!R8</f>
        <v>434909.66315789474</v>
      </c>
      <c r="J74" s="150"/>
      <c r="K74" s="135"/>
      <c r="L74" s="750" t="s">
        <v>1548</v>
      </c>
      <c r="M74" s="12">
        <f>E67</f>
        <v>1857160.4671074129</v>
      </c>
    </row>
    <row r="75" spans="2:13" x14ac:dyDescent="0.2">
      <c r="B75" s="438" t="s">
        <v>345</v>
      </c>
      <c r="C75" s="45">
        <f>FONTI!F74</f>
        <v>5110204</v>
      </c>
      <c r="D75" s="151">
        <f>M37</f>
        <v>3638932.4416988539</v>
      </c>
      <c r="E75" s="11">
        <f>M66</f>
        <v>2031522.6195871658</v>
      </c>
      <c r="F75" s="12">
        <f>M95</f>
        <v>344583.8313866395</v>
      </c>
      <c r="J75" s="136"/>
      <c r="K75" s="137"/>
      <c r="L75" s="136"/>
      <c r="M75" s="137"/>
    </row>
    <row r="76" spans="2:13" x14ac:dyDescent="0.2">
      <c r="B76" s="438" t="s">
        <v>346</v>
      </c>
      <c r="C76" s="45">
        <f>FONTI!F73</f>
        <v>3395294</v>
      </c>
      <c r="D76" s="151">
        <f>M36</f>
        <v>2417759.7383011458</v>
      </c>
      <c r="E76" s="11">
        <f>M65</f>
        <v>1349773.2304128343</v>
      </c>
      <c r="F76" s="12">
        <f>M94</f>
        <v>228946.51861336044</v>
      </c>
      <c r="J76" s="48" t="s">
        <v>1551</v>
      </c>
      <c r="K76" s="51">
        <f>K53+K64+K71</f>
        <v>17886962.236216627</v>
      </c>
      <c r="L76" s="749" t="s">
        <v>1552</v>
      </c>
      <c r="M76" s="51">
        <f>M53+M64+M71</f>
        <v>17886962.240886956</v>
      </c>
    </row>
    <row r="77" spans="2:13" x14ac:dyDescent="0.2">
      <c r="B77" s="438" t="s">
        <v>347</v>
      </c>
      <c r="C77" s="45">
        <f>incidenze!C61*-BP!C8</f>
        <v>2274193</v>
      </c>
      <c r="D77" s="151">
        <f>incidenze!D62</f>
        <v>2372164.4559813333</v>
      </c>
      <c r="E77" s="11">
        <f>incidenze!E62</f>
        <v>2455664.6448318763</v>
      </c>
      <c r="F77" s="12">
        <f>incidenze!F62</f>
        <v>2542104.0403299588</v>
      </c>
      <c r="M77" s="11"/>
    </row>
    <row r="78" spans="2:13" x14ac:dyDescent="0.2">
      <c r="B78" s="438" t="s">
        <v>348</v>
      </c>
      <c r="C78" s="45">
        <f>CCN!C16</f>
        <v>1126361</v>
      </c>
      <c r="D78" s="151">
        <f>CCN!D16</f>
        <v>1436005.68</v>
      </c>
      <c r="E78" s="11">
        <f>CCN!E16</f>
        <v>1539556.19</v>
      </c>
      <c r="F78" s="12">
        <f>CCN!F16</f>
        <v>1658874.35</v>
      </c>
      <c r="M78" s="11"/>
    </row>
    <row r="79" spans="2:13" s="4" customFormat="1" x14ac:dyDescent="0.2">
      <c r="B79" s="438" t="s">
        <v>349</v>
      </c>
      <c r="C79" s="45">
        <f>incidenze!C67*incidenze!C8</f>
        <v>935845</v>
      </c>
      <c r="D79" s="151">
        <f>incidenze!D67*incidenze!D8</f>
        <v>977677.27150000003</v>
      </c>
      <c r="E79" s="11">
        <f>incidenze!E67*incidenze!E8</f>
        <v>1021379.44553605</v>
      </c>
      <c r="F79" s="12">
        <f>incidenze!F67*incidenze!F8</f>
        <v>1067035.1067515113</v>
      </c>
      <c r="J79" s="5"/>
      <c r="K79" s="5"/>
      <c r="L79" s="5"/>
      <c r="M79" s="11"/>
    </row>
    <row r="80" spans="2:13" x14ac:dyDescent="0.2">
      <c r="B80" s="430" t="s">
        <v>350</v>
      </c>
      <c r="C80" s="443">
        <f>SUM(C73:C79)</f>
        <v>13033572</v>
      </c>
      <c r="D80" s="573">
        <f>SUM(D73:D79)</f>
        <v>11112806.623270808</v>
      </c>
      <c r="E80" s="432">
        <f>SUM(E73:E79)</f>
        <v>8748742.9135258198</v>
      </c>
      <c r="F80" s="433">
        <f>SUM(F73:F79)</f>
        <v>6276453.5102393646</v>
      </c>
      <c r="J80" s="789" t="s">
        <v>1556</v>
      </c>
      <c r="K80" s="790"/>
      <c r="L80" s="790"/>
      <c r="M80" s="761"/>
    </row>
    <row r="81" spans="2:13" s="4" customFormat="1" x14ac:dyDescent="0.2">
      <c r="B81" s="136"/>
      <c r="C81" s="153"/>
      <c r="D81" s="146"/>
      <c r="E81" s="145"/>
      <c r="F81" s="147"/>
      <c r="K81" s="5"/>
      <c r="L81" s="5"/>
      <c r="M81" s="11"/>
    </row>
    <row r="82" spans="2:13" ht="16" customHeight="1" x14ac:dyDescent="0.2">
      <c r="B82" s="454" t="s">
        <v>351</v>
      </c>
      <c r="C82" s="444">
        <f>C80+C68</f>
        <v>18790858.995821893</v>
      </c>
      <c r="D82" s="598">
        <f>D80+D68</f>
        <v>18393865.483524531</v>
      </c>
      <c r="E82" s="598">
        <f>E80+E68</f>
        <v>17886962.240886956</v>
      </c>
      <c r="F82" s="521">
        <f>F80+F68</f>
        <v>17631061.909263514</v>
      </c>
      <c r="J82" s="57"/>
    </row>
    <row r="83" spans="2:13" ht="16" hidden="1" customHeight="1" x14ac:dyDescent="0.2">
      <c r="B83" s="5" t="s">
        <v>1464</v>
      </c>
      <c r="C83" s="11"/>
      <c r="D83" s="11">
        <f>D82-C82</f>
        <v>-396993.51229736209</v>
      </c>
      <c r="E83" s="11">
        <f t="shared" ref="E83:F83" si="4">E82-D82</f>
        <v>-506903.24263757467</v>
      </c>
      <c r="F83" s="11">
        <f t="shared" si="4"/>
        <v>-255900.33162344247</v>
      </c>
      <c r="J83" s="57"/>
    </row>
    <row r="84" spans="2:13" hidden="1" x14ac:dyDescent="0.2">
      <c r="B84" s="5" t="s">
        <v>1465</v>
      </c>
      <c r="C84" s="11"/>
      <c r="D84" s="11">
        <f>D78+D76+D75-(C75+C76+C78)</f>
        <v>-2139161.1400000006</v>
      </c>
      <c r="E84" s="11">
        <f t="shared" ref="E84:F84" si="5">E78+E76+E75-(D75+D76+D78)</f>
        <v>-2571845.8199999994</v>
      </c>
      <c r="F84" s="11">
        <f t="shared" si="5"/>
        <v>-2688447.34</v>
      </c>
    </row>
    <row r="85" spans="2:13" x14ac:dyDescent="0.2">
      <c r="C85" s="11"/>
      <c r="D85" s="11"/>
      <c r="E85" s="11"/>
      <c r="F85" s="11"/>
      <c r="J85" s="960" t="s">
        <v>1539</v>
      </c>
      <c r="K85" s="960"/>
      <c r="L85" s="960" t="s">
        <v>1540</v>
      </c>
      <c r="M85" s="960"/>
    </row>
    <row r="86" spans="2:13" x14ac:dyDescent="0.2">
      <c r="B86" s="26" t="s">
        <v>370</v>
      </c>
      <c r="C86" s="651">
        <f>C55-C82</f>
        <v>4.1781067848205566E-3</v>
      </c>
      <c r="D86" s="651">
        <f>D55-D82</f>
        <v>3.2100118696689606E-3</v>
      </c>
      <c r="E86" s="651">
        <f>E55-E82</f>
        <v>-4.6703256666660309E-3</v>
      </c>
      <c r="F86" s="651">
        <f>F55-F82</f>
        <v>-4.5167207717895508E-3</v>
      </c>
      <c r="J86" s="74" t="s">
        <v>980</v>
      </c>
      <c r="K86" s="688">
        <f>SUM(K87:K90)</f>
        <v>11033343.031158799</v>
      </c>
      <c r="L86" s="74" t="s">
        <v>983</v>
      </c>
      <c r="M86" s="688">
        <f>SUM(M87:M91)</f>
        <v>5702923.160239365</v>
      </c>
    </row>
    <row r="87" spans="2:13" x14ac:dyDescent="0.2">
      <c r="B87" s="26" t="s">
        <v>352</v>
      </c>
      <c r="C87" s="651"/>
      <c r="D87" s="651">
        <f>((D51+D48)-(D80-C79-C77))-((C51+C48)-(C80-D79-D77))</f>
        <v>1749267.3411255013</v>
      </c>
      <c r="E87" s="651">
        <f t="shared" ref="E87:F87" si="6">((E51+E48)-(E80-D79-D77))-((D51+D48)-(D80-E79-E77))</f>
        <v>2248859.0600764891</v>
      </c>
      <c r="F87" s="651">
        <f t="shared" si="6"/>
        <v>2515949.5910882819</v>
      </c>
      <c r="J87" s="750" t="s">
        <v>332</v>
      </c>
      <c r="K87" s="12">
        <f>F48</f>
        <v>4967021.779611106</v>
      </c>
      <c r="L87" s="750" t="s">
        <v>982</v>
      </c>
      <c r="M87" s="12">
        <f>F77</f>
        <v>2542104.0403299588</v>
      </c>
    </row>
    <row r="88" spans="2:13" x14ac:dyDescent="0.2">
      <c r="B88" s="26"/>
      <c r="C88" s="651"/>
      <c r="D88" s="651"/>
      <c r="E88" s="651"/>
      <c r="F88" s="651"/>
      <c r="J88" s="750" t="s">
        <v>979</v>
      </c>
      <c r="K88" s="12">
        <f>F49</f>
        <v>4853076.2694057515</v>
      </c>
      <c r="L88" s="750" t="s">
        <v>348</v>
      </c>
      <c r="M88" s="12">
        <f>F78</f>
        <v>1658874.35</v>
      </c>
    </row>
    <row r="89" spans="2:13" x14ac:dyDescent="0.2">
      <c r="B89" s="26"/>
      <c r="C89" s="651"/>
      <c r="D89" s="651"/>
      <c r="E89" s="651"/>
      <c r="F89" s="651"/>
      <c r="J89" s="750" t="s">
        <v>334</v>
      </c>
      <c r="K89" s="12">
        <f>F50</f>
        <v>1115356.2125165733</v>
      </c>
      <c r="L89" s="750" t="s">
        <v>349</v>
      </c>
      <c r="M89" s="12">
        <f>F79</f>
        <v>1067035.1067515113</v>
      </c>
    </row>
    <row r="90" spans="2:13" x14ac:dyDescent="0.2">
      <c r="D90" s="691"/>
      <c r="E90" s="691"/>
      <c r="F90" s="691"/>
      <c r="J90" s="750" t="s">
        <v>336</v>
      </c>
      <c r="K90" s="12">
        <f>F52</f>
        <v>97888.769625368077</v>
      </c>
      <c r="L90" s="750" t="s">
        <v>344</v>
      </c>
      <c r="M90" s="12">
        <f>F74</f>
        <v>434909.66315789474</v>
      </c>
    </row>
    <row r="91" spans="2:13" x14ac:dyDescent="0.2">
      <c r="B91" s="794" t="s">
        <v>1377</v>
      </c>
      <c r="C91" s="790"/>
      <c r="D91" s="790"/>
      <c r="E91" s="790"/>
      <c r="F91" s="790"/>
      <c r="J91" s="150"/>
      <c r="K91" s="135"/>
      <c r="L91" s="750" t="s">
        <v>1428</v>
      </c>
      <c r="M91" s="12">
        <v>0</v>
      </c>
    </row>
    <row r="92" spans="2:13" x14ac:dyDescent="0.2">
      <c r="J92" s="150"/>
      <c r="K92" s="135"/>
      <c r="L92" s="149"/>
      <c r="M92" s="135"/>
    </row>
    <row r="93" spans="2:13" ht="19" x14ac:dyDescent="0.2">
      <c r="B93" s="422" t="s">
        <v>353</v>
      </c>
      <c r="C93" s="424"/>
      <c r="D93" s="441">
        <v>2025</v>
      </c>
      <c r="E93" s="805">
        <v>2026</v>
      </c>
      <c r="F93" s="805">
        <v>2027</v>
      </c>
      <c r="J93" s="682" t="s">
        <v>1541</v>
      </c>
      <c r="K93" s="9">
        <f>SUM(K94:K95)</f>
        <v>6498736.0035879929</v>
      </c>
      <c r="L93" s="748" t="s">
        <v>1542</v>
      </c>
      <c r="M93" s="9">
        <f>SUM(M94:M95)</f>
        <v>573530.35</v>
      </c>
    </row>
    <row r="94" spans="2:13" x14ac:dyDescent="0.2">
      <c r="B94" s="150" t="str">
        <f>B67</f>
        <v>Utile dell'esercizio</v>
      </c>
      <c r="C94" s="12"/>
      <c r="D94" s="783">
        <f>D67</f>
        <v>1523771.8644318304</v>
      </c>
      <c r="E94" s="806">
        <f>E67</f>
        <v>1857160.4671074129</v>
      </c>
      <c r="F94" s="806">
        <f t="shared" ref="F94" si="7">F67</f>
        <v>2216389.071663016</v>
      </c>
      <c r="J94" s="750" t="s">
        <v>329</v>
      </c>
      <c r="K94" s="12">
        <f>F44</f>
        <v>6480385.0035879929</v>
      </c>
      <c r="L94" s="752" t="s">
        <v>1553</v>
      </c>
      <c r="M94" s="12">
        <f>FONTI!I73</f>
        <v>228946.51861336044</v>
      </c>
    </row>
    <row r="95" spans="2:13" x14ac:dyDescent="0.2">
      <c r="B95" s="150" t="s">
        <v>354</v>
      </c>
      <c r="C95" s="12"/>
      <c r="D95" s="235">
        <f>-(D18+D19)</f>
        <v>799296.26240674721</v>
      </c>
      <c r="E95" s="806">
        <f>-(E18+E19)</f>
        <v>749688.49079027993</v>
      </c>
      <c r="F95" s="806">
        <f>-(F18+F19)</f>
        <v>730241.2432149807</v>
      </c>
      <c r="J95" s="751" t="s">
        <v>328</v>
      </c>
      <c r="K95" s="12">
        <f>F43</f>
        <v>18351</v>
      </c>
      <c r="L95" s="750" t="s">
        <v>1543</v>
      </c>
      <c r="M95" s="12">
        <f>FONTI!I74</f>
        <v>344583.8313866395</v>
      </c>
    </row>
    <row r="96" spans="2:13" x14ac:dyDescent="0.2">
      <c r="B96" s="150" t="s">
        <v>355</v>
      </c>
      <c r="C96" s="12"/>
      <c r="D96" s="235">
        <f>D14</f>
        <v>78592.035789473681</v>
      </c>
      <c r="E96" s="806">
        <f>E14</f>
        <v>80579.747368421042</v>
      </c>
      <c r="F96" s="806">
        <f>F14</f>
        <v>84062.88</v>
      </c>
      <c r="J96" s="682"/>
      <c r="K96" s="135"/>
      <c r="L96" s="150"/>
      <c r="M96" s="135"/>
    </row>
    <row r="97" spans="2:15" x14ac:dyDescent="0.2">
      <c r="B97" s="150" t="s">
        <v>356</v>
      </c>
      <c r="C97" s="12"/>
      <c r="D97" s="235">
        <v>0</v>
      </c>
      <c r="E97" s="806">
        <f>E20</f>
        <v>0</v>
      </c>
      <c r="F97" s="806">
        <f>F20</f>
        <v>0</v>
      </c>
      <c r="J97" s="682" t="s">
        <v>1545</v>
      </c>
      <c r="K97" s="9">
        <f>SUM(K98:K99)</f>
        <v>98982.87</v>
      </c>
      <c r="L97" s="682" t="s">
        <v>1544</v>
      </c>
      <c r="M97" s="9">
        <f>SUM(M98:M100)</f>
        <v>11354608.399024151</v>
      </c>
    </row>
    <row r="98" spans="2:15" s="4" customFormat="1" x14ac:dyDescent="0.2">
      <c r="B98" s="150" t="s">
        <v>322</v>
      </c>
      <c r="C98" s="12"/>
      <c r="D98" s="235">
        <f>D28</f>
        <v>0</v>
      </c>
      <c r="E98" s="806">
        <f>E28</f>
        <v>0</v>
      </c>
      <c r="F98" s="806">
        <f>F28</f>
        <v>0</v>
      </c>
      <c r="J98" s="750" t="s">
        <v>1549</v>
      </c>
      <c r="K98" s="12">
        <f>F51</f>
        <v>40280.870000000003</v>
      </c>
      <c r="L98" s="750" t="s">
        <v>1546</v>
      </c>
      <c r="M98" s="12">
        <f>F62</f>
        <v>140000</v>
      </c>
    </row>
    <row r="99" spans="2:15" x14ac:dyDescent="0.2">
      <c r="B99" s="787" t="s">
        <v>357</v>
      </c>
      <c r="C99" s="559"/>
      <c r="D99" s="784">
        <f>SUM(D94:D98)</f>
        <v>2401660.1626280509</v>
      </c>
      <c r="E99" s="807">
        <f t="shared" ref="E99:F99" si="8">SUM(E94:E98)</f>
        <v>2687428.7052661139</v>
      </c>
      <c r="F99" s="807">
        <f t="shared" si="8"/>
        <v>3030693.1948779966</v>
      </c>
      <c r="J99" s="750" t="s">
        <v>1550</v>
      </c>
      <c r="K99" s="12">
        <f>F45</f>
        <v>58702</v>
      </c>
      <c r="L99" s="752" t="s">
        <v>1547</v>
      </c>
      <c r="M99" s="12">
        <f>F63</f>
        <v>8998219.3273611348</v>
      </c>
    </row>
    <row r="100" spans="2:15" x14ac:dyDescent="0.2">
      <c r="B100" s="788" t="s">
        <v>358</v>
      </c>
      <c r="C100" s="12"/>
      <c r="D100" s="235">
        <f>CCN!D24</f>
        <v>-18090.838340044022</v>
      </c>
      <c r="E100" s="806">
        <f>CCN!E24</f>
        <v>204796.12738577463</v>
      </c>
      <c r="F100" s="806">
        <f>CCN!F24</f>
        <v>209544.24503159896</v>
      </c>
      <c r="J100" s="150"/>
      <c r="K100" s="135"/>
      <c r="L100" s="750" t="s">
        <v>1548</v>
      </c>
      <c r="M100" s="12">
        <f>F67</f>
        <v>2216389.071663016</v>
      </c>
    </row>
    <row r="101" spans="2:15" s="4" customFormat="1" x14ac:dyDescent="0.2">
      <c r="B101" s="150" t="s">
        <v>359</v>
      </c>
      <c r="C101" s="12"/>
      <c r="D101" s="235">
        <v>0</v>
      </c>
      <c r="E101" s="806">
        <v>0</v>
      </c>
      <c r="F101" s="806">
        <v>0</v>
      </c>
      <c r="J101" s="150"/>
      <c r="K101" s="135"/>
      <c r="L101" s="150"/>
      <c r="M101" s="135"/>
    </row>
    <row r="102" spans="2:15" x14ac:dyDescent="0.2">
      <c r="B102" s="787" t="s">
        <v>360</v>
      </c>
      <c r="C102" s="559"/>
      <c r="D102" s="784">
        <f>D99+SUM(D100:D101)</f>
        <v>2383569.3242880069</v>
      </c>
      <c r="E102" s="807">
        <f t="shared" ref="E102:F102" si="9">E99+SUM(E100:E101)</f>
        <v>2892224.8326518885</v>
      </c>
      <c r="F102" s="807">
        <f t="shared" si="9"/>
        <v>3240237.4399095955</v>
      </c>
      <c r="J102" s="48" t="s">
        <v>1551</v>
      </c>
      <c r="K102" s="51">
        <f>K86+K93+K97</f>
        <v>17631061.904746793</v>
      </c>
      <c r="L102" s="749" t="s">
        <v>1552</v>
      </c>
      <c r="M102" s="51">
        <f>M86+M93+M97</f>
        <v>17631061.909263514</v>
      </c>
      <c r="O102" s="11"/>
    </row>
    <row r="103" spans="2:15" x14ac:dyDescent="0.2">
      <c r="B103" s="150" t="s">
        <v>361</v>
      </c>
      <c r="C103" s="12"/>
      <c r="D103" s="235">
        <v>0</v>
      </c>
      <c r="E103" s="806">
        <v>0</v>
      </c>
      <c r="F103" s="806">
        <v>0</v>
      </c>
      <c r="M103" s="11"/>
    </row>
    <row r="104" spans="2:15" x14ac:dyDescent="0.2">
      <c r="B104" s="150" t="s">
        <v>362</v>
      </c>
      <c r="C104" s="12"/>
      <c r="D104" s="235">
        <v>18912.705000000002</v>
      </c>
      <c r="E104" s="806">
        <v>0</v>
      </c>
      <c r="F104" s="806">
        <v>0</v>
      </c>
    </row>
    <row r="105" spans="2:15" s="4" customFormat="1" x14ac:dyDescent="0.2">
      <c r="B105" s="150" t="s">
        <v>363</v>
      </c>
      <c r="C105" s="12"/>
      <c r="D105" s="235">
        <v>0</v>
      </c>
      <c r="E105" s="806">
        <v>0</v>
      </c>
      <c r="F105" s="806">
        <v>0</v>
      </c>
      <c r="K105" s="5"/>
      <c r="L105" s="5"/>
      <c r="M105" s="5"/>
    </row>
    <row r="106" spans="2:15" x14ac:dyDescent="0.2">
      <c r="B106" s="787" t="s">
        <v>364</v>
      </c>
      <c r="C106" s="559"/>
      <c r="D106" s="784">
        <f>D102-SUM(D103:D105)</f>
        <v>2364656.6192880068</v>
      </c>
      <c r="E106" s="807">
        <f t="shared" ref="E106:F106" si="10">E102-SUM(E103:E105)</f>
        <v>2892224.8326518885</v>
      </c>
      <c r="F106" s="807">
        <f t="shared" si="10"/>
        <v>3240237.4399095955</v>
      </c>
      <c r="K106" s="4"/>
      <c r="L106" s="4"/>
      <c r="M106" s="4"/>
    </row>
    <row r="107" spans="2:15" x14ac:dyDescent="0.2">
      <c r="B107" s="150" t="s">
        <v>366</v>
      </c>
      <c r="C107" s="12"/>
      <c r="D107" s="235">
        <f>D75-C75+D76-C76+D78-C78</f>
        <v>-2139161.1400000006</v>
      </c>
      <c r="E107" s="806">
        <f t="shared" ref="E107:F107" si="11">E75-D75+E76-D76</f>
        <v>-2675396.3299999996</v>
      </c>
      <c r="F107" s="806">
        <f t="shared" si="11"/>
        <v>-2807765.5</v>
      </c>
      <c r="J107" s="4"/>
    </row>
    <row r="108" spans="2:15" x14ac:dyDescent="0.2">
      <c r="B108" s="150" t="s">
        <v>365</v>
      </c>
      <c r="C108" s="12"/>
      <c r="D108" s="235">
        <f>D68-C68</f>
        <v>1523771.8644318301</v>
      </c>
      <c r="E108" s="806">
        <f>E68-D68</f>
        <v>1857160.4671074133</v>
      </c>
      <c r="F108" s="806">
        <f>F68-E68</f>
        <v>2216389.0716630165</v>
      </c>
      <c r="K108" s="4"/>
      <c r="L108" s="4"/>
      <c r="M108" s="4"/>
    </row>
    <row r="109" spans="2:15" s="4" customFormat="1" x14ac:dyDescent="0.2">
      <c r="B109" s="150" t="s">
        <v>367</v>
      </c>
      <c r="C109" s="12"/>
      <c r="D109" s="235">
        <v>0</v>
      </c>
      <c r="E109" s="806">
        <v>0</v>
      </c>
      <c r="F109" s="806">
        <v>0</v>
      </c>
      <c r="J109" s="5"/>
      <c r="K109" s="5"/>
      <c r="L109" s="5"/>
      <c r="M109" s="5"/>
    </row>
    <row r="110" spans="2:15" x14ac:dyDescent="0.2">
      <c r="B110" s="602" t="s">
        <v>368</v>
      </c>
      <c r="C110" s="786"/>
      <c r="D110" s="785">
        <f>D106+SUM(D107:D109)</f>
        <v>1749267.3437198363</v>
      </c>
      <c r="E110" s="807">
        <f t="shared" ref="E110" si="12">E106+SUM(E107:E109)</f>
        <v>2073988.9697593022</v>
      </c>
      <c r="F110" s="807">
        <f>F106+SUM(F107:F109)</f>
        <v>2648861.011572612</v>
      </c>
      <c r="J110" s="4"/>
    </row>
    <row r="111" spans="2:15" x14ac:dyDescent="0.2">
      <c r="C111" s="11"/>
      <c r="D111" s="11"/>
      <c r="E111" s="808"/>
      <c r="F111" s="808"/>
      <c r="K111" s="4"/>
      <c r="L111" s="4"/>
      <c r="M111" s="4"/>
    </row>
    <row r="112" spans="2:15" hidden="1" x14ac:dyDescent="0.2">
      <c r="B112" s="26" t="s">
        <v>369</v>
      </c>
      <c r="C112" s="11"/>
      <c r="D112" s="11">
        <f>D110-D87</f>
        <v>2.5943350046873093E-3</v>
      </c>
      <c r="E112" s="808">
        <f t="shared" ref="E112" si="13">E110-E87</f>
        <v>-174870.0903171869</v>
      </c>
      <c r="F112" s="808">
        <f>F110-F87</f>
        <v>132911.42048433004</v>
      </c>
    </row>
    <row r="114" spans="1:13" hidden="1" x14ac:dyDescent="0.2"/>
    <row r="115" spans="1:13" ht="19" hidden="1" x14ac:dyDescent="0.2">
      <c r="A115" s="142"/>
      <c r="B115" s="422" t="s">
        <v>353</v>
      </c>
      <c r="C115" s="423"/>
      <c r="D115" s="441">
        <v>2025</v>
      </c>
      <c r="E115"/>
      <c r="F115"/>
    </row>
    <row r="116" spans="1:13" hidden="1" x14ac:dyDescent="0.2">
      <c r="A116" s="142"/>
      <c r="B116" s="829" t="s">
        <v>1639</v>
      </c>
      <c r="C116" s="830"/>
      <c r="D116" s="835">
        <f>D22</f>
        <v>2102439.8915733946</v>
      </c>
      <c r="E116"/>
      <c r="F116"/>
    </row>
    <row r="117" spans="1:13" hidden="1" x14ac:dyDescent="0.2">
      <c r="A117" s="142"/>
      <c r="B117" s="197" t="s">
        <v>354</v>
      </c>
      <c r="C117"/>
      <c r="D117" s="198">
        <f>-1*(D18+D19)</f>
        <v>799296.26240674721</v>
      </c>
      <c r="E117"/>
      <c r="F117"/>
    </row>
    <row r="118" spans="1:13" s="4" customFormat="1" hidden="1" x14ac:dyDescent="0.2">
      <c r="A118" s="780"/>
      <c r="B118" s="831" t="s">
        <v>313</v>
      </c>
      <c r="C118" s="832"/>
      <c r="D118" s="838">
        <f>SUM(D116:D117)</f>
        <v>2901736.153980142</v>
      </c>
      <c r="E118"/>
      <c r="F118"/>
      <c r="J118" s="5"/>
      <c r="K118" s="5"/>
      <c r="L118" s="5"/>
      <c r="M118" s="5"/>
    </row>
    <row r="119" spans="1:13" hidden="1" x14ac:dyDescent="0.2">
      <c r="A119" s="142"/>
      <c r="B119" s="197" t="s">
        <v>1640</v>
      </c>
      <c r="C119"/>
      <c r="D119" s="198">
        <f>-E38</f>
        <v>583308.43890774285</v>
      </c>
      <c r="E119"/>
      <c r="F119"/>
    </row>
    <row r="120" spans="1:13" s="4" customFormat="1" hidden="1" x14ac:dyDescent="0.2">
      <c r="A120" s="781"/>
      <c r="B120" s="831" t="s">
        <v>1641</v>
      </c>
      <c r="C120" s="832"/>
      <c r="D120" s="838">
        <f>D118-D119</f>
        <v>2318427.715072399</v>
      </c>
      <c r="E120"/>
      <c r="F120"/>
      <c r="J120" s="5"/>
      <c r="K120" s="5"/>
      <c r="L120" s="5"/>
      <c r="M120" s="5"/>
    </row>
    <row r="121" spans="1:13" hidden="1" x14ac:dyDescent="0.2">
      <c r="A121" s="782"/>
      <c r="B121" s="197" t="s">
        <v>1642</v>
      </c>
      <c r="C121"/>
      <c r="D121" s="198">
        <f>-CCN!D13</f>
        <v>-431357.56914128922</v>
      </c>
      <c r="E121"/>
      <c r="F121"/>
    </row>
    <row r="122" spans="1:13" hidden="1" x14ac:dyDescent="0.2">
      <c r="A122" s="142"/>
      <c r="B122" s="197" t="s">
        <v>1643</v>
      </c>
      <c r="C122"/>
      <c r="D122" s="198">
        <f>CCN!D21</f>
        <v>449448.40748133324</v>
      </c>
      <c r="E122"/>
      <c r="F122"/>
    </row>
    <row r="123" spans="1:13" s="4" customFormat="1" hidden="1" x14ac:dyDescent="0.2">
      <c r="A123" s="780"/>
      <c r="B123" s="831" t="s">
        <v>1644</v>
      </c>
      <c r="C123" s="832"/>
      <c r="D123" s="838">
        <f>D120+D121+D122</f>
        <v>2336518.553412443</v>
      </c>
      <c r="E123"/>
      <c r="F123"/>
      <c r="J123" s="5"/>
      <c r="K123" s="5"/>
      <c r="L123" s="5"/>
      <c r="M123" s="5"/>
    </row>
    <row r="124" spans="1:13" hidden="1" x14ac:dyDescent="0.2">
      <c r="A124" s="142"/>
      <c r="B124" s="197" t="s">
        <v>1645</v>
      </c>
      <c r="C124"/>
      <c r="D124" s="198">
        <v>0</v>
      </c>
      <c r="E124"/>
      <c r="F124"/>
    </row>
    <row r="125" spans="1:13" hidden="1" x14ac:dyDescent="0.2">
      <c r="A125" s="142"/>
      <c r="B125" s="197" t="s">
        <v>1646</v>
      </c>
      <c r="C125"/>
      <c r="D125" s="198">
        <f>-1*(D46-C46)</f>
        <v>770494.26240674593</v>
      </c>
      <c r="E125"/>
      <c r="F125"/>
    </row>
    <row r="126" spans="1:13" hidden="1" x14ac:dyDescent="0.2">
      <c r="A126" s="142"/>
      <c r="B126" s="831" t="s">
        <v>1647</v>
      </c>
      <c r="C126" s="832"/>
      <c r="D126" s="838">
        <f>D123-D124-D125</f>
        <v>1566024.2910056971</v>
      </c>
      <c r="E126"/>
      <c r="F126"/>
    </row>
    <row r="127" spans="1:13" hidden="1" x14ac:dyDescent="0.2">
      <c r="A127" s="782"/>
      <c r="B127" s="197" t="s">
        <v>1225</v>
      </c>
      <c r="C127"/>
      <c r="D127" s="198">
        <f>-1*(D25-F38)</f>
        <v>152609.55200037282</v>
      </c>
      <c r="E127"/>
      <c r="F127"/>
    </row>
    <row r="128" spans="1:13" hidden="1" x14ac:dyDescent="0.2">
      <c r="A128" s="142"/>
      <c r="B128" s="197" t="s">
        <v>1648</v>
      </c>
      <c r="C128"/>
      <c r="D128" s="198">
        <f>D75-C75</f>
        <v>-1471271.5583011461</v>
      </c>
      <c r="E128"/>
      <c r="F128"/>
    </row>
    <row r="129" spans="1:6" hidden="1" x14ac:dyDescent="0.2">
      <c r="A129" s="142"/>
      <c r="B129" s="831" t="s">
        <v>1649</v>
      </c>
      <c r="C129" s="832"/>
      <c r="D129" s="838">
        <f>D126-D127+D128</f>
        <v>-57856.819295821944</v>
      </c>
      <c r="E129"/>
      <c r="F129"/>
    </row>
    <row r="130" spans="1:6" hidden="1" x14ac:dyDescent="0.2">
      <c r="A130" s="142"/>
      <c r="B130" s="197" t="s">
        <v>1650</v>
      </c>
      <c r="C130"/>
      <c r="D130" s="586">
        <v>0</v>
      </c>
      <c r="E130"/>
      <c r="F130"/>
    </row>
    <row r="131" spans="1:6" hidden="1" x14ac:dyDescent="0.2">
      <c r="A131" s="142"/>
      <c r="B131" s="197" t="s">
        <v>1651</v>
      </c>
      <c r="C131"/>
      <c r="D131" s="586">
        <v>0</v>
      </c>
      <c r="E131" s="840" t="s">
        <v>1654</v>
      </c>
      <c r="F131"/>
    </row>
    <row r="132" spans="1:6" hidden="1" x14ac:dyDescent="0.2">
      <c r="B132" s="833" t="s">
        <v>1652</v>
      </c>
      <c r="C132" s="834"/>
      <c r="D132" s="839">
        <f>D129+D130+D131</f>
        <v>-57856.819295821944</v>
      </c>
      <c r="E132" s="841">
        <f>D51-C51</f>
        <v>-57856.820000000036</v>
      </c>
      <c r="F132"/>
    </row>
    <row r="133" spans="1:6" hidden="1" x14ac:dyDescent="0.2">
      <c r="B133"/>
      <c r="C133"/>
      <c r="D133" s="809" t="s">
        <v>1653</v>
      </c>
      <c r="E133" s="199">
        <f>D132-E132</f>
        <v>7.0417809183709323E-4</v>
      </c>
      <c r="F133"/>
    </row>
    <row r="134" spans="1:6" hidden="1" x14ac:dyDescent="0.2">
      <c r="B134"/>
      <c r="C134"/>
      <c r="D134"/>
      <c r="E134"/>
      <c r="F134"/>
    </row>
    <row r="135" spans="1:6" hidden="1" x14ac:dyDescent="0.2"/>
    <row r="136" spans="1:6" hidden="1" x14ac:dyDescent="0.2"/>
  </sheetData>
  <mergeCells count="8">
    <mergeCell ref="J4:K4"/>
    <mergeCell ref="L4:M4"/>
    <mergeCell ref="J52:K52"/>
    <mergeCell ref="L52:M52"/>
    <mergeCell ref="J85:K85"/>
    <mergeCell ref="L85:M85"/>
    <mergeCell ref="J27:K27"/>
    <mergeCell ref="L27:M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32BF6-6D43-5E49-A8F0-BC7A6BDAE492}">
  <sheetPr>
    <tabColor rgb="FF00B050"/>
  </sheetPr>
  <dimension ref="B2:M36"/>
  <sheetViews>
    <sheetView showGridLines="0" workbookViewId="0">
      <selection activeCell="B2" sqref="B2"/>
    </sheetView>
  </sheetViews>
  <sheetFormatPr baseColWidth="10" defaultRowHeight="16" x14ac:dyDescent="0.2"/>
  <cols>
    <col min="1" max="1" width="8.6640625" style="5" customWidth="1"/>
    <col min="2" max="2" width="38.33203125" style="5" customWidth="1"/>
    <col min="3" max="6" width="19.1640625" style="5" customWidth="1"/>
    <col min="7" max="7" width="19.1640625" customWidth="1"/>
    <col min="8" max="8" width="10.83203125" style="5"/>
    <col min="9" max="9" width="26" style="5" bestFit="1" customWidth="1"/>
    <col min="10" max="11" width="12.6640625" style="5" customWidth="1"/>
    <col min="12" max="16384" width="10.83203125" style="5"/>
  </cols>
  <sheetData>
    <row r="2" spans="2:13" x14ac:dyDescent="0.2">
      <c r="B2" s="794" t="s">
        <v>1378</v>
      </c>
      <c r="C2" s="790"/>
      <c r="D2" s="790"/>
      <c r="E2" s="790"/>
      <c r="F2" s="790"/>
      <c r="I2" s="794" t="s">
        <v>1380</v>
      </c>
      <c r="J2" s="790"/>
      <c r="K2" s="790"/>
      <c r="L2" s="790"/>
    </row>
    <row r="3" spans="2:13" ht="8" customHeight="1" x14ac:dyDescent="0.2">
      <c r="J3"/>
      <c r="K3"/>
      <c r="L3"/>
    </row>
    <row r="4" spans="2:13" ht="19" x14ac:dyDescent="0.2">
      <c r="B4" s="463" t="s">
        <v>1379</v>
      </c>
      <c r="C4" s="441">
        <v>2024</v>
      </c>
      <c r="D4" s="423">
        <v>2025</v>
      </c>
      <c r="E4" s="423">
        <v>2026</v>
      </c>
      <c r="F4" s="424">
        <v>2027</v>
      </c>
      <c r="I4" s="463" t="s">
        <v>1371</v>
      </c>
      <c r="J4" s="536">
        <v>2025</v>
      </c>
      <c r="K4" s="423">
        <v>2026</v>
      </c>
      <c r="L4" s="424">
        <v>2027</v>
      </c>
      <c r="M4" s="425" t="s">
        <v>1663</v>
      </c>
    </row>
    <row r="5" spans="2:13" x14ac:dyDescent="0.2">
      <c r="B5" s="10" t="s">
        <v>372</v>
      </c>
      <c r="C5" s="75">
        <f>BP!C34/BP!C68</f>
        <v>0.15627725289269656</v>
      </c>
      <c r="D5" s="25">
        <f>BP!D34/BP!D68</f>
        <v>0.20927888287648477</v>
      </c>
      <c r="E5" s="25">
        <f>BP!E34/BP!E68</f>
        <v>0.2032300167656087</v>
      </c>
      <c r="F5" s="13">
        <f>BP!F34/BP!F68</f>
        <v>0.19519731493809148</v>
      </c>
      <c r="I5" s="10" t="s">
        <v>372</v>
      </c>
      <c r="J5" s="238">
        <f>'D. Benchmark di settore'!AI20</f>
        <v>3.0586494444444442E-2</v>
      </c>
      <c r="K5" s="239">
        <f>'D. Benchmark di settore'!AI21</f>
        <v>3.1953710746111107E-2</v>
      </c>
      <c r="L5" s="240">
        <f>'D. Benchmark di settore'!AI22</f>
        <v>3.3382041616462271E-2</v>
      </c>
      <c r="M5" s="851">
        <f>AVERAGE(J5:L5)</f>
        <v>3.1974082269005936E-2</v>
      </c>
    </row>
    <row r="6" spans="2:13" x14ac:dyDescent="0.2">
      <c r="B6" s="10" t="s">
        <v>371</v>
      </c>
      <c r="C6" s="75">
        <f>BP!C22/BP!C55</f>
        <v>7.0530569987348204E-2</v>
      </c>
      <c r="D6" s="25">
        <f>BP!D22/BP!D55</f>
        <v>0.11430114529703675</v>
      </c>
      <c r="E6" s="25">
        <f>BP!E22/BP!E55</f>
        <v>0.13643816523787397</v>
      </c>
      <c r="F6" s="13">
        <f>BP!F22/BP!F55</f>
        <v>0.15704089905429944</v>
      </c>
      <c r="I6" s="10" t="s">
        <v>371</v>
      </c>
      <c r="J6" s="238">
        <f>'D. Benchmark di settore'!AH20</f>
        <v>5.8143358888888885E-2</v>
      </c>
      <c r="K6" s="239">
        <f>'D. Benchmark di settore'!AH21</f>
        <v>6.0742367031222218E-2</v>
      </c>
      <c r="L6" s="240">
        <f>'D. Benchmark di settore'!AH22</f>
        <v>6.3457550837517848E-2</v>
      </c>
      <c r="M6" s="75">
        <f t="shared" ref="M6:M7" si="0">AVERAGE(J6:L6)</f>
        <v>6.0781092252542988E-2</v>
      </c>
    </row>
    <row r="7" spans="2:13" x14ac:dyDescent="0.2">
      <c r="B7" s="10" t="s">
        <v>373</v>
      </c>
      <c r="C7" s="75">
        <f>BP!C22/BP!C6</f>
        <v>6.174843186722332E-2</v>
      </c>
      <c r="D7" s="25">
        <f>BP!D22/BP!D6</f>
        <v>9.3763519177315721E-2</v>
      </c>
      <c r="E7" s="25">
        <f>BP!E22/BP!E6</f>
        <v>0.10418163691572407</v>
      </c>
      <c r="F7" s="13">
        <f>BP!F22/BP!F6</f>
        <v>0.11314057060477777</v>
      </c>
      <c r="I7" s="158" t="s">
        <v>373</v>
      </c>
      <c r="J7" s="241">
        <f>'D. Benchmark di settore'!AG20</f>
        <v>3.1816918888888886E-2</v>
      </c>
      <c r="K7" s="242">
        <f>'D. Benchmark di settore'!AG21</f>
        <v>3.3239135163222217E-2</v>
      </c>
      <c r="L7" s="243">
        <f>'D. Benchmark di settore'!AG22</f>
        <v>3.4724924505018247E-2</v>
      </c>
      <c r="M7" s="222">
        <f t="shared" si="0"/>
        <v>3.3260326185709781E-2</v>
      </c>
    </row>
    <row r="8" spans="2:13" x14ac:dyDescent="0.2">
      <c r="B8" s="10" t="s">
        <v>374</v>
      </c>
      <c r="C8" s="75">
        <f>BP!C15/BP!C6</f>
        <v>0.10688848180996532</v>
      </c>
      <c r="D8" s="25">
        <f>BP!D15/BP!D6</f>
        <v>0.13183983300273922</v>
      </c>
      <c r="E8" s="25">
        <f>BP!E15/BP!E6</f>
        <v>0.1386194603695188</v>
      </c>
      <c r="F8" s="13">
        <f>BP!F15/BP!F6</f>
        <v>0.14541890557328954</v>
      </c>
    </row>
    <row r="9" spans="2:13" x14ac:dyDescent="0.2">
      <c r="B9" s="10" t="s">
        <v>375</v>
      </c>
      <c r="C9" s="75">
        <f>BP!C34/BP!C6</f>
        <v>4.191944781023952E-2</v>
      </c>
      <c r="D9" s="25">
        <f>BP!D34/BP!D6</f>
        <v>6.7956383916205967E-2</v>
      </c>
      <c r="E9" s="25">
        <f>BP!E34/BP!E6</f>
        <v>7.9280822403321488E-2</v>
      </c>
      <c r="F9" s="13">
        <f>BP!F34/BP!F6</f>
        <v>9.0567654702184933E-2</v>
      </c>
    </row>
    <row r="10" spans="2:13" x14ac:dyDescent="0.2">
      <c r="B10" s="10" t="s">
        <v>376</v>
      </c>
      <c r="C10" s="75">
        <f>BP!C6/BP!C55</f>
        <v>1.1422244720158881</v>
      </c>
      <c r="D10" s="25">
        <f>BP!D6/BP!D55</f>
        <v>1.2190364258927018</v>
      </c>
      <c r="E10" s="25">
        <f>BP!E6/BP!E55</f>
        <v>1.3096181753051477</v>
      </c>
      <c r="F10" s="13">
        <f>BP!F6/BP!F55</f>
        <v>1.3880157949960685</v>
      </c>
    </row>
    <row r="11" spans="2:13" x14ac:dyDescent="0.2">
      <c r="B11" s="10" t="s">
        <v>377</v>
      </c>
      <c r="C11" s="75">
        <f>BP!C15/BP!C55</f>
        <v>0.12209063969996752</v>
      </c>
      <c r="D11" s="25">
        <f>BP!D15/BP!D55</f>
        <v>0.16071755881394989</v>
      </c>
      <c r="E11" s="25">
        <f>BP!E15/BP!E55</f>
        <v>0.18153856475091346</v>
      </c>
      <c r="F11" s="13">
        <f>BP!F15/BP!F55</f>
        <v>0.20184373782676771</v>
      </c>
    </row>
    <row r="12" spans="2:13" x14ac:dyDescent="0.2">
      <c r="B12" s="10"/>
      <c r="C12" s="75"/>
      <c r="D12" s="25"/>
      <c r="E12" s="25"/>
      <c r="F12" s="13"/>
    </row>
    <row r="13" spans="2:13" x14ac:dyDescent="0.2">
      <c r="B13" s="461" t="s">
        <v>378</v>
      </c>
      <c r="C13" s="778"/>
      <c r="D13" s="571"/>
      <c r="E13" s="571"/>
      <c r="F13" s="572"/>
    </row>
    <row r="14" spans="2:13" x14ac:dyDescent="0.2">
      <c r="B14" s="10" t="s">
        <v>379</v>
      </c>
      <c r="C14" s="779">
        <f>BP!C22/-(BP!C25+BP!C26)</f>
        <v>2.6327363227584439</v>
      </c>
      <c r="D14" s="174">
        <f>BP!D22/-(BP!D25+BP!D26)</f>
        <v>7.7762925114828372</v>
      </c>
      <c r="E14" s="174">
        <f>BP!E22/-(BP!E25+BP!E26)</f>
        <v>14.216772002398788</v>
      </c>
      <c r="F14" s="244">
        <f>BP!F22/-(BP!F25+BP!F26)</f>
        <v>95.143615189230871</v>
      </c>
    </row>
    <row r="15" spans="2:13" x14ac:dyDescent="0.2">
      <c r="B15" s="10" t="s">
        <v>380</v>
      </c>
      <c r="C15" s="779">
        <f>(BP!C75+BP!C76-BP!C51)/BP!C15</f>
        <v>3.6017397070547217</v>
      </c>
      <c r="D15" s="174">
        <f>(BP!D75+BP!D76-BP!D51)/BP!D15</f>
        <v>1.9863625321811265</v>
      </c>
      <c r="E15" s="174">
        <f>(BP!E75+BP!E76-BP!E51)/BP!E15</f>
        <v>1.0310124110610117</v>
      </c>
      <c r="F15" s="244">
        <f>(BP!F75+BP!F76-BP!F51)/BP!F15</f>
        <v>0.14984307964808266</v>
      </c>
    </row>
    <row r="16" spans="2:13" x14ac:dyDescent="0.2">
      <c r="B16" s="10" t="s">
        <v>381</v>
      </c>
      <c r="C16" s="779">
        <f>(BP!C75+BP!C76)/BP!C68</f>
        <v>1.4773447990646476</v>
      </c>
      <c r="D16" s="174">
        <f>(BP!D75+BP!D76)/BP!D68</f>
        <v>0.83184222188652157</v>
      </c>
      <c r="E16" s="174">
        <f>(BP!E75+BP!E76)/BP!E68</f>
        <v>0.37001692877691356</v>
      </c>
      <c r="F16" s="244">
        <f>(BP!F75+BP!F76)/BP!F68</f>
        <v>5.0510799654639865E-2</v>
      </c>
    </row>
    <row r="17" spans="2:6" x14ac:dyDescent="0.2">
      <c r="B17" s="10"/>
      <c r="C17" s="10"/>
      <c r="F17" s="135"/>
    </row>
    <row r="18" spans="2:6" x14ac:dyDescent="0.2">
      <c r="B18" s="461" t="s">
        <v>382</v>
      </c>
      <c r="C18" s="511"/>
      <c r="D18" s="399"/>
      <c r="E18" s="399"/>
      <c r="F18" s="412"/>
    </row>
    <row r="19" spans="2:6" x14ac:dyDescent="0.2">
      <c r="B19" s="10" t="s">
        <v>383</v>
      </c>
      <c r="C19" s="75">
        <f>BP!C68/BP!C55</f>
        <v>0.30638764283324627</v>
      </c>
      <c r="D19" s="25">
        <f>BP!D68/BP!D55</f>
        <v>0.39584169328109647</v>
      </c>
      <c r="E19" s="25">
        <f>BP!E68/BP!E55</f>
        <v>0.51088715941148033</v>
      </c>
      <c r="F19" s="13">
        <f>BP!F68/BP!F55</f>
        <v>0.64401160068340302</v>
      </c>
    </row>
    <row r="20" spans="2:6" x14ac:dyDescent="0.2">
      <c r="B20" s="10" t="s">
        <v>384</v>
      </c>
      <c r="C20" s="75">
        <f>BP!C68/BP!C46</f>
        <v>0.65105954413650324</v>
      </c>
      <c r="D20" s="25">
        <f>BP!D68/BP!D46</f>
        <v>0.90196330545932701</v>
      </c>
      <c r="E20" s="25">
        <f>BP!E68/BP!E46</f>
        <v>1.2537565514934463</v>
      </c>
      <c r="F20" s="13">
        <f>BP!F68/BP!F46</f>
        <v>1.7315616850378639</v>
      </c>
    </row>
    <row r="21" spans="2:6" x14ac:dyDescent="0.2">
      <c r="B21" s="10"/>
      <c r="C21" s="10"/>
      <c r="F21" s="135"/>
    </row>
    <row r="22" spans="2:6" x14ac:dyDescent="0.2">
      <c r="B22" s="461" t="s">
        <v>385</v>
      </c>
      <c r="C22" s="511"/>
      <c r="D22" s="399"/>
      <c r="E22" s="399"/>
      <c r="F22" s="412"/>
    </row>
    <row r="23" spans="2:6" x14ac:dyDescent="0.2">
      <c r="B23" s="10" t="s">
        <v>386</v>
      </c>
      <c r="C23" s="696">
        <f>BP!C49/BP!C6*365</f>
        <v>72.383087257602824</v>
      </c>
      <c r="D23" s="245">
        <f>BP!D49/BP!D6*365</f>
        <v>72.383087257602824</v>
      </c>
      <c r="E23" s="245">
        <f>BP!E49/BP!E6*365</f>
        <v>72.383087257602824</v>
      </c>
      <c r="F23" s="246">
        <f>BP!F49/BP!F6*365</f>
        <v>72.383087257602824</v>
      </c>
    </row>
    <row r="24" spans="2:6" x14ac:dyDescent="0.2">
      <c r="B24" s="10" t="s">
        <v>387</v>
      </c>
      <c r="C24" s="696">
        <f>+-BP!C48/BP!C8*365</f>
        <v>111.17592959202577</v>
      </c>
      <c r="D24" s="245">
        <f>+-BP!D48/BP!D8*365</f>
        <v>111.17592959202577</v>
      </c>
      <c r="E24" s="245">
        <f>+-BP!E48/BP!E8*365</f>
        <v>111.17592959202577</v>
      </c>
      <c r="F24" s="246">
        <f>+-BP!F48/BP!F8*365</f>
        <v>111.17592959202577</v>
      </c>
    </row>
    <row r="25" spans="2:6" x14ac:dyDescent="0.2">
      <c r="B25" s="10" t="s">
        <v>388</v>
      </c>
      <c r="C25" s="696">
        <f>+-BP!C77/BP!C8*365</f>
        <v>54.859128801179182</v>
      </c>
      <c r="D25" s="245">
        <f>+-BP!D77/BP!D8*365</f>
        <v>56.899444444444441</v>
      </c>
      <c r="E25" s="245">
        <f>+-BP!E77/BP!E8*365</f>
        <v>56.899444444444441</v>
      </c>
      <c r="F25" s="246">
        <f>+-BP!F77/BP!F8*365</f>
        <v>56.899444444444441</v>
      </c>
    </row>
    <row r="26" spans="2:6" x14ac:dyDescent="0.2">
      <c r="B26" s="10" t="s">
        <v>389</v>
      </c>
      <c r="C26" s="696">
        <f>C23+C24-C25</f>
        <v>128.6998880484494</v>
      </c>
      <c r="D26" s="245">
        <f t="shared" ref="D26:F26" si="1">D23+D24-D25</f>
        <v>126.65957240518415</v>
      </c>
      <c r="E26" s="245">
        <f t="shared" si="1"/>
        <v>126.65957240518415</v>
      </c>
      <c r="F26" s="246">
        <f t="shared" si="1"/>
        <v>126.65957240518415</v>
      </c>
    </row>
    <row r="27" spans="2:6" x14ac:dyDescent="0.2">
      <c r="B27" s="10"/>
      <c r="C27" s="10"/>
      <c r="F27" s="135"/>
    </row>
    <row r="28" spans="2:6" x14ac:dyDescent="0.2">
      <c r="B28" s="461" t="s">
        <v>390</v>
      </c>
      <c r="C28" s="511"/>
      <c r="D28" s="399"/>
      <c r="E28" s="399"/>
      <c r="F28" s="412"/>
    </row>
    <row r="29" spans="2:6" x14ac:dyDescent="0.2">
      <c r="B29" s="10" t="s">
        <v>1603</v>
      </c>
      <c r="C29" s="75">
        <f>BP!C43/BP!C46</f>
        <v>1.012365782911811E-2</v>
      </c>
      <c r="D29" s="25">
        <f>BP!D43/BP!D46</f>
        <v>7.1634954566181016E-3</v>
      </c>
      <c r="E29" s="25">
        <f>BP!E43/BP!E46</f>
        <v>2.9548595718934044E-3</v>
      </c>
      <c r="F29" s="13">
        <f>BP!F43/BP!F46</f>
        <v>2.7985014863974311E-3</v>
      </c>
    </row>
    <row r="30" spans="2:6" x14ac:dyDescent="0.2">
      <c r="B30" s="10" t="s">
        <v>391</v>
      </c>
      <c r="C30" s="75">
        <f>BP!C44/BP!C46</f>
        <v>0.98323805969727296</v>
      </c>
      <c r="D30" s="25">
        <f>BP!D44/BP!D46</f>
        <v>0.98556461580119581</v>
      </c>
      <c r="E30" s="25">
        <f>BP!E44/BP!E46</f>
        <v>0.98899127189538216</v>
      </c>
      <c r="F30" s="13">
        <f>BP!F44/BP!F46</f>
        <v>0.98824952672707855</v>
      </c>
    </row>
    <row r="31" spans="2:6" x14ac:dyDescent="0.2">
      <c r="B31" s="10"/>
      <c r="C31" s="75"/>
      <c r="D31" s="25"/>
      <c r="E31" s="25"/>
      <c r="F31" s="13"/>
    </row>
    <row r="32" spans="2:6" x14ac:dyDescent="0.2">
      <c r="B32" s="461" t="s">
        <v>392</v>
      </c>
      <c r="C32" s="778"/>
      <c r="D32" s="571"/>
      <c r="E32" s="571"/>
      <c r="F32" s="572"/>
    </row>
    <row r="33" spans="2:11" x14ac:dyDescent="0.2">
      <c r="B33" s="10" t="s">
        <v>393</v>
      </c>
      <c r="C33" s="75">
        <f>BP!C48/CCN!C12</f>
        <v>0.4748672373614945</v>
      </c>
      <c r="D33" s="25">
        <f>BP!D48/CCN!D12</f>
        <v>0.45724092326668347</v>
      </c>
      <c r="E33" s="25">
        <f>BP!E48/CCN!E12</f>
        <v>0.45383585886017203</v>
      </c>
      <c r="F33" s="13">
        <f>BP!F48/CCN!F12</f>
        <v>0.45018284717369422</v>
      </c>
    </row>
    <row r="34" spans="2:11" x14ac:dyDescent="0.2">
      <c r="B34" s="158" t="s">
        <v>394</v>
      </c>
      <c r="C34" s="222">
        <f>BP!C51/CCN!C12</f>
        <v>2.4978674416790764E-2</v>
      </c>
      <c r="D34" s="156">
        <f>BP!D51/CCN!D12</f>
        <v>1.8208163734421884E-2</v>
      </c>
      <c r="E34" s="156">
        <f>BP!E51/CCN!E12</f>
        <v>3.1610387060309847E-3</v>
      </c>
      <c r="F34" s="157">
        <f>BP!F51/CCN!F12</f>
        <v>3.6508309300494414E-3</v>
      </c>
    </row>
    <row r="36" spans="2:11" x14ac:dyDescent="0.2">
      <c r="K36" s="5" t="s">
        <v>290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3B15-C06A-9641-81E0-974C4D12EE41}">
  <sheetPr>
    <tabColor rgb="FF00B050"/>
  </sheetPr>
  <dimension ref="B2:F24"/>
  <sheetViews>
    <sheetView showGridLines="0" workbookViewId="0"/>
  </sheetViews>
  <sheetFormatPr baseColWidth="10" defaultRowHeight="16" x14ac:dyDescent="0.2"/>
  <cols>
    <col min="1" max="1" width="8.6640625" style="5" customWidth="1"/>
    <col min="2" max="2" width="44" style="5" bestFit="1" customWidth="1"/>
    <col min="3" max="6" width="19.33203125" style="5" customWidth="1"/>
    <col min="7" max="16384" width="10.83203125" style="5"/>
  </cols>
  <sheetData>
    <row r="2" spans="2:6" x14ac:dyDescent="0.2">
      <c r="B2" s="794" t="s">
        <v>1381</v>
      </c>
      <c r="C2" s="790"/>
      <c r="D2" s="790"/>
      <c r="E2" s="790"/>
      <c r="F2" s="790"/>
    </row>
    <row r="3" spans="2:6" ht="8" customHeight="1" x14ac:dyDescent="0.2"/>
    <row r="4" spans="2:6" ht="19" x14ac:dyDescent="0.2">
      <c r="B4" s="459" t="s">
        <v>1359</v>
      </c>
      <c r="C4" s="481">
        <v>2024</v>
      </c>
      <c r="D4" s="420">
        <v>2025</v>
      </c>
      <c r="E4" s="420">
        <v>2026</v>
      </c>
      <c r="F4" s="421">
        <v>2027</v>
      </c>
    </row>
    <row r="5" spans="2:6" x14ac:dyDescent="0.2">
      <c r="B5" s="42" t="s">
        <v>326</v>
      </c>
      <c r="C5" s="46">
        <f>BP!C34</f>
        <v>899732.99582189089</v>
      </c>
      <c r="D5" s="41">
        <f>BP!D34</f>
        <v>1523771.8644318304</v>
      </c>
      <c r="E5" s="41">
        <f>BP!E34</f>
        <v>1857160.4671074129</v>
      </c>
      <c r="F5" s="40">
        <f>BP!F34</f>
        <v>2216389.071663016</v>
      </c>
    </row>
    <row r="6" spans="2:6" x14ac:dyDescent="0.2">
      <c r="B6" s="10" t="s">
        <v>1079</v>
      </c>
      <c r="C6" s="75">
        <v>2.1999999999999999E-2</v>
      </c>
      <c r="D6" s="25">
        <v>2.1999999999999999E-2</v>
      </c>
      <c r="E6" s="25">
        <v>2.1999999999999999E-2</v>
      </c>
      <c r="F6" s="13">
        <v>2.1999999999999999E-2</v>
      </c>
    </row>
    <row r="7" spans="2:6" x14ac:dyDescent="0.2">
      <c r="B7" s="10" t="s">
        <v>338</v>
      </c>
      <c r="C7" s="45">
        <f>BP!C55</f>
        <v>18790859</v>
      </c>
      <c r="D7" s="11">
        <f>BP!D55</f>
        <v>18393865.486734543</v>
      </c>
      <c r="E7" s="11">
        <f>BP!E55</f>
        <v>17886962.236216631</v>
      </c>
      <c r="F7" s="12">
        <f>BP!F55</f>
        <v>17631061.904746793</v>
      </c>
    </row>
    <row r="8" spans="2:6" x14ac:dyDescent="0.2">
      <c r="B8" s="10"/>
      <c r="C8" s="45">
        <f>C6*C7</f>
        <v>413398.89799999999</v>
      </c>
      <c r="D8" s="11">
        <f t="shared" ref="D8:F8" si="0">D6*D7</f>
        <v>404665.04070815991</v>
      </c>
      <c r="E8" s="11">
        <f t="shared" si="0"/>
        <v>393513.16919676587</v>
      </c>
      <c r="F8" s="12">
        <f t="shared" si="0"/>
        <v>387883.36190442945</v>
      </c>
    </row>
    <row r="9" spans="2:6" x14ac:dyDescent="0.2">
      <c r="B9" s="462" t="s">
        <v>1078</v>
      </c>
      <c r="C9" s="487">
        <f>C5-C8</f>
        <v>486334.0978218909</v>
      </c>
      <c r="D9" s="569">
        <f t="shared" ref="D9:F9" si="1">D5-D8</f>
        <v>1119106.8237236706</v>
      </c>
      <c r="E9" s="569">
        <f t="shared" si="1"/>
        <v>1463647.297910647</v>
      </c>
      <c r="F9" s="570">
        <f t="shared" si="1"/>
        <v>1828505.7097585865</v>
      </c>
    </row>
    <row r="10" spans="2:6" x14ac:dyDescent="0.2">
      <c r="C10" s="11"/>
      <c r="D10" s="11"/>
      <c r="E10" s="11"/>
      <c r="F10" s="11"/>
    </row>
    <row r="11" spans="2:6" x14ac:dyDescent="0.2">
      <c r="C11" s="11"/>
      <c r="D11" s="11"/>
      <c r="E11" s="11"/>
      <c r="F11" s="11"/>
    </row>
    <row r="12" spans="2:6" x14ac:dyDescent="0.2">
      <c r="C12" s="11"/>
      <c r="D12" s="11"/>
      <c r="E12" s="11"/>
      <c r="F12" s="11"/>
    </row>
    <row r="13" spans="2:6" x14ac:dyDescent="0.2">
      <c r="C13" s="11"/>
      <c r="D13" s="11"/>
      <c r="E13" s="11"/>
      <c r="F13" s="11"/>
    </row>
    <row r="14" spans="2:6" x14ac:dyDescent="0.2">
      <c r="C14" s="11"/>
      <c r="D14" s="11"/>
      <c r="E14" s="11"/>
      <c r="F14" s="11"/>
    </row>
    <row r="15" spans="2:6" x14ac:dyDescent="0.2">
      <c r="C15" s="11"/>
      <c r="D15" s="11"/>
      <c r="E15" s="11"/>
      <c r="F15" s="11"/>
    </row>
    <row r="16" spans="2:6" x14ac:dyDescent="0.2">
      <c r="C16" s="11"/>
      <c r="D16" s="11"/>
      <c r="E16" s="11"/>
      <c r="F16" s="11"/>
    </row>
    <row r="17" spans="3:6" x14ac:dyDescent="0.2">
      <c r="C17" s="11"/>
      <c r="D17" s="11"/>
      <c r="E17" s="11"/>
      <c r="F17" s="11"/>
    </row>
    <row r="18" spans="3:6" x14ac:dyDescent="0.2">
      <c r="C18" s="11"/>
      <c r="D18" s="11"/>
      <c r="E18" s="11"/>
      <c r="F18" s="11"/>
    </row>
    <row r="19" spans="3:6" x14ac:dyDescent="0.2">
      <c r="C19" s="11"/>
      <c r="D19" s="11"/>
      <c r="E19" s="11"/>
      <c r="F19" s="11"/>
    </row>
    <row r="20" spans="3:6" x14ac:dyDescent="0.2">
      <c r="C20" s="11"/>
      <c r="D20" s="11"/>
      <c r="E20" s="11"/>
      <c r="F20" s="11"/>
    </row>
    <row r="21" spans="3:6" x14ac:dyDescent="0.2">
      <c r="C21" s="11"/>
      <c r="D21" s="11"/>
      <c r="E21" s="11"/>
      <c r="F21" s="11"/>
    </row>
    <row r="22" spans="3:6" x14ac:dyDescent="0.2">
      <c r="C22" s="11"/>
      <c r="D22" s="11"/>
      <c r="E22" s="11"/>
      <c r="F22" s="11"/>
    </row>
    <row r="23" spans="3:6" x14ac:dyDescent="0.2">
      <c r="C23" s="11"/>
      <c r="D23" s="11"/>
      <c r="E23" s="11"/>
      <c r="F23" s="11"/>
    </row>
    <row r="24" spans="3:6" x14ac:dyDescent="0.2">
      <c r="C24" s="11"/>
      <c r="D24" s="11"/>
      <c r="E24" s="11"/>
      <c r="F24"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AB00E-1436-1742-B208-92F055EFDEAF}">
  <dimension ref="A1"/>
  <sheetViews>
    <sheetView showGridLines="0" workbookViewId="0">
      <selection activeCell="I74" sqref="I74"/>
    </sheetView>
  </sheetViews>
  <sheetFormatPr baseColWidth="10" defaultRowHeight="16"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8043-E1C1-AE42-B526-9924D74C3B76}">
  <sheetPr>
    <tabColor theme="8" tint="0.59999389629810485"/>
  </sheetPr>
  <dimension ref="B2:AA190"/>
  <sheetViews>
    <sheetView showGridLines="0" workbookViewId="0">
      <selection activeCell="B2" sqref="B2:F3"/>
    </sheetView>
  </sheetViews>
  <sheetFormatPr baseColWidth="10" defaultRowHeight="16" x14ac:dyDescent="0.2"/>
  <cols>
    <col min="1" max="1" width="8.6640625" style="5" customWidth="1"/>
    <col min="2" max="2" width="15.83203125" style="5" bestFit="1" customWidth="1"/>
    <col min="3" max="3" width="14" style="5" bestFit="1" customWidth="1"/>
    <col min="4" max="4" width="13.83203125" style="5" customWidth="1"/>
    <col min="5" max="5" width="10.83203125" style="5"/>
    <col min="6" max="6" width="12.83203125" style="132" bestFit="1" customWidth="1"/>
    <col min="7" max="8" width="10.83203125" style="5"/>
    <col min="9" max="9" width="17.5" style="5" customWidth="1"/>
    <col min="10" max="10" width="19.33203125" style="5" customWidth="1"/>
    <col min="11" max="11" width="7.6640625" style="5" customWidth="1"/>
    <col min="12" max="12" width="7.1640625" style="5" customWidth="1"/>
    <col min="13" max="13" width="5.1640625" style="5" bestFit="1" customWidth="1"/>
    <col min="14" max="14" width="17.1640625" style="5" customWidth="1"/>
    <col min="15" max="15" width="20.5" style="5" customWidth="1"/>
    <col min="16" max="17" width="7.33203125" style="5" customWidth="1"/>
    <col min="18" max="18" width="5.1640625" style="5" bestFit="1" customWidth="1"/>
    <col min="19" max="19" width="17.1640625" style="5" customWidth="1"/>
    <col min="20" max="20" width="20.5" style="5" customWidth="1"/>
    <col min="21" max="22" width="7.33203125" style="5" customWidth="1"/>
    <col min="23" max="23" width="5.1640625" style="5" bestFit="1" customWidth="1"/>
    <col min="24" max="24" width="17.1640625" style="5" customWidth="1"/>
    <col min="25" max="25" width="20.5" style="5" customWidth="1"/>
    <col min="26" max="27" width="7.33203125" style="5" customWidth="1"/>
    <col min="28" max="28" width="3.1640625" style="5" bestFit="1" customWidth="1"/>
    <col min="29" max="29" width="12.1640625" style="5" bestFit="1" customWidth="1"/>
    <col min="30" max="30" width="3.1640625" style="5" bestFit="1" customWidth="1"/>
    <col min="31" max="31" width="5.1640625" style="5" bestFit="1" customWidth="1"/>
    <col min="32" max="32" width="6.1640625" style="5" bestFit="1" customWidth="1"/>
    <col min="33" max="34" width="5.1640625" style="5" bestFit="1" customWidth="1"/>
    <col min="35" max="35" width="6.1640625" style="5" bestFit="1" customWidth="1"/>
    <col min="36" max="36" width="3.1640625" style="5" bestFit="1" customWidth="1"/>
    <col min="37" max="37" width="6.1640625" style="5" bestFit="1" customWidth="1"/>
    <col min="38" max="38" width="3.1640625" style="5" bestFit="1" customWidth="1"/>
    <col min="39" max="39" width="6.1640625" style="5" bestFit="1" customWidth="1"/>
    <col min="40" max="40" width="5.1640625" style="5" bestFit="1" customWidth="1"/>
    <col min="41" max="41" width="6.1640625" style="5" bestFit="1" customWidth="1"/>
    <col min="42" max="42" width="3.1640625" style="5" bestFit="1" customWidth="1"/>
    <col min="43" max="44" width="5.1640625" style="5" bestFit="1" customWidth="1"/>
    <col min="45" max="45" width="12.1640625" style="5" bestFit="1" customWidth="1"/>
    <col min="46" max="46" width="5.1640625" style="5" bestFit="1" customWidth="1"/>
    <col min="47" max="47" width="6.1640625" style="5" bestFit="1" customWidth="1"/>
    <col min="48" max="48" width="12.1640625" style="5" bestFit="1" customWidth="1"/>
    <col min="49" max="49" width="3.1640625" style="5" bestFit="1" customWidth="1"/>
    <col min="50" max="51" width="5.1640625" style="5" bestFit="1" customWidth="1"/>
    <col min="52" max="52" width="12.1640625" style="5" bestFit="1" customWidth="1"/>
    <col min="53" max="54" width="6.1640625" style="5" bestFit="1" customWidth="1"/>
    <col min="55" max="55" width="3.1640625" style="5" bestFit="1" customWidth="1"/>
    <col min="56" max="57" width="12.1640625" style="5" bestFit="1" customWidth="1"/>
    <col min="58" max="58" width="6.1640625" style="5" bestFit="1" customWidth="1"/>
    <col min="59" max="59" width="3.1640625" style="5" bestFit="1" customWidth="1"/>
    <col min="60" max="61" width="12.1640625" style="5" bestFit="1" customWidth="1"/>
    <col min="62" max="62" width="3.1640625" style="5" bestFit="1" customWidth="1"/>
    <col min="63" max="65" width="12.1640625" style="5" bestFit="1" customWidth="1"/>
    <col min="66" max="66" width="3.1640625" style="5" bestFit="1" customWidth="1"/>
    <col min="67" max="67" width="12.1640625" style="5" bestFit="1" customWidth="1"/>
    <col min="68" max="68" width="3.1640625" style="5" bestFit="1" customWidth="1"/>
    <col min="69" max="69" width="6.1640625" style="5" bestFit="1" customWidth="1"/>
    <col min="70" max="70" width="5.1640625" style="5" bestFit="1" customWidth="1"/>
    <col min="71" max="71" width="3.1640625" style="5" bestFit="1" customWidth="1"/>
    <col min="72" max="72" width="12.1640625" style="5" bestFit="1" customWidth="1"/>
    <col min="73" max="73" width="5.1640625" style="5" bestFit="1" customWidth="1"/>
    <col min="74" max="74" width="3.1640625" style="5" bestFit="1" customWidth="1"/>
    <col min="75" max="75" width="5.1640625" style="5" bestFit="1" customWidth="1"/>
    <col min="76" max="76" width="6.1640625" style="5" bestFit="1" customWidth="1"/>
    <col min="77" max="79" width="3.1640625" style="5" bestFit="1" customWidth="1"/>
    <col min="80" max="80" width="12.1640625" style="5" bestFit="1" customWidth="1"/>
    <col min="81" max="81" width="5.1640625" style="5" bestFit="1" customWidth="1"/>
    <col min="82" max="82" width="3.1640625" style="5" bestFit="1" customWidth="1"/>
    <col min="83" max="83" width="12.1640625" style="5" bestFit="1" customWidth="1"/>
    <col min="84" max="84" width="7.1640625" style="5" bestFit="1" customWidth="1"/>
    <col min="85" max="85" width="17.1640625" style="5" bestFit="1" customWidth="1"/>
    <col min="86" max="16384" width="10.83203125" style="5"/>
  </cols>
  <sheetData>
    <row r="2" spans="2:27" ht="16" customHeight="1" x14ac:dyDescent="0.2">
      <c r="B2" s="961" t="s">
        <v>1604</v>
      </c>
      <c r="C2" s="962"/>
      <c r="D2" s="962"/>
      <c r="E2" s="962"/>
      <c r="F2" s="963"/>
    </row>
    <row r="3" spans="2:27" ht="16" customHeight="1" x14ac:dyDescent="0.2">
      <c r="B3" s="964"/>
      <c r="C3" s="965"/>
      <c r="D3" s="965"/>
      <c r="E3" s="965"/>
      <c r="F3" s="966"/>
    </row>
    <row r="5" spans="2:27" ht="21" x14ac:dyDescent="0.2">
      <c r="B5" s="79" t="s">
        <v>8</v>
      </c>
      <c r="I5" s="80" t="s">
        <v>138</v>
      </c>
    </row>
    <row r="6" spans="2:27" x14ac:dyDescent="0.2">
      <c r="B6" s="1" t="s">
        <v>5</v>
      </c>
      <c r="C6" s="2" t="s">
        <v>6</v>
      </c>
      <c r="D6" s="2" t="s">
        <v>12</v>
      </c>
      <c r="E6" s="2" t="s">
        <v>3</v>
      </c>
      <c r="F6" s="3" t="s">
        <v>7</v>
      </c>
      <c r="I6" s="247" t="s">
        <v>87</v>
      </c>
      <c r="J6" s="247" t="s">
        <v>88</v>
      </c>
      <c r="K6" s="247"/>
      <c r="L6" s="248">
        <v>21.7</v>
      </c>
      <c r="N6" s="247" t="s">
        <v>20</v>
      </c>
      <c r="O6" s="247" t="s">
        <v>21</v>
      </c>
      <c r="P6" s="247"/>
      <c r="Q6" s="248">
        <f>(10.25/350)*1000</f>
        <v>29.285714285714285</v>
      </c>
      <c r="S6" s="249" t="s">
        <v>17</v>
      </c>
      <c r="T6" s="249"/>
      <c r="U6" s="249"/>
      <c r="V6" s="250">
        <f>(9/350)*1000</f>
        <v>25.714285714285715</v>
      </c>
      <c r="X6" s="247" t="s">
        <v>10</v>
      </c>
      <c r="Y6" s="247"/>
      <c r="Z6" s="247" t="s">
        <v>11</v>
      </c>
      <c r="AA6" s="248">
        <v>80</v>
      </c>
    </row>
    <row r="7" spans="2:27" x14ac:dyDescent="0.2">
      <c r="B7" s="251" t="s">
        <v>73</v>
      </c>
      <c r="C7" s="252" t="s">
        <v>64</v>
      </c>
      <c r="D7" s="252"/>
      <c r="E7" s="252" t="s">
        <v>74</v>
      </c>
      <c r="F7" s="253">
        <f>1000*(6.11/120)</f>
        <v>50.916666666666671</v>
      </c>
      <c r="I7" s="249" t="s">
        <v>87</v>
      </c>
      <c r="J7" s="249" t="s">
        <v>89</v>
      </c>
      <c r="K7" s="249"/>
      <c r="L7" s="250">
        <v>22.35</v>
      </c>
      <c r="N7" s="249" t="s">
        <v>20</v>
      </c>
      <c r="O7" s="249" t="s">
        <v>81</v>
      </c>
      <c r="P7" s="249"/>
      <c r="Q7" s="250">
        <v>31.5</v>
      </c>
      <c r="S7" s="247" t="s">
        <v>17</v>
      </c>
      <c r="T7" s="247" t="s">
        <v>22</v>
      </c>
      <c r="U7" s="247"/>
      <c r="V7" s="248">
        <f>1000*(4.5/80)</f>
        <v>56.25</v>
      </c>
      <c r="X7" s="249" t="s">
        <v>10</v>
      </c>
      <c r="Y7" s="249" t="s">
        <v>13</v>
      </c>
      <c r="Z7" s="249" t="s">
        <v>11</v>
      </c>
      <c r="AA7" s="250">
        <v>34.86</v>
      </c>
    </row>
    <row r="8" spans="2:27" x14ac:dyDescent="0.2">
      <c r="B8" s="251" t="s">
        <v>73</v>
      </c>
      <c r="C8" s="252" t="s">
        <v>17</v>
      </c>
      <c r="D8" s="252" t="s">
        <v>32</v>
      </c>
      <c r="E8" s="252" t="s">
        <v>74</v>
      </c>
      <c r="F8" s="253">
        <f>(23.2/1300)*1000</f>
        <v>17.846153846153847</v>
      </c>
      <c r="N8" s="247" t="s">
        <v>20</v>
      </c>
      <c r="O8" s="247" t="s">
        <v>82</v>
      </c>
      <c r="P8" s="247"/>
      <c r="Q8" s="248">
        <v>35</v>
      </c>
      <c r="S8" s="249" t="s">
        <v>17</v>
      </c>
      <c r="T8" s="249" t="s">
        <v>32</v>
      </c>
      <c r="U8" s="249" t="s">
        <v>31</v>
      </c>
      <c r="V8" s="250">
        <f>1000*(6.29/70)</f>
        <v>89.857142857142861</v>
      </c>
      <c r="X8" s="247" t="s">
        <v>10</v>
      </c>
      <c r="Y8" s="247" t="s">
        <v>14</v>
      </c>
      <c r="Z8" s="247" t="s">
        <v>11</v>
      </c>
      <c r="AA8" s="248">
        <v>17.440000000000001</v>
      </c>
    </row>
    <row r="9" spans="2:27" x14ac:dyDescent="0.2">
      <c r="B9" s="251" t="s">
        <v>73</v>
      </c>
      <c r="C9" s="252" t="s">
        <v>10</v>
      </c>
      <c r="D9" s="252" t="s">
        <v>75</v>
      </c>
      <c r="E9" s="252"/>
      <c r="F9" s="253">
        <f>1000*(10.9/550)</f>
        <v>19.818181818181817</v>
      </c>
      <c r="I9" s="247" t="s">
        <v>77</v>
      </c>
      <c r="J9" s="247" t="s">
        <v>80</v>
      </c>
      <c r="K9" s="247"/>
      <c r="L9" s="248">
        <v>76.5</v>
      </c>
      <c r="N9" s="249" t="s">
        <v>20</v>
      </c>
      <c r="O9" s="249" t="s">
        <v>32</v>
      </c>
      <c r="P9" s="249"/>
      <c r="Q9" s="250">
        <v>30</v>
      </c>
      <c r="S9" s="247" t="s">
        <v>17</v>
      </c>
      <c r="T9" s="247" t="s">
        <v>32</v>
      </c>
      <c r="U9" s="247"/>
      <c r="V9" s="248">
        <f>1000*(12.9/600)</f>
        <v>21.5</v>
      </c>
      <c r="X9" s="249" t="s">
        <v>10</v>
      </c>
      <c r="Y9" s="249"/>
      <c r="Z9" s="249" t="s">
        <v>18</v>
      </c>
      <c r="AA9" s="250">
        <f>38/2</f>
        <v>19</v>
      </c>
    </row>
    <row r="10" spans="2:27" x14ac:dyDescent="0.2">
      <c r="B10" s="129" t="s">
        <v>76</v>
      </c>
      <c r="C10" s="254" t="s">
        <v>77</v>
      </c>
      <c r="D10" s="254" t="s">
        <v>80</v>
      </c>
      <c r="E10" s="254"/>
      <c r="F10" s="255">
        <v>76.5</v>
      </c>
      <c r="I10" s="249" t="s">
        <v>77</v>
      </c>
      <c r="J10" s="249" t="s">
        <v>80</v>
      </c>
      <c r="K10" s="249"/>
      <c r="L10" s="250">
        <f>190/3.9</f>
        <v>48.717948717948723</v>
      </c>
      <c r="S10" s="256" t="s">
        <v>17</v>
      </c>
      <c r="T10" s="256" t="s">
        <v>32</v>
      </c>
      <c r="U10" s="256" t="s">
        <v>74</v>
      </c>
      <c r="V10" s="257">
        <f>(23.2/1300)*1000</f>
        <v>17.846153846153847</v>
      </c>
      <c r="X10" s="247" t="s">
        <v>10</v>
      </c>
      <c r="Y10" s="247" t="s">
        <v>19</v>
      </c>
      <c r="Z10" s="247"/>
      <c r="AA10" s="248">
        <f>(13/400)*1000</f>
        <v>32.5</v>
      </c>
    </row>
    <row r="11" spans="2:27" x14ac:dyDescent="0.2">
      <c r="B11" s="129" t="s">
        <v>76</v>
      </c>
      <c r="C11" s="254" t="s">
        <v>77</v>
      </c>
      <c r="D11" s="254" t="s">
        <v>80</v>
      </c>
      <c r="E11" s="254"/>
      <c r="F11" s="255">
        <f>190/3.9</f>
        <v>48.717948717948723</v>
      </c>
      <c r="J11" s="132"/>
      <c r="N11" s="247" t="s">
        <v>83</v>
      </c>
      <c r="O11" s="247" t="s">
        <v>84</v>
      </c>
      <c r="P11" s="247"/>
      <c r="Q11" s="248">
        <v>63.5</v>
      </c>
      <c r="S11" s="247" t="s">
        <v>17</v>
      </c>
      <c r="T11" s="247" t="s">
        <v>32</v>
      </c>
      <c r="U11" s="247"/>
      <c r="V11" s="248">
        <v>20</v>
      </c>
      <c r="X11" s="249" t="s">
        <v>10</v>
      </c>
      <c r="Y11" s="249" t="s">
        <v>22</v>
      </c>
      <c r="Z11" s="249" t="s">
        <v>18</v>
      </c>
      <c r="AA11" s="250">
        <f>1000*(4.5/100)</f>
        <v>45</v>
      </c>
    </row>
    <row r="12" spans="2:27" x14ac:dyDescent="0.2">
      <c r="B12" s="129" t="s">
        <v>76</v>
      </c>
      <c r="C12" s="254" t="s">
        <v>64</v>
      </c>
      <c r="D12" s="254"/>
      <c r="E12" s="254"/>
      <c r="F12" s="255">
        <v>73</v>
      </c>
      <c r="I12" s="81" t="s">
        <v>64</v>
      </c>
      <c r="J12" s="81"/>
      <c r="K12" s="81" t="s">
        <v>74</v>
      </c>
      <c r="L12" s="82">
        <v>50.92</v>
      </c>
      <c r="N12" s="249" t="s">
        <v>83</v>
      </c>
      <c r="O12" s="249" t="s">
        <v>84</v>
      </c>
      <c r="P12" s="249"/>
      <c r="Q12" s="250">
        <v>61.5</v>
      </c>
      <c r="S12" s="249" t="s">
        <v>17</v>
      </c>
      <c r="T12" s="249" t="s">
        <v>32</v>
      </c>
      <c r="U12" s="249"/>
      <c r="V12" s="250">
        <v>20</v>
      </c>
      <c r="X12" s="247" t="s">
        <v>10</v>
      </c>
      <c r="Y12" s="247" t="s">
        <v>23</v>
      </c>
      <c r="Z12" s="247"/>
      <c r="AA12" s="248">
        <f>88.5/5</f>
        <v>17.7</v>
      </c>
    </row>
    <row r="13" spans="2:27" x14ac:dyDescent="0.2">
      <c r="B13" s="129" t="s">
        <v>76</v>
      </c>
      <c r="C13" s="254" t="s">
        <v>64</v>
      </c>
      <c r="D13" s="254"/>
      <c r="E13" s="254"/>
      <c r="F13" s="255">
        <v>67.5</v>
      </c>
      <c r="I13" s="83" t="s">
        <v>64</v>
      </c>
      <c r="J13" s="83"/>
      <c r="K13" s="83"/>
      <c r="L13" s="84">
        <v>73</v>
      </c>
      <c r="N13" s="247" t="s">
        <v>83</v>
      </c>
      <c r="O13" s="247" t="s">
        <v>84</v>
      </c>
      <c r="P13" s="247"/>
      <c r="Q13" s="248">
        <v>62</v>
      </c>
      <c r="X13" s="249" t="s">
        <v>10</v>
      </c>
      <c r="Y13" s="249" t="str">
        <f>Y12</f>
        <v>selection baffa</v>
      </c>
      <c r="Z13" s="249"/>
      <c r="AA13" s="250">
        <v>25.5</v>
      </c>
    </row>
    <row r="14" spans="2:27" x14ac:dyDescent="0.2">
      <c r="B14" s="129" t="s">
        <v>76</v>
      </c>
      <c r="C14" s="254" t="s">
        <v>30</v>
      </c>
      <c r="D14" s="254"/>
      <c r="E14" s="254"/>
      <c r="F14" s="255">
        <v>56</v>
      </c>
      <c r="I14" s="85" t="s">
        <v>64</v>
      </c>
      <c r="J14" s="85"/>
      <c r="K14" s="85"/>
      <c r="L14" s="86">
        <v>67.5</v>
      </c>
      <c r="N14" s="249" t="s">
        <v>66</v>
      </c>
      <c r="O14" s="249" t="s">
        <v>84</v>
      </c>
      <c r="P14" s="249"/>
      <c r="Q14" s="250">
        <v>61.5</v>
      </c>
      <c r="S14" s="247" t="s">
        <v>15</v>
      </c>
      <c r="T14" s="247" t="s">
        <v>16</v>
      </c>
      <c r="U14" s="247"/>
      <c r="V14" s="248">
        <f>(13.2/600)*1000</f>
        <v>22</v>
      </c>
      <c r="X14" s="247" t="s">
        <v>10</v>
      </c>
      <c r="Y14" s="247" t="s">
        <v>24</v>
      </c>
      <c r="Z14" s="247"/>
      <c r="AA14" s="248">
        <f>1000*(15/350)</f>
        <v>42.857142857142854</v>
      </c>
    </row>
    <row r="15" spans="2:27" x14ac:dyDescent="0.2">
      <c r="B15" s="129" t="s">
        <v>76</v>
      </c>
      <c r="C15" s="254" t="s">
        <v>79</v>
      </c>
      <c r="D15" s="254" t="s">
        <v>32</v>
      </c>
      <c r="E15" s="254"/>
      <c r="F15" s="255">
        <f>1000*(16.5/240)</f>
        <v>68.75</v>
      </c>
      <c r="I15" s="83" t="s">
        <v>64</v>
      </c>
      <c r="J15" s="83"/>
      <c r="K15" s="83"/>
      <c r="L15" s="84">
        <v>18.8</v>
      </c>
      <c r="N15" s="247" t="s">
        <v>83</v>
      </c>
      <c r="O15" s="247" t="s">
        <v>67</v>
      </c>
      <c r="P15" s="247"/>
      <c r="Q15" s="248">
        <v>10.95</v>
      </c>
      <c r="S15" s="249" t="s">
        <v>15</v>
      </c>
      <c r="T15" s="249" t="s">
        <v>25</v>
      </c>
      <c r="U15" s="249"/>
      <c r="V15" s="250">
        <f>1000*(10.2/800)</f>
        <v>12.75</v>
      </c>
      <c r="X15" s="249" t="s">
        <v>10</v>
      </c>
      <c r="Y15" s="249" t="s">
        <v>21</v>
      </c>
      <c r="Z15" s="249"/>
      <c r="AA15" s="250">
        <f>46.5/2</f>
        <v>23.25</v>
      </c>
    </row>
    <row r="16" spans="2:27" x14ac:dyDescent="0.2">
      <c r="B16" s="129" t="s">
        <v>76</v>
      </c>
      <c r="C16" s="254" t="s">
        <v>79</v>
      </c>
      <c r="D16" s="254" t="s">
        <v>32</v>
      </c>
      <c r="E16" s="254"/>
      <c r="F16" s="255">
        <f>1000*(15/290)</f>
        <v>51.724137931034484</v>
      </c>
      <c r="I16" s="85" t="s">
        <v>64</v>
      </c>
      <c r="J16" s="85"/>
      <c r="K16" s="85"/>
      <c r="L16" s="86">
        <v>20.2</v>
      </c>
      <c r="N16" s="249" t="s">
        <v>66</v>
      </c>
      <c r="O16" s="249" t="s">
        <v>67</v>
      </c>
      <c r="P16" s="249"/>
      <c r="Q16" s="250">
        <v>10.8</v>
      </c>
      <c r="S16" s="247" t="s">
        <v>15</v>
      </c>
      <c r="T16" s="247" t="s">
        <v>32</v>
      </c>
      <c r="U16" s="247"/>
      <c r="V16" s="248">
        <v>56</v>
      </c>
      <c r="X16" s="247" t="s">
        <v>10</v>
      </c>
      <c r="Y16" s="247" t="s">
        <v>26</v>
      </c>
      <c r="Z16" s="247"/>
      <c r="AA16" s="248">
        <f>1000*(3.5/80)</f>
        <v>43.75</v>
      </c>
    </row>
    <row r="17" spans="2:27" x14ac:dyDescent="0.2">
      <c r="B17" s="129" t="s">
        <v>76</v>
      </c>
      <c r="C17" s="254" t="s">
        <v>20</v>
      </c>
      <c r="D17" s="254" t="s">
        <v>81</v>
      </c>
      <c r="E17" s="254"/>
      <c r="F17" s="255">
        <v>31.5</v>
      </c>
      <c r="I17" s="83" t="s">
        <v>64</v>
      </c>
      <c r="J17" s="83"/>
      <c r="K17" s="83"/>
      <c r="L17" s="84">
        <v>20.2</v>
      </c>
      <c r="N17" s="247" t="s">
        <v>83</v>
      </c>
      <c r="O17" s="247"/>
      <c r="P17" s="247"/>
      <c r="Q17" s="248">
        <v>28.55</v>
      </c>
      <c r="S17" s="249" t="s">
        <v>15</v>
      </c>
      <c r="T17" s="249"/>
      <c r="U17" s="249"/>
      <c r="V17" s="250">
        <v>56</v>
      </c>
      <c r="X17" s="249" t="s">
        <v>10</v>
      </c>
      <c r="Y17" s="249" t="s">
        <v>13</v>
      </c>
      <c r="Z17" s="249" t="s">
        <v>27</v>
      </c>
      <c r="AA17" s="250">
        <f>1000*(22/350)</f>
        <v>62.857142857142861</v>
      </c>
    </row>
    <row r="18" spans="2:27" x14ac:dyDescent="0.2">
      <c r="B18" s="129" t="s">
        <v>76</v>
      </c>
      <c r="C18" s="254" t="s">
        <v>20</v>
      </c>
      <c r="D18" s="254" t="s">
        <v>82</v>
      </c>
      <c r="E18" s="254"/>
      <c r="F18" s="255">
        <v>35</v>
      </c>
      <c r="I18" s="85" t="s">
        <v>64</v>
      </c>
      <c r="J18" s="85" t="s">
        <v>22</v>
      </c>
      <c r="K18" s="85"/>
      <c r="L18" s="86">
        <v>23.9</v>
      </c>
      <c r="S18" s="247" t="s">
        <v>15</v>
      </c>
      <c r="T18" s="247" t="s">
        <v>32</v>
      </c>
      <c r="U18" s="247"/>
      <c r="V18" s="248">
        <v>69</v>
      </c>
      <c r="X18" s="247" t="s">
        <v>10</v>
      </c>
      <c r="Y18" s="247" t="s">
        <v>29</v>
      </c>
      <c r="Z18" s="247" t="s">
        <v>31</v>
      </c>
      <c r="AA18" s="248">
        <f>1000*(6.29/70)</f>
        <v>89.857142857142861</v>
      </c>
    </row>
    <row r="19" spans="2:27" x14ac:dyDescent="0.2">
      <c r="B19" s="129" t="s">
        <v>76</v>
      </c>
      <c r="C19" s="254" t="s">
        <v>20</v>
      </c>
      <c r="D19" s="254" t="s">
        <v>32</v>
      </c>
      <c r="E19" s="254"/>
      <c r="F19" s="255">
        <v>30</v>
      </c>
      <c r="I19" s="83" t="s">
        <v>64</v>
      </c>
      <c r="J19" s="83"/>
      <c r="K19" s="83"/>
      <c r="L19" s="84">
        <v>25.1</v>
      </c>
      <c r="N19" s="249" t="s">
        <v>96</v>
      </c>
      <c r="O19" s="249" t="s">
        <v>32</v>
      </c>
      <c r="P19" s="249"/>
      <c r="Q19" s="250">
        <v>23.99</v>
      </c>
      <c r="S19" s="249" t="s">
        <v>15</v>
      </c>
      <c r="T19" s="249" t="s">
        <v>72</v>
      </c>
      <c r="U19" s="249"/>
      <c r="V19" s="250">
        <v>12.7</v>
      </c>
      <c r="X19" s="249" t="s">
        <v>10</v>
      </c>
      <c r="Y19" s="249" t="s">
        <v>13</v>
      </c>
      <c r="Z19" s="249" t="s">
        <v>31</v>
      </c>
      <c r="AA19" s="250">
        <f>1000*(26.5/350)</f>
        <v>75.714285714285722</v>
      </c>
    </row>
    <row r="20" spans="2:27" x14ac:dyDescent="0.2">
      <c r="B20" s="129" t="s">
        <v>76</v>
      </c>
      <c r="C20" s="254" t="s">
        <v>83</v>
      </c>
      <c r="D20" s="254" t="s">
        <v>84</v>
      </c>
      <c r="E20" s="254"/>
      <c r="F20" s="255">
        <v>63.5</v>
      </c>
      <c r="I20" s="85" t="s">
        <v>64</v>
      </c>
      <c r="J20" s="85" t="s">
        <v>86</v>
      </c>
      <c r="K20" s="85"/>
      <c r="L20" s="86">
        <v>25.1</v>
      </c>
      <c r="S20" s="247" t="s">
        <v>15</v>
      </c>
      <c r="T20" s="247" t="s">
        <v>92</v>
      </c>
      <c r="U20" s="247"/>
      <c r="V20" s="248">
        <v>12.85</v>
      </c>
      <c r="X20" s="247" t="s">
        <v>10</v>
      </c>
      <c r="Y20" s="247" t="s">
        <v>35</v>
      </c>
      <c r="Z20" s="247"/>
      <c r="AA20" s="248">
        <f>39.9/2.5</f>
        <v>15.959999999999999</v>
      </c>
    </row>
    <row r="21" spans="2:27" x14ac:dyDescent="0.2">
      <c r="B21" s="129" t="s">
        <v>76</v>
      </c>
      <c r="C21" s="254" t="s">
        <v>83</v>
      </c>
      <c r="D21" s="254" t="s">
        <v>84</v>
      </c>
      <c r="E21" s="254"/>
      <c r="F21" s="255">
        <v>61.5</v>
      </c>
      <c r="N21" s="247" t="s">
        <v>78</v>
      </c>
      <c r="O21" s="247" t="s">
        <v>32</v>
      </c>
      <c r="P21" s="247"/>
      <c r="Q21" s="248">
        <f>15*5</f>
        <v>75</v>
      </c>
      <c r="X21" s="249" t="s">
        <v>10</v>
      </c>
      <c r="Y21" s="249" t="s">
        <v>35</v>
      </c>
      <c r="Z21" s="249"/>
      <c r="AA21" s="250">
        <f>29.9/1.3</f>
        <v>22.999999999999996</v>
      </c>
    </row>
    <row r="22" spans="2:27" x14ac:dyDescent="0.2">
      <c r="B22" s="129" t="s">
        <v>76</v>
      </c>
      <c r="C22" s="254" t="s">
        <v>83</v>
      </c>
      <c r="D22" s="254" t="s">
        <v>84</v>
      </c>
      <c r="E22" s="254"/>
      <c r="F22" s="255">
        <v>62</v>
      </c>
      <c r="I22" s="249" t="s">
        <v>30</v>
      </c>
      <c r="J22" s="249" t="s">
        <v>22</v>
      </c>
      <c r="K22" s="249"/>
      <c r="L22" s="250">
        <f>5.1*10</f>
        <v>51</v>
      </c>
      <c r="S22" s="249" t="s">
        <v>90</v>
      </c>
      <c r="T22" s="249" t="s">
        <v>91</v>
      </c>
      <c r="U22" s="249"/>
      <c r="V22" s="250">
        <v>14.2</v>
      </c>
      <c r="X22" s="247" t="s">
        <v>10</v>
      </c>
      <c r="Y22" s="247"/>
      <c r="Z22" s="247" t="s">
        <v>18</v>
      </c>
      <c r="AA22" s="248">
        <f>1000*(13.9/400)</f>
        <v>34.75</v>
      </c>
    </row>
    <row r="23" spans="2:27" x14ac:dyDescent="0.2">
      <c r="B23" s="129" t="s">
        <v>76</v>
      </c>
      <c r="C23" s="254" t="s">
        <v>66</v>
      </c>
      <c r="D23" s="254" t="s">
        <v>84</v>
      </c>
      <c r="E23" s="254"/>
      <c r="F23" s="255">
        <v>61.5</v>
      </c>
      <c r="I23" s="247" t="s">
        <v>30</v>
      </c>
      <c r="J23" s="247" t="s">
        <v>22</v>
      </c>
      <c r="K23" s="247" t="s">
        <v>31</v>
      </c>
      <c r="L23" s="248">
        <f>1000*(6.29/70)</f>
        <v>89.857142857142861</v>
      </c>
      <c r="N23" s="249" t="s">
        <v>57</v>
      </c>
      <c r="O23" s="249" t="s">
        <v>32</v>
      </c>
      <c r="P23" s="249"/>
      <c r="Q23" s="250">
        <f>1000*(11.1/230)</f>
        <v>48.260869565217391</v>
      </c>
      <c r="X23" s="249" t="s">
        <v>10</v>
      </c>
      <c r="Y23" s="249" t="s">
        <v>72</v>
      </c>
      <c r="Z23" s="249"/>
      <c r="AA23" s="250">
        <f>(80/4.5)</f>
        <v>17.777777777777779</v>
      </c>
    </row>
    <row r="24" spans="2:27" x14ac:dyDescent="0.2">
      <c r="B24" s="129" t="s">
        <v>76</v>
      </c>
      <c r="C24" s="254" t="s">
        <v>78</v>
      </c>
      <c r="D24" s="254" t="s">
        <v>32</v>
      </c>
      <c r="E24" s="254"/>
      <c r="F24" s="255">
        <f>15*5</f>
        <v>75</v>
      </c>
      <c r="I24" s="249" t="s">
        <v>30</v>
      </c>
      <c r="J24" s="249"/>
      <c r="K24" s="249"/>
      <c r="L24" s="250">
        <v>56</v>
      </c>
      <c r="N24" s="247" t="s">
        <v>57</v>
      </c>
      <c r="O24" s="247" t="s">
        <v>32</v>
      </c>
      <c r="P24" s="247"/>
      <c r="Q24" s="248">
        <f>1000*(9/260)</f>
        <v>34.61538461538462</v>
      </c>
      <c r="X24" s="256" t="s">
        <v>10</v>
      </c>
      <c r="Y24" s="256" t="s">
        <v>75</v>
      </c>
      <c r="Z24" s="256"/>
      <c r="AA24" s="257">
        <f>1000*(10.9/550)</f>
        <v>19.818181818181817</v>
      </c>
    </row>
    <row r="25" spans="2:27" x14ac:dyDescent="0.2">
      <c r="B25" s="129" t="s">
        <v>76</v>
      </c>
      <c r="C25" s="254" t="s">
        <v>57</v>
      </c>
      <c r="D25" s="254" t="s">
        <v>32</v>
      </c>
      <c r="E25" s="254"/>
      <c r="F25" s="255">
        <f>1000*(11.1/230)</f>
        <v>48.260869565217391</v>
      </c>
      <c r="N25" s="249" t="s">
        <v>57</v>
      </c>
      <c r="O25" s="249" t="s">
        <v>32</v>
      </c>
      <c r="P25" s="249"/>
      <c r="Q25" s="250">
        <v>16.899999999999999</v>
      </c>
      <c r="X25" s="249" t="s">
        <v>10</v>
      </c>
      <c r="Y25" s="249"/>
      <c r="Z25" s="249"/>
      <c r="AA25" s="250">
        <f>310/7</f>
        <v>44.285714285714285</v>
      </c>
    </row>
    <row r="26" spans="2:27" x14ac:dyDescent="0.2">
      <c r="B26" s="129" t="s">
        <v>76</v>
      </c>
      <c r="C26" s="254" t="s">
        <v>57</v>
      </c>
      <c r="D26" s="254" t="s">
        <v>32</v>
      </c>
      <c r="E26" s="254"/>
      <c r="F26" s="255">
        <f>1000*(9/260)</f>
        <v>34.61538461538462</v>
      </c>
      <c r="I26" s="247" t="s">
        <v>79</v>
      </c>
      <c r="J26" s="247" t="s">
        <v>32</v>
      </c>
      <c r="K26" s="247"/>
      <c r="L26" s="248">
        <f>1000*(16.5/240)</f>
        <v>68.75</v>
      </c>
      <c r="N26" s="247" t="s">
        <v>57</v>
      </c>
      <c r="O26" s="247" t="s">
        <v>32</v>
      </c>
      <c r="P26" s="247"/>
      <c r="Q26" s="248">
        <v>15.55</v>
      </c>
      <c r="X26" s="247" t="s">
        <v>10</v>
      </c>
      <c r="Y26" s="247"/>
      <c r="Z26" s="247"/>
      <c r="AA26" s="248">
        <f>142/5</f>
        <v>28.4</v>
      </c>
    </row>
    <row r="27" spans="2:27" x14ac:dyDescent="0.2">
      <c r="B27" s="129" t="s">
        <v>76</v>
      </c>
      <c r="C27" s="254" t="s">
        <v>15</v>
      </c>
      <c r="D27" s="254" t="s">
        <v>32</v>
      </c>
      <c r="E27" s="254"/>
      <c r="F27" s="255">
        <v>56</v>
      </c>
      <c r="I27" s="249" t="s">
        <v>79</v>
      </c>
      <c r="J27" s="249" t="s">
        <v>32</v>
      </c>
      <c r="K27" s="249"/>
      <c r="L27" s="250">
        <f>1000*(15/290)</f>
        <v>51.724137931034484</v>
      </c>
      <c r="X27" s="249" t="s">
        <v>10</v>
      </c>
      <c r="Y27" s="249"/>
      <c r="Z27" s="249"/>
      <c r="AA27" s="250">
        <v>44</v>
      </c>
    </row>
    <row r="28" spans="2:27" x14ac:dyDescent="0.2">
      <c r="B28" s="129" t="s">
        <v>76</v>
      </c>
      <c r="C28" s="254" t="s">
        <v>15</v>
      </c>
      <c r="D28" s="254"/>
      <c r="E28" s="254"/>
      <c r="F28" s="255">
        <v>56</v>
      </c>
      <c r="X28" s="247" t="s">
        <v>10</v>
      </c>
      <c r="Y28" s="247"/>
      <c r="Z28" s="247"/>
      <c r="AA28" s="248">
        <v>45</v>
      </c>
    </row>
    <row r="29" spans="2:27" hidden="1" x14ac:dyDescent="0.2">
      <c r="B29" s="129" t="s">
        <v>9</v>
      </c>
      <c r="C29" s="254" t="s">
        <v>10</v>
      </c>
      <c r="D29" s="254"/>
      <c r="E29" s="254" t="s">
        <v>28</v>
      </c>
      <c r="F29" s="255"/>
      <c r="X29" s="249" t="s">
        <v>10</v>
      </c>
      <c r="Y29" s="249"/>
      <c r="Z29" s="249"/>
      <c r="AA29" s="250">
        <f>1000*(15.9/360)</f>
        <v>44.166666666666664</v>
      </c>
    </row>
    <row r="30" spans="2:27" hidden="1" x14ac:dyDescent="0.2">
      <c r="B30" s="129" t="s">
        <v>33</v>
      </c>
      <c r="C30" s="254" t="s">
        <v>10</v>
      </c>
      <c r="D30" s="254" t="s">
        <v>34</v>
      </c>
      <c r="E30" s="254"/>
      <c r="F30" s="255"/>
      <c r="X30" s="247" t="s">
        <v>10</v>
      </c>
      <c r="Y30" s="247"/>
      <c r="Z30" s="247"/>
      <c r="AA30" s="248">
        <f>1000*(30.5/720)</f>
        <v>42.361111111111114</v>
      </c>
    </row>
    <row r="31" spans="2:27" hidden="1" x14ac:dyDescent="0.2">
      <c r="B31" s="129" t="s">
        <v>33</v>
      </c>
      <c r="C31" s="254" t="s">
        <v>10</v>
      </c>
      <c r="D31" s="254" t="s">
        <v>34</v>
      </c>
      <c r="E31" s="254"/>
      <c r="F31" s="255"/>
      <c r="X31" s="249" t="s">
        <v>10</v>
      </c>
      <c r="Y31" s="249"/>
      <c r="Z31" s="249"/>
      <c r="AA31" s="250">
        <v>64</v>
      </c>
    </row>
    <row r="32" spans="2:27" hidden="1" x14ac:dyDescent="0.2">
      <c r="B32" s="129" t="s">
        <v>33</v>
      </c>
      <c r="C32" s="254" t="s">
        <v>10</v>
      </c>
      <c r="D32" s="254" t="s">
        <v>34</v>
      </c>
      <c r="E32" s="254"/>
      <c r="F32" s="255"/>
      <c r="X32" s="247" t="s">
        <v>10</v>
      </c>
      <c r="Y32" s="247" t="s">
        <v>92</v>
      </c>
      <c r="Z32" s="247"/>
      <c r="AA32" s="248">
        <v>12.8</v>
      </c>
    </row>
    <row r="33" spans="2:27" hidden="1" x14ac:dyDescent="0.2">
      <c r="B33" s="129" t="s">
        <v>33</v>
      </c>
      <c r="C33" s="254" t="s">
        <v>10</v>
      </c>
      <c r="D33" s="254" t="s">
        <v>34</v>
      </c>
      <c r="E33" s="254"/>
      <c r="F33" s="255"/>
      <c r="X33" s="249" t="s">
        <v>10</v>
      </c>
      <c r="Y33" s="249" t="s">
        <v>45</v>
      </c>
      <c r="Z33" s="249"/>
      <c r="AA33" s="250">
        <v>12.5</v>
      </c>
    </row>
    <row r="34" spans="2:27" hidden="1" x14ac:dyDescent="0.2">
      <c r="B34" s="129" t="s">
        <v>33</v>
      </c>
      <c r="C34" s="254" t="s">
        <v>10</v>
      </c>
      <c r="D34" s="254" t="s">
        <v>34</v>
      </c>
      <c r="E34" s="254"/>
      <c r="F34" s="255"/>
      <c r="X34" s="247" t="s">
        <v>10</v>
      </c>
      <c r="Y34" s="247" t="s">
        <v>94</v>
      </c>
      <c r="Z34" s="247"/>
      <c r="AA34" s="248">
        <v>15.5</v>
      </c>
    </row>
    <row r="35" spans="2:27" hidden="1" x14ac:dyDescent="0.2">
      <c r="B35" s="129" t="s">
        <v>33</v>
      </c>
      <c r="C35" s="254" t="s">
        <v>10</v>
      </c>
      <c r="D35" s="254" t="s">
        <v>34</v>
      </c>
      <c r="E35" s="254"/>
      <c r="F35" s="255"/>
      <c r="X35" s="249" t="s">
        <v>10</v>
      </c>
      <c r="Y35" s="249" t="s">
        <v>94</v>
      </c>
      <c r="Z35" s="249"/>
      <c r="AA35" s="250">
        <v>18</v>
      </c>
    </row>
    <row r="36" spans="2:27" hidden="1" x14ac:dyDescent="0.2">
      <c r="B36" s="129" t="s">
        <v>33</v>
      </c>
      <c r="C36" s="254" t="s">
        <v>10</v>
      </c>
      <c r="D36" s="254" t="s">
        <v>34</v>
      </c>
      <c r="E36" s="254"/>
      <c r="F36" s="255"/>
      <c r="X36" s="247" t="s">
        <v>10</v>
      </c>
      <c r="Y36" s="247" t="s">
        <v>94</v>
      </c>
      <c r="Z36" s="247"/>
      <c r="AA36" s="248">
        <v>18</v>
      </c>
    </row>
    <row r="37" spans="2:27" x14ac:dyDescent="0.2">
      <c r="B37" s="129" t="s">
        <v>76</v>
      </c>
      <c r="C37" s="254" t="s">
        <v>15</v>
      </c>
      <c r="D37" s="254" t="s">
        <v>32</v>
      </c>
      <c r="E37" s="254"/>
      <c r="F37" s="255">
        <v>69</v>
      </c>
      <c r="X37" s="249" t="s">
        <v>10</v>
      </c>
      <c r="Y37" s="249" t="s">
        <v>94</v>
      </c>
      <c r="Z37" s="249"/>
      <c r="AA37" s="250">
        <v>24</v>
      </c>
    </row>
    <row r="38" spans="2:27" x14ac:dyDescent="0.2">
      <c r="B38" s="129" t="s">
        <v>76</v>
      </c>
      <c r="C38" s="254" t="s">
        <v>10</v>
      </c>
      <c r="D38" s="254"/>
      <c r="E38" s="254"/>
      <c r="F38" s="255">
        <f>310/7</f>
        <v>44.285714285714285</v>
      </c>
      <c r="X38" s="247" t="s">
        <v>10</v>
      </c>
      <c r="Y38" s="247" t="s">
        <v>95</v>
      </c>
      <c r="Z38" s="247"/>
      <c r="AA38" s="248">
        <v>20.25</v>
      </c>
    </row>
    <row r="39" spans="2:27" hidden="1" x14ac:dyDescent="0.2">
      <c r="B39" s="129" t="s">
        <v>33</v>
      </c>
      <c r="C39" s="254" t="s">
        <v>10</v>
      </c>
      <c r="D39" s="254" t="s">
        <v>35</v>
      </c>
      <c r="E39" s="254"/>
      <c r="F39" s="255"/>
      <c r="X39" s="249" t="s">
        <v>10</v>
      </c>
      <c r="Y39" s="249" t="s">
        <v>95</v>
      </c>
      <c r="Z39" s="249"/>
      <c r="AA39" s="250">
        <v>20.25</v>
      </c>
    </row>
    <row r="40" spans="2:27" hidden="1" x14ac:dyDescent="0.2">
      <c r="B40" s="129" t="s">
        <v>33</v>
      </c>
      <c r="C40" s="254" t="s">
        <v>10</v>
      </c>
      <c r="D40" s="254" t="s">
        <v>35</v>
      </c>
      <c r="E40" s="254"/>
      <c r="F40" s="255"/>
      <c r="X40" s="247" t="s">
        <v>10</v>
      </c>
      <c r="Y40" s="247" t="s">
        <v>95</v>
      </c>
      <c r="Z40" s="247"/>
      <c r="AA40" s="248">
        <v>21.85</v>
      </c>
    </row>
    <row r="41" spans="2:27" hidden="1" x14ac:dyDescent="0.2">
      <c r="B41" s="129" t="s">
        <v>33</v>
      </c>
      <c r="C41" s="254" t="s">
        <v>10</v>
      </c>
      <c r="D41" s="254" t="s">
        <v>35</v>
      </c>
      <c r="E41" s="254"/>
      <c r="F41" s="255"/>
      <c r="X41" s="249" t="s">
        <v>36</v>
      </c>
      <c r="Y41" s="249" t="s">
        <v>72</v>
      </c>
      <c r="Z41" s="249"/>
      <c r="AA41" s="250">
        <v>12.8</v>
      </c>
    </row>
    <row r="42" spans="2:27" hidden="1" x14ac:dyDescent="0.2">
      <c r="B42" s="129" t="s">
        <v>33</v>
      </c>
      <c r="C42" s="254" t="s">
        <v>10</v>
      </c>
      <c r="D42" s="254" t="s">
        <v>35</v>
      </c>
      <c r="E42" s="254"/>
      <c r="F42" s="255"/>
      <c r="X42" s="247" t="s">
        <v>36</v>
      </c>
      <c r="Y42" s="247" t="s">
        <v>95</v>
      </c>
      <c r="Z42" s="247"/>
      <c r="AA42" s="248">
        <v>18</v>
      </c>
    </row>
    <row r="43" spans="2:27" hidden="1" x14ac:dyDescent="0.2">
      <c r="B43" s="129" t="s">
        <v>33</v>
      </c>
      <c r="C43" s="254" t="s">
        <v>10</v>
      </c>
      <c r="D43" s="254" t="s">
        <v>35</v>
      </c>
      <c r="E43" s="254"/>
      <c r="F43" s="255"/>
    </row>
    <row r="44" spans="2:27" hidden="1" x14ac:dyDescent="0.2">
      <c r="B44" s="129" t="s">
        <v>33</v>
      </c>
      <c r="C44" s="254" t="s">
        <v>36</v>
      </c>
      <c r="D44" s="254" t="s">
        <v>37</v>
      </c>
      <c r="E44" s="254"/>
      <c r="F44" s="255"/>
    </row>
    <row r="45" spans="2:27" hidden="1" x14ac:dyDescent="0.2">
      <c r="B45" s="129" t="s">
        <v>33</v>
      </c>
      <c r="C45" s="254" t="s">
        <v>36</v>
      </c>
      <c r="D45" s="254" t="s">
        <v>37</v>
      </c>
      <c r="E45" s="254"/>
      <c r="F45" s="255"/>
    </row>
    <row r="46" spans="2:27" hidden="1" x14ac:dyDescent="0.2">
      <c r="B46" s="129" t="s">
        <v>33</v>
      </c>
      <c r="C46" s="254" t="s">
        <v>36</v>
      </c>
      <c r="D46" s="254" t="s">
        <v>37</v>
      </c>
      <c r="E46" s="254"/>
      <c r="F46" s="255"/>
    </row>
    <row r="47" spans="2:27" hidden="1" x14ac:dyDescent="0.2">
      <c r="B47" s="129" t="s">
        <v>33</v>
      </c>
      <c r="C47" s="254" t="s">
        <v>36</v>
      </c>
      <c r="D47" s="254" t="s">
        <v>37</v>
      </c>
      <c r="E47" s="254"/>
      <c r="F47" s="255"/>
    </row>
    <row r="48" spans="2:27" hidden="1" x14ac:dyDescent="0.2">
      <c r="B48" s="129" t="s">
        <v>33</v>
      </c>
      <c r="C48" s="254" t="s">
        <v>36</v>
      </c>
      <c r="D48" s="254" t="s">
        <v>37</v>
      </c>
      <c r="E48" s="254"/>
      <c r="F48" s="255"/>
    </row>
    <row r="49" spans="2:6" hidden="1" x14ac:dyDescent="0.2">
      <c r="B49" s="129" t="s">
        <v>33</v>
      </c>
      <c r="C49" s="254" t="s">
        <v>36</v>
      </c>
      <c r="D49" s="254" t="s">
        <v>37</v>
      </c>
      <c r="E49" s="254"/>
      <c r="F49" s="255"/>
    </row>
    <row r="50" spans="2:6" hidden="1" x14ac:dyDescent="0.2">
      <c r="B50" s="129" t="s">
        <v>33</v>
      </c>
      <c r="C50" s="254" t="s">
        <v>15</v>
      </c>
      <c r="D50" s="254" t="s">
        <v>38</v>
      </c>
      <c r="E50" s="254"/>
      <c r="F50" s="255"/>
    </row>
    <row r="51" spans="2:6" hidden="1" x14ac:dyDescent="0.2">
      <c r="B51" s="129" t="s">
        <v>33</v>
      </c>
      <c r="C51" s="254" t="s">
        <v>15</v>
      </c>
      <c r="D51" s="254" t="s">
        <v>38</v>
      </c>
      <c r="E51" s="254"/>
      <c r="F51" s="255"/>
    </row>
    <row r="52" spans="2:6" hidden="1" x14ac:dyDescent="0.2">
      <c r="B52" s="129" t="s">
        <v>33</v>
      </c>
      <c r="C52" s="254" t="s">
        <v>15</v>
      </c>
      <c r="D52" s="254" t="s">
        <v>38</v>
      </c>
      <c r="E52" s="254"/>
      <c r="F52" s="255"/>
    </row>
    <row r="53" spans="2:6" hidden="1" x14ac:dyDescent="0.2">
      <c r="B53" s="129" t="s">
        <v>33</v>
      </c>
      <c r="C53" s="254" t="s">
        <v>15</v>
      </c>
      <c r="D53" s="254" t="s">
        <v>38</v>
      </c>
      <c r="E53" s="254"/>
      <c r="F53" s="255"/>
    </row>
    <row r="54" spans="2:6" hidden="1" x14ac:dyDescent="0.2">
      <c r="B54" s="129" t="s">
        <v>33</v>
      </c>
      <c r="C54" s="254" t="s">
        <v>15</v>
      </c>
      <c r="D54" s="254" t="s">
        <v>39</v>
      </c>
      <c r="E54" s="254"/>
      <c r="F54" s="255"/>
    </row>
    <row r="55" spans="2:6" hidden="1" x14ac:dyDescent="0.2">
      <c r="B55" s="129" t="s">
        <v>33</v>
      </c>
      <c r="C55" s="254" t="s">
        <v>15</v>
      </c>
      <c r="D55" s="254" t="s">
        <v>39</v>
      </c>
      <c r="E55" s="254"/>
      <c r="F55" s="255"/>
    </row>
    <row r="56" spans="2:6" hidden="1" x14ac:dyDescent="0.2">
      <c r="B56" s="129" t="s">
        <v>33</v>
      </c>
      <c r="C56" s="254" t="s">
        <v>15</v>
      </c>
      <c r="D56" s="254" t="s">
        <v>40</v>
      </c>
      <c r="E56" s="254"/>
      <c r="F56" s="255"/>
    </row>
    <row r="57" spans="2:6" hidden="1" x14ac:dyDescent="0.2">
      <c r="B57" s="129" t="s">
        <v>33</v>
      </c>
      <c r="C57" s="254" t="s">
        <v>15</v>
      </c>
      <c r="D57" s="254" t="s">
        <v>40</v>
      </c>
      <c r="E57" s="254"/>
      <c r="F57" s="255"/>
    </row>
    <row r="58" spans="2:6" hidden="1" x14ac:dyDescent="0.2">
      <c r="B58" s="129" t="s">
        <v>33</v>
      </c>
      <c r="C58" s="254" t="s">
        <v>15</v>
      </c>
      <c r="D58" s="254" t="s">
        <v>41</v>
      </c>
      <c r="E58" s="254"/>
      <c r="F58" s="255"/>
    </row>
    <row r="59" spans="2:6" hidden="1" x14ac:dyDescent="0.2">
      <c r="B59" s="129" t="s">
        <v>33</v>
      </c>
      <c r="C59" s="254" t="s">
        <v>15</v>
      </c>
      <c r="D59" s="254" t="s">
        <v>42</v>
      </c>
      <c r="E59" s="254"/>
      <c r="F59" s="255"/>
    </row>
    <row r="60" spans="2:6" hidden="1" x14ac:dyDescent="0.2">
      <c r="B60" s="129" t="s">
        <v>33</v>
      </c>
      <c r="C60" s="254" t="s">
        <v>15</v>
      </c>
      <c r="D60" s="254" t="s">
        <v>42</v>
      </c>
      <c r="E60" s="254"/>
      <c r="F60" s="255"/>
    </row>
    <row r="61" spans="2:6" hidden="1" x14ac:dyDescent="0.2">
      <c r="B61" s="129" t="s">
        <v>33</v>
      </c>
      <c r="C61" s="254" t="s">
        <v>15</v>
      </c>
      <c r="D61" s="254" t="s">
        <v>44</v>
      </c>
      <c r="E61" s="254"/>
      <c r="F61" s="255"/>
    </row>
    <row r="62" spans="2:6" hidden="1" x14ac:dyDescent="0.2">
      <c r="B62" s="129" t="s">
        <v>33</v>
      </c>
      <c r="C62" s="254" t="s">
        <v>15</v>
      </c>
      <c r="D62" s="254" t="s">
        <v>44</v>
      </c>
      <c r="E62" s="254"/>
      <c r="F62" s="255"/>
    </row>
    <row r="63" spans="2:6" hidden="1" x14ac:dyDescent="0.2">
      <c r="B63" s="129" t="s">
        <v>33</v>
      </c>
      <c r="C63" s="254" t="s">
        <v>15</v>
      </c>
      <c r="D63" s="254" t="s">
        <v>43</v>
      </c>
      <c r="E63" s="254"/>
      <c r="F63" s="255"/>
    </row>
    <row r="64" spans="2:6" hidden="1" x14ac:dyDescent="0.2">
      <c r="B64" s="129" t="s">
        <v>33</v>
      </c>
      <c r="C64" s="254" t="s">
        <v>15</v>
      </c>
      <c r="D64" s="254" t="s">
        <v>43</v>
      </c>
      <c r="E64" s="254"/>
      <c r="F64" s="255"/>
    </row>
    <row r="65" spans="2:6" hidden="1" x14ac:dyDescent="0.2">
      <c r="B65" s="129" t="s">
        <v>33</v>
      </c>
      <c r="C65" s="254" t="s">
        <v>10</v>
      </c>
      <c r="D65" s="254" t="s">
        <v>45</v>
      </c>
      <c r="E65" s="254"/>
      <c r="F65" s="255"/>
    </row>
    <row r="66" spans="2:6" hidden="1" x14ac:dyDescent="0.2">
      <c r="B66" s="129" t="s">
        <v>33</v>
      </c>
      <c r="C66" s="254" t="s">
        <v>10</v>
      </c>
      <c r="D66" s="254" t="s">
        <v>45</v>
      </c>
      <c r="E66" s="254"/>
      <c r="F66" s="255"/>
    </row>
    <row r="67" spans="2:6" hidden="1" x14ac:dyDescent="0.2">
      <c r="B67" s="129" t="s">
        <v>33</v>
      </c>
      <c r="C67" s="254" t="s">
        <v>15</v>
      </c>
      <c r="D67" s="254" t="s">
        <v>46</v>
      </c>
      <c r="E67" s="254"/>
      <c r="F67" s="255"/>
    </row>
    <row r="68" spans="2:6" hidden="1" x14ac:dyDescent="0.2">
      <c r="B68" s="129" t="s">
        <v>33</v>
      </c>
      <c r="C68" s="254" t="s">
        <v>15</v>
      </c>
      <c r="D68" s="254" t="s">
        <v>46</v>
      </c>
      <c r="E68" s="254"/>
      <c r="F68" s="255"/>
    </row>
    <row r="69" spans="2:6" hidden="1" x14ac:dyDescent="0.2">
      <c r="B69" s="129" t="s">
        <v>33</v>
      </c>
      <c r="C69" s="254" t="s">
        <v>15</v>
      </c>
      <c r="D69" s="254" t="s">
        <v>47</v>
      </c>
      <c r="E69" s="254"/>
      <c r="F69" s="255"/>
    </row>
    <row r="70" spans="2:6" hidden="1" x14ac:dyDescent="0.2">
      <c r="B70" s="129" t="s">
        <v>33</v>
      </c>
      <c r="C70" s="254" t="s">
        <v>15</v>
      </c>
      <c r="D70" s="254" t="s">
        <v>47</v>
      </c>
      <c r="E70" s="254"/>
      <c r="F70" s="255"/>
    </row>
    <row r="71" spans="2:6" hidden="1" x14ac:dyDescent="0.2">
      <c r="B71" s="129" t="s">
        <v>33</v>
      </c>
      <c r="C71" s="254" t="s">
        <v>15</v>
      </c>
      <c r="D71" s="254" t="s">
        <v>47</v>
      </c>
      <c r="E71" s="254"/>
      <c r="F71" s="255"/>
    </row>
    <row r="72" spans="2:6" hidden="1" x14ac:dyDescent="0.2">
      <c r="B72" s="129" t="s">
        <v>33</v>
      </c>
      <c r="C72" s="254" t="s">
        <v>15</v>
      </c>
      <c r="D72" s="254" t="s">
        <v>47</v>
      </c>
      <c r="E72" s="254"/>
      <c r="F72" s="255"/>
    </row>
    <row r="73" spans="2:6" hidden="1" x14ac:dyDescent="0.2">
      <c r="B73" s="129" t="s">
        <v>33</v>
      </c>
      <c r="C73" s="254" t="s">
        <v>15</v>
      </c>
      <c r="D73" s="254" t="s">
        <v>47</v>
      </c>
      <c r="E73" s="254"/>
      <c r="F73" s="255"/>
    </row>
    <row r="74" spans="2:6" hidden="1" x14ac:dyDescent="0.2">
      <c r="B74" s="129" t="s">
        <v>33</v>
      </c>
      <c r="C74" s="254" t="s">
        <v>15</v>
      </c>
      <c r="D74" s="254" t="s">
        <v>48</v>
      </c>
      <c r="E74" s="254"/>
      <c r="F74" s="255"/>
    </row>
    <row r="75" spans="2:6" hidden="1" x14ac:dyDescent="0.2">
      <c r="B75" s="129" t="s">
        <v>33</v>
      </c>
      <c r="C75" s="254" t="s">
        <v>15</v>
      </c>
      <c r="D75" s="254" t="s">
        <v>48</v>
      </c>
      <c r="E75" s="254"/>
      <c r="F75" s="255"/>
    </row>
    <row r="76" spans="2:6" hidden="1" x14ac:dyDescent="0.2">
      <c r="B76" s="129" t="s">
        <v>33</v>
      </c>
      <c r="C76" s="254" t="s">
        <v>15</v>
      </c>
      <c r="D76" s="254" t="s">
        <v>47</v>
      </c>
      <c r="E76" s="254"/>
      <c r="F76" s="255"/>
    </row>
    <row r="77" spans="2:6" hidden="1" x14ac:dyDescent="0.2">
      <c r="B77" s="129" t="s">
        <v>33</v>
      </c>
      <c r="C77" s="254" t="s">
        <v>49</v>
      </c>
      <c r="D77" s="254" t="s">
        <v>34</v>
      </c>
      <c r="E77" s="254"/>
      <c r="F77" s="255"/>
    </row>
    <row r="78" spans="2:6" hidden="1" x14ac:dyDescent="0.2">
      <c r="B78" s="129" t="s">
        <v>33</v>
      </c>
      <c r="C78" s="254" t="s">
        <v>50</v>
      </c>
      <c r="D78" s="254" t="s">
        <v>51</v>
      </c>
      <c r="E78" s="254"/>
      <c r="F78" s="255"/>
    </row>
    <row r="79" spans="2:6" hidden="1" x14ac:dyDescent="0.2">
      <c r="B79" s="129" t="s">
        <v>33</v>
      </c>
      <c r="C79" s="254" t="s">
        <v>52</v>
      </c>
      <c r="D79" s="254" t="s">
        <v>53</v>
      </c>
      <c r="E79" s="254"/>
      <c r="F79" s="255"/>
    </row>
    <row r="80" spans="2:6" hidden="1" x14ac:dyDescent="0.2">
      <c r="B80" s="129" t="s">
        <v>33</v>
      </c>
      <c r="C80" s="254" t="s">
        <v>54</v>
      </c>
      <c r="D80" s="254" t="s">
        <v>45</v>
      </c>
      <c r="E80" s="254"/>
      <c r="F80" s="255"/>
    </row>
    <row r="81" spans="2:6" hidden="1" x14ac:dyDescent="0.2">
      <c r="B81" s="129" t="s">
        <v>33</v>
      </c>
      <c r="C81" s="254" t="s">
        <v>54</v>
      </c>
      <c r="D81" s="254" t="s">
        <v>45</v>
      </c>
      <c r="E81" s="254"/>
      <c r="F81" s="255"/>
    </row>
    <row r="82" spans="2:6" hidden="1" x14ac:dyDescent="0.2">
      <c r="B82" s="129" t="s">
        <v>33</v>
      </c>
      <c r="C82" s="254" t="s">
        <v>55</v>
      </c>
      <c r="D82" s="254" t="s">
        <v>56</v>
      </c>
      <c r="E82" s="254"/>
      <c r="F82" s="255"/>
    </row>
    <row r="83" spans="2:6" hidden="1" x14ac:dyDescent="0.2">
      <c r="B83" s="129" t="s">
        <v>33</v>
      </c>
      <c r="C83" s="254" t="s">
        <v>57</v>
      </c>
      <c r="D83" s="254" t="s">
        <v>58</v>
      </c>
      <c r="E83" s="254" t="s">
        <v>18</v>
      </c>
      <c r="F83" s="255"/>
    </row>
    <row r="84" spans="2:6" hidden="1" x14ac:dyDescent="0.2">
      <c r="B84" s="129" t="s">
        <v>33</v>
      </c>
      <c r="C84" s="254" t="s">
        <v>57</v>
      </c>
      <c r="D84" s="254" t="s">
        <v>58</v>
      </c>
      <c r="E84" s="254" t="s">
        <v>18</v>
      </c>
      <c r="F84" s="255"/>
    </row>
    <row r="85" spans="2:6" hidden="1" x14ac:dyDescent="0.2">
      <c r="B85" s="129" t="s">
        <v>33</v>
      </c>
      <c r="C85" s="254" t="s">
        <v>57</v>
      </c>
      <c r="D85" s="254" t="s">
        <v>58</v>
      </c>
      <c r="E85" s="254" t="s">
        <v>18</v>
      </c>
      <c r="F85" s="255"/>
    </row>
    <row r="86" spans="2:6" hidden="1" x14ac:dyDescent="0.2">
      <c r="B86" s="129" t="s">
        <v>33</v>
      </c>
      <c r="C86" s="254" t="s">
        <v>57</v>
      </c>
      <c r="D86" s="254" t="s">
        <v>58</v>
      </c>
      <c r="E86" s="254" t="s">
        <v>18</v>
      </c>
      <c r="F86" s="255"/>
    </row>
    <row r="87" spans="2:6" hidden="1" x14ac:dyDescent="0.2">
      <c r="B87" s="129" t="s">
        <v>33</v>
      </c>
      <c r="C87" s="254" t="s">
        <v>57</v>
      </c>
      <c r="D87" s="254" t="s">
        <v>58</v>
      </c>
      <c r="E87" s="254"/>
      <c r="F87" s="255"/>
    </row>
    <row r="88" spans="2:6" hidden="1" x14ac:dyDescent="0.2">
      <c r="B88" s="129" t="s">
        <v>33</v>
      </c>
      <c r="C88" s="254" t="s">
        <v>57</v>
      </c>
      <c r="D88" s="254" t="s">
        <v>58</v>
      </c>
      <c r="E88" s="254"/>
      <c r="F88" s="255"/>
    </row>
    <row r="89" spans="2:6" hidden="1" x14ac:dyDescent="0.2">
      <c r="B89" s="129" t="s">
        <v>33</v>
      </c>
      <c r="C89" s="254" t="s">
        <v>57</v>
      </c>
      <c r="D89" s="254" t="s">
        <v>58</v>
      </c>
      <c r="E89" s="254"/>
      <c r="F89" s="255"/>
    </row>
    <row r="90" spans="2:6" hidden="1" x14ac:dyDescent="0.2">
      <c r="B90" s="129" t="s">
        <v>33</v>
      </c>
      <c r="C90" s="254" t="s">
        <v>57</v>
      </c>
      <c r="D90" s="254" t="s">
        <v>58</v>
      </c>
      <c r="E90" s="254"/>
      <c r="F90" s="255"/>
    </row>
    <row r="91" spans="2:6" hidden="1" x14ac:dyDescent="0.2">
      <c r="B91" s="129" t="s">
        <v>33</v>
      </c>
      <c r="C91" s="254" t="s">
        <v>57</v>
      </c>
      <c r="D91" s="254" t="s">
        <v>58</v>
      </c>
      <c r="E91" s="254"/>
      <c r="F91" s="255"/>
    </row>
    <row r="92" spans="2:6" hidden="1" x14ac:dyDescent="0.2">
      <c r="B92" s="129" t="s">
        <v>33</v>
      </c>
      <c r="C92" s="254" t="s">
        <v>57</v>
      </c>
      <c r="D92" s="254" t="s">
        <v>58</v>
      </c>
      <c r="E92" s="254"/>
      <c r="F92" s="255"/>
    </row>
    <row r="93" spans="2:6" hidden="1" x14ac:dyDescent="0.2">
      <c r="B93" s="129" t="s">
        <v>33</v>
      </c>
      <c r="C93" s="254" t="s">
        <v>57</v>
      </c>
      <c r="D93" s="254" t="s">
        <v>58</v>
      </c>
      <c r="E93" s="254"/>
      <c r="F93" s="255"/>
    </row>
    <row r="94" spans="2:6" hidden="1" x14ac:dyDescent="0.2">
      <c r="B94" s="129" t="s">
        <v>33</v>
      </c>
      <c r="C94" s="254" t="s">
        <v>57</v>
      </c>
      <c r="D94" s="254" t="s">
        <v>58</v>
      </c>
      <c r="E94" s="254"/>
      <c r="F94" s="255"/>
    </row>
    <row r="95" spans="2:6" hidden="1" x14ac:dyDescent="0.2">
      <c r="B95" s="129" t="s">
        <v>33</v>
      </c>
      <c r="C95" s="254" t="s">
        <v>57</v>
      </c>
      <c r="D95" s="254" t="s">
        <v>58</v>
      </c>
      <c r="E95" s="254"/>
      <c r="F95" s="255"/>
    </row>
    <row r="96" spans="2:6" hidden="1" x14ac:dyDescent="0.2">
      <c r="B96" s="129" t="s">
        <v>33</v>
      </c>
      <c r="C96" s="254" t="s">
        <v>57</v>
      </c>
      <c r="D96" s="254" t="s">
        <v>58</v>
      </c>
      <c r="E96" s="254"/>
      <c r="F96" s="255"/>
    </row>
    <row r="97" spans="2:6" hidden="1" x14ac:dyDescent="0.2">
      <c r="B97" s="129" t="s">
        <v>33</v>
      </c>
      <c r="C97" s="254" t="s">
        <v>57</v>
      </c>
      <c r="D97" s="254" t="s">
        <v>58</v>
      </c>
      <c r="E97" s="254"/>
      <c r="F97" s="255"/>
    </row>
    <row r="98" spans="2:6" hidden="1" x14ac:dyDescent="0.2">
      <c r="B98" s="129" t="s">
        <v>33</v>
      </c>
      <c r="C98" s="254" t="s">
        <v>57</v>
      </c>
      <c r="D98" s="254" t="s">
        <v>58</v>
      </c>
      <c r="E98" s="254"/>
      <c r="F98" s="255"/>
    </row>
    <row r="99" spans="2:6" hidden="1" x14ac:dyDescent="0.2">
      <c r="B99" s="129" t="s">
        <v>33</v>
      </c>
      <c r="C99" s="254" t="s">
        <v>57</v>
      </c>
      <c r="D99" s="254" t="s">
        <v>58</v>
      </c>
      <c r="E99" s="254"/>
      <c r="F99" s="255"/>
    </row>
    <row r="100" spans="2:6" hidden="1" x14ac:dyDescent="0.2">
      <c r="B100" s="129" t="s">
        <v>33</v>
      </c>
      <c r="C100" s="254" t="s">
        <v>57</v>
      </c>
      <c r="D100" s="254" t="s">
        <v>58</v>
      </c>
      <c r="E100" s="254"/>
      <c r="F100" s="255"/>
    </row>
    <row r="101" spans="2:6" hidden="1" x14ac:dyDescent="0.2">
      <c r="B101" s="129" t="s">
        <v>33</v>
      </c>
      <c r="C101" s="254" t="s">
        <v>17</v>
      </c>
      <c r="D101" s="254" t="s">
        <v>32</v>
      </c>
      <c r="E101" s="254"/>
      <c r="F101" s="255"/>
    </row>
    <row r="102" spans="2:6" hidden="1" x14ac:dyDescent="0.2">
      <c r="B102" s="129" t="s">
        <v>33</v>
      </c>
      <c r="C102" s="254" t="s">
        <v>17</v>
      </c>
      <c r="D102" s="254" t="s">
        <v>32</v>
      </c>
      <c r="E102" s="254"/>
      <c r="F102" s="255"/>
    </row>
    <row r="103" spans="2:6" hidden="1" x14ac:dyDescent="0.2">
      <c r="B103" s="129" t="s">
        <v>33</v>
      </c>
      <c r="C103" s="254" t="s">
        <v>17</v>
      </c>
      <c r="D103" s="254" t="s">
        <v>32</v>
      </c>
      <c r="E103" s="254"/>
      <c r="F103" s="255"/>
    </row>
    <row r="104" spans="2:6" hidden="1" x14ac:dyDescent="0.2">
      <c r="B104" s="129" t="s">
        <v>33</v>
      </c>
      <c r="C104" s="254" t="s">
        <v>17</v>
      </c>
      <c r="D104" s="254" t="s">
        <v>32</v>
      </c>
      <c r="E104" s="254"/>
      <c r="F104" s="255"/>
    </row>
    <row r="105" spans="2:6" hidden="1" x14ac:dyDescent="0.2">
      <c r="B105" s="129" t="s">
        <v>33</v>
      </c>
      <c r="C105" s="254" t="s">
        <v>17</v>
      </c>
      <c r="D105" s="254" t="s">
        <v>32</v>
      </c>
      <c r="E105" s="254"/>
      <c r="F105" s="255"/>
    </row>
    <row r="106" spans="2:6" hidden="1" x14ac:dyDescent="0.2">
      <c r="B106" s="129" t="s">
        <v>33</v>
      </c>
      <c r="C106" s="254" t="s">
        <v>17</v>
      </c>
      <c r="D106" s="254" t="s">
        <v>59</v>
      </c>
      <c r="E106" s="254"/>
      <c r="F106" s="255"/>
    </row>
    <row r="107" spans="2:6" hidden="1" x14ac:dyDescent="0.2">
      <c r="B107" s="129" t="s">
        <v>33</v>
      </c>
      <c r="C107" s="254" t="s">
        <v>17</v>
      </c>
      <c r="D107" s="254" t="s">
        <v>59</v>
      </c>
      <c r="E107" s="254"/>
      <c r="F107" s="255"/>
    </row>
    <row r="108" spans="2:6" hidden="1" x14ac:dyDescent="0.2">
      <c r="B108" s="129" t="s">
        <v>33</v>
      </c>
      <c r="C108" s="254" t="s">
        <v>17</v>
      </c>
      <c r="D108" s="254" t="s">
        <v>59</v>
      </c>
      <c r="E108" s="254"/>
      <c r="F108" s="255"/>
    </row>
    <row r="109" spans="2:6" hidden="1" x14ac:dyDescent="0.2">
      <c r="B109" s="129" t="s">
        <v>33</v>
      </c>
      <c r="C109" s="254" t="s">
        <v>17</v>
      </c>
      <c r="D109" s="254" t="s">
        <v>59</v>
      </c>
      <c r="E109" s="254"/>
      <c r="F109" s="255"/>
    </row>
    <row r="110" spans="2:6" hidden="1" x14ac:dyDescent="0.2">
      <c r="B110" s="129" t="s">
        <v>33</v>
      </c>
      <c r="C110" s="254" t="s">
        <v>17</v>
      </c>
      <c r="D110" s="254" t="s">
        <v>60</v>
      </c>
      <c r="E110" s="254"/>
      <c r="F110" s="255"/>
    </row>
    <row r="111" spans="2:6" hidden="1" x14ac:dyDescent="0.2">
      <c r="B111" s="129" t="s">
        <v>33</v>
      </c>
      <c r="C111" s="254" t="s">
        <v>17</v>
      </c>
      <c r="D111" s="254" t="s">
        <v>60</v>
      </c>
      <c r="E111" s="254"/>
      <c r="F111" s="255"/>
    </row>
    <row r="112" spans="2:6" hidden="1" x14ac:dyDescent="0.2">
      <c r="B112" s="129" t="s">
        <v>33</v>
      </c>
      <c r="C112" s="254" t="s">
        <v>20</v>
      </c>
      <c r="D112" s="254" t="s">
        <v>61</v>
      </c>
      <c r="E112" s="254"/>
      <c r="F112" s="255"/>
    </row>
    <row r="113" spans="2:6" hidden="1" x14ac:dyDescent="0.2">
      <c r="B113" s="129" t="s">
        <v>33</v>
      </c>
      <c r="C113" s="254" t="s">
        <v>17</v>
      </c>
      <c r="D113" s="254" t="s">
        <v>62</v>
      </c>
      <c r="E113" s="254"/>
      <c r="F113" s="255"/>
    </row>
    <row r="114" spans="2:6" hidden="1" x14ac:dyDescent="0.2">
      <c r="B114" s="129" t="s">
        <v>33</v>
      </c>
      <c r="C114" s="254" t="s">
        <v>17</v>
      </c>
      <c r="D114" s="254" t="s">
        <v>62</v>
      </c>
      <c r="E114" s="254"/>
      <c r="F114" s="255"/>
    </row>
    <row r="115" spans="2:6" hidden="1" x14ac:dyDescent="0.2">
      <c r="B115" s="129" t="s">
        <v>33</v>
      </c>
      <c r="C115" s="254" t="s">
        <v>17</v>
      </c>
      <c r="D115" s="254" t="s">
        <v>63</v>
      </c>
      <c r="E115" s="254"/>
      <c r="F115" s="255"/>
    </row>
    <row r="116" spans="2:6" hidden="1" x14ac:dyDescent="0.2">
      <c r="B116" s="129" t="s">
        <v>33</v>
      </c>
      <c r="C116" s="254" t="s">
        <v>17</v>
      </c>
      <c r="D116" s="254" t="s">
        <v>63</v>
      </c>
      <c r="E116" s="254"/>
      <c r="F116" s="255"/>
    </row>
    <row r="117" spans="2:6" hidden="1" x14ac:dyDescent="0.2">
      <c r="B117" s="129" t="s">
        <v>33</v>
      </c>
      <c r="C117" s="254" t="s">
        <v>64</v>
      </c>
      <c r="D117" s="254" t="s">
        <v>34</v>
      </c>
      <c r="E117" s="254"/>
      <c r="F117" s="255"/>
    </row>
    <row r="118" spans="2:6" hidden="1" x14ac:dyDescent="0.2">
      <c r="B118" s="129" t="s">
        <v>33</v>
      </c>
      <c r="C118" s="254" t="s">
        <v>64</v>
      </c>
      <c r="D118" s="254" t="s">
        <v>35</v>
      </c>
      <c r="E118" s="254"/>
      <c r="F118" s="255"/>
    </row>
    <row r="119" spans="2:6" hidden="1" x14ac:dyDescent="0.2">
      <c r="B119" s="129" t="s">
        <v>33</v>
      </c>
      <c r="C119" s="254" t="s">
        <v>65</v>
      </c>
      <c r="D119" s="254" t="s">
        <v>59</v>
      </c>
      <c r="E119" s="254"/>
      <c r="F119" s="255"/>
    </row>
    <row r="120" spans="2:6" hidden="1" x14ac:dyDescent="0.2">
      <c r="B120" s="129" t="s">
        <v>33</v>
      </c>
      <c r="C120" s="254" t="s">
        <v>66</v>
      </c>
      <c r="D120" s="254" t="s">
        <v>67</v>
      </c>
      <c r="E120" s="254"/>
      <c r="F120" s="255"/>
    </row>
    <row r="121" spans="2:6" hidden="1" x14ac:dyDescent="0.2">
      <c r="B121" s="129" t="s">
        <v>33</v>
      </c>
      <c r="C121" s="254" t="s">
        <v>66</v>
      </c>
      <c r="D121" s="254" t="s">
        <v>67</v>
      </c>
      <c r="E121" s="254"/>
      <c r="F121" s="255"/>
    </row>
    <row r="122" spans="2:6" hidden="1" x14ac:dyDescent="0.2">
      <c r="B122" s="129" t="s">
        <v>33</v>
      </c>
      <c r="C122" s="254" t="s">
        <v>66</v>
      </c>
      <c r="D122" s="254" t="s">
        <v>67</v>
      </c>
      <c r="E122" s="254"/>
      <c r="F122" s="255"/>
    </row>
    <row r="123" spans="2:6" hidden="1" x14ac:dyDescent="0.2">
      <c r="B123" s="129" t="s">
        <v>33</v>
      </c>
      <c r="C123" s="254" t="s">
        <v>68</v>
      </c>
      <c r="D123" s="254" t="s">
        <v>32</v>
      </c>
      <c r="E123" s="254"/>
      <c r="F123" s="255"/>
    </row>
    <row r="124" spans="2:6" hidden="1" x14ac:dyDescent="0.2">
      <c r="B124" s="129" t="s">
        <v>33</v>
      </c>
      <c r="C124" s="254" t="s">
        <v>69</v>
      </c>
      <c r="D124" s="254"/>
      <c r="E124" s="254" t="s">
        <v>70</v>
      </c>
      <c r="F124" s="255"/>
    </row>
    <row r="125" spans="2:6" hidden="1" x14ac:dyDescent="0.2">
      <c r="B125" s="129" t="s">
        <v>33</v>
      </c>
      <c r="C125" s="254" t="s">
        <v>69</v>
      </c>
      <c r="D125" s="254"/>
      <c r="E125" s="254"/>
      <c r="F125" s="255"/>
    </row>
    <row r="126" spans="2:6" hidden="1" x14ac:dyDescent="0.2">
      <c r="B126" s="129" t="s">
        <v>33</v>
      </c>
      <c r="C126" s="254" t="s">
        <v>69</v>
      </c>
      <c r="D126" s="254"/>
      <c r="E126" s="254"/>
      <c r="F126" s="255"/>
    </row>
    <row r="127" spans="2:6" hidden="1" x14ac:dyDescent="0.2">
      <c r="B127" s="129" t="s">
        <v>33</v>
      </c>
      <c r="C127" s="254" t="s">
        <v>69</v>
      </c>
      <c r="D127" s="254"/>
      <c r="E127" s="254"/>
      <c r="F127" s="255"/>
    </row>
    <row r="128" spans="2:6" x14ac:dyDescent="0.2">
      <c r="B128" s="129" t="s">
        <v>76</v>
      </c>
      <c r="C128" s="254" t="s">
        <v>10</v>
      </c>
      <c r="D128" s="254"/>
      <c r="E128" s="254"/>
      <c r="F128" s="255">
        <f>142/5</f>
        <v>28.4</v>
      </c>
    </row>
    <row r="129" spans="2:13" x14ac:dyDescent="0.2">
      <c r="B129" s="129" t="s">
        <v>76</v>
      </c>
      <c r="C129" s="254" t="s">
        <v>10</v>
      </c>
      <c r="D129" s="254"/>
      <c r="E129" s="254"/>
      <c r="F129" s="255">
        <v>44</v>
      </c>
    </row>
    <row r="130" spans="2:13" ht="19" x14ac:dyDescent="0.2">
      <c r="B130" s="129" t="s">
        <v>76</v>
      </c>
      <c r="C130" s="254" t="s">
        <v>10</v>
      </c>
      <c r="D130" s="254"/>
      <c r="E130" s="254"/>
      <c r="F130" s="255">
        <v>45</v>
      </c>
      <c r="I130" s="80" t="s">
        <v>139</v>
      </c>
    </row>
    <row r="131" spans="2:13" x14ac:dyDescent="0.2">
      <c r="B131" s="129" t="s">
        <v>76</v>
      </c>
      <c r="C131" s="254" t="s">
        <v>10</v>
      </c>
      <c r="D131" s="254"/>
      <c r="E131" s="254"/>
      <c r="F131" s="255">
        <f>1000*(15.9/360)</f>
        <v>44.166666666666664</v>
      </c>
      <c r="I131" s="177" t="s">
        <v>140</v>
      </c>
      <c r="J131" s="177" t="s">
        <v>141</v>
      </c>
      <c r="K131" s="177" t="s">
        <v>142</v>
      </c>
      <c r="L131" s="177" t="s">
        <v>143</v>
      </c>
      <c r="M131" s="177" t="s">
        <v>144</v>
      </c>
    </row>
    <row r="132" spans="2:13" x14ac:dyDescent="0.2">
      <c r="B132" s="129" t="s">
        <v>76</v>
      </c>
      <c r="C132" s="254" t="s">
        <v>10</v>
      </c>
      <c r="D132" s="254"/>
      <c r="E132" s="254"/>
      <c r="F132" s="255">
        <f>1000*(30.5/720)</f>
        <v>42.361111111111114</v>
      </c>
      <c r="I132" s="258" t="s">
        <v>87</v>
      </c>
      <c r="J132" s="132">
        <f>AVERAGE(L6:L7)</f>
        <v>22.024999999999999</v>
      </c>
      <c r="K132" s="132">
        <f>MEDIAN(L6:L7)</f>
        <v>22.024999999999999</v>
      </c>
      <c r="L132" s="129"/>
      <c r="M132" s="254"/>
    </row>
    <row r="133" spans="2:13" x14ac:dyDescent="0.2">
      <c r="B133" s="129" t="s">
        <v>76</v>
      </c>
      <c r="C133" s="254" t="s">
        <v>10</v>
      </c>
      <c r="D133" s="254"/>
      <c r="E133" s="254"/>
      <c r="F133" s="255">
        <v>64</v>
      </c>
      <c r="I133" s="247" t="s">
        <v>77</v>
      </c>
      <c r="J133" s="132">
        <f>AVERAGE(L9:L10)</f>
        <v>62.608974358974365</v>
      </c>
      <c r="K133" s="132">
        <f>MEDIAN(L9:L10)</f>
        <v>62.608974358974365</v>
      </c>
      <c r="L133" s="129"/>
      <c r="M133" s="254"/>
    </row>
    <row r="134" spans="2:13" x14ac:dyDescent="0.2">
      <c r="B134" s="129" t="s">
        <v>9</v>
      </c>
      <c r="C134" s="254" t="s">
        <v>30</v>
      </c>
      <c r="D134" s="254" t="s">
        <v>22</v>
      </c>
      <c r="E134" s="254"/>
      <c r="F134" s="255">
        <f>5.1*10</f>
        <v>51</v>
      </c>
      <c r="I134" s="85" t="s">
        <v>64</v>
      </c>
      <c r="J134" s="132">
        <f>AVERAGE(L12:L20)</f>
        <v>36.080000000000005</v>
      </c>
      <c r="K134" s="132">
        <f>MEDIAN(L12:L20)</f>
        <v>25.1</v>
      </c>
      <c r="L134" s="129">
        <f>L12/J134</f>
        <v>1.4113082039911307</v>
      </c>
      <c r="M134" s="254"/>
    </row>
    <row r="135" spans="2:13" x14ac:dyDescent="0.2">
      <c r="B135" s="129" t="s">
        <v>9</v>
      </c>
      <c r="C135" s="254" t="s">
        <v>30</v>
      </c>
      <c r="D135" s="254" t="s">
        <v>22</v>
      </c>
      <c r="E135" s="254" t="s">
        <v>31</v>
      </c>
      <c r="F135" s="255">
        <f>1000*(6.29/70)</f>
        <v>89.857142857142861</v>
      </c>
      <c r="I135" s="247" t="s">
        <v>30</v>
      </c>
      <c r="J135" s="132">
        <f>AVERAGE(L22:L24)</f>
        <v>65.61904761904762</v>
      </c>
      <c r="K135" s="132">
        <f>MEDIAN(L22:L24)</f>
        <v>56</v>
      </c>
      <c r="L135" s="129"/>
      <c r="M135" s="254"/>
    </row>
    <row r="136" spans="2:13" x14ac:dyDescent="0.2">
      <c r="B136" s="129" t="s">
        <v>9</v>
      </c>
      <c r="C136" s="254" t="s">
        <v>20</v>
      </c>
      <c r="D136" s="254" t="s">
        <v>21</v>
      </c>
      <c r="E136" s="254"/>
      <c r="F136" s="255">
        <f>(10.25/350)*1000</f>
        <v>29.285714285714285</v>
      </c>
      <c r="I136" s="247" t="s">
        <v>79</v>
      </c>
      <c r="J136" s="132">
        <f>AVERAGE(L26:L27)</f>
        <v>60.237068965517238</v>
      </c>
      <c r="K136" s="132">
        <f>MEDIAN(L26:L27)</f>
        <v>60.237068965517238</v>
      </c>
      <c r="L136" s="129"/>
      <c r="M136" s="254"/>
    </row>
    <row r="137" spans="2:13" x14ac:dyDescent="0.2">
      <c r="B137" s="129" t="s">
        <v>9</v>
      </c>
      <c r="C137" s="254" t="s">
        <v>17</v>
      </c>
      <c r="D137" s="254"/>
      <c r="E137" s="254"/>
      <c r="F137" s="255">
        <f>(9/350)*1000</f>
        <v>25.714285714285715</v>
      </c>
      <c r="I137" s="247" t="s">
        <v>20</v>
      </c>
      <c r="J137" s="132">
        <f>AVERAGE(Q6:Q9)</f>
        <v>31.446428571428569</v>
      </c>
      <c r="K137" s="132">
        <f>MEDIAN(Q6:Q9)</f>
        <v>30.75</v>
      </c>
      <c r="L137" s="129"/>
      <c r="M137" s="254"/>
    </row>
    <row r="138" spans="2:13" x14ac:dyDescent="0.2">
      <c r="B138" s="129" t="s">
        <v>9</v>
      </c>
      <c r="C138" s="254" t="s">
        <v>17</v>
      </c>
      <c r="D138" s="254" t="s">
        <v>22</v>
      </c>
      <c r="E138" s="254"/>
      <c r="F138" s="255">
        <f>1000*(4.5/80)</f>
        <v>56.25</v>
      </c>
      <c r="I138" s="247" t="s">
        <v>83</v>
      </c>
      <c r="J138" s="132">
        <f>AVERAGE(Q11:Q17)</f>
        <v>42.68571428571429</v>
      </c>
      <c r="K138" s="132">
        <f>MEDIAN(Q11:Q17)</f>
        <v>61.5</v>
      </c>
      <c r="L138" s="129"/>
      <c r="M138" s="254"/>
    </row>
    <row r="139" spans="2:13" x14ac:dyDescent="0.2">
      <c r="B139" s="129" t="s">
        <v>9</v>
      </c>
      <c r="C139" s="254" t="s">
        <v>17</v>
      </c>
      <c r="D139" s="254" t="s">
        <v>32</v>
      </c>
      <c r="E139" s="254" t="s">
        <v>31</v>
      </c>
      <c r="F139" s="255">
        <f>1000*(6.29/70)</f>
        <v>89.857142857142861</v>
      </c>
      <c r="I139" s="249" t="s">
        <v>96</v>
      </c>
      <c r="J139" s="132">
        <f>AVERAGE(Q19)</f>
        <v>23.99</v>
      </c>
      <c r="K139" s="132">
        <f>MEDIAN(Q19)</f>
        <v>23.99</v>
      </c>
      <c r="L139" s="129"/>
      <c r="M139" s="254"/>
    </row>
    <row r="140" spans="2:13" x14ac:dyDescent="0.2">
      <c r="B140" s="129" t="s">
        <v>9</v>
      </c>
      <c r="C140" s="254" t="s">
        <v>15</v>
      </c>
      <c r="D140" s="254" t="s">
        <v>16</v>
      </c>
      <c r="E140" s="254"/>
      <c r="F140" s="255">
        <f>(13.2/600)*1000</f>
        <v>22</v>
      </c>
      <c r="I140" s="259" t="s">
        <v>78</v>
      </c>
      <c r="J140" s="132">
        <f>AVERAGE(Q21)</f>
        <v>75</v>
      </c>
      <c r="K140" s="132">
        <f>MEDIAN(Q21)</f>
        <v>75</v>
      </c>
      <c r="L140" s="129"/>
      <c r="M140" s="254"/>
    </row>
    <row r="141" spans="2:13" x14ac:dyDescent="0.2">
      <c r="B141" s="129" t="s">
        <v>9</v>
      </c>
      <c r="C141" s="254" t="s">
        <v>15</v>
      </c>
      <c r="D141" s="254" t="s">
        <v>25</v>
      </c>
      <c r="E141" s="254"/>
      <c r="F141" s="255">
        <f>1000*(10.2/800)</f>
        <v>12.75</v>
      </c>
      <c r="I141" s="247" t="s">
        <v>57</v>
      </c>
      <c r="J141" s="132">
        <f>AVERAGE(Q23:Q26)</f>
        <v>28.831563545150505</v>
      </c>
      <c r="K141" s="132">
        <f>MEDIAN(Q23:Q26)</f>
        <v>25.757692307692309</v>
      </c>
      <c r="L141" s="129"/>
      <c r="M141" s="254"/>
    </row>
    <row r="142" spans="2:13" x14ac:dyDescent="0.2">
      <c r="B142" s="129" t="s">
        <v>9</v>
      </c>
      <c r="C142" s="254" t="s">
        <v>10</v>
      </c>
      <c r="D142" s="254"/>
      <c r="E142" s="254" t="s">
        <v>11</v>
      </c>
      <c r="F142" s="255">
        <v>80</v>
      </c>
      <c r="I142" s="247" t="s">
        <v>17</v>
      </c>
      <c r="J142" s="132">
        <f>AVERAGE(V6:V12)</f>
        <v>35.881083202511775</v>
      </c>
      <c r="K142" s="132">
        <f>MEDIAN(V6:V12)</f>
        <v>21.5</v>
      </c>
      <c r="L142" s="129">
        <f>V10/J142</f>
        <v>0.49736942849330051</v>
      </c>
      <c r="M142" s="254"/>
    </row>
    <row r="143" spans="2:13" x14ac:dyDescent="0.2">
      <c r="B143" s="129" t="s">
        <v>9</v>
      </c>
      <c r="C143" s="254" t="s">
        <v>10</v>
      </c>
      <c r="D143" s="254" t="s">
        <v>13</v>
      </c>
      <c r="E143" s="254" t="s">
        <v>11</v>
      </c>
      <c r="F143" s="255">
        <v>34.86</v>
      </c>
      <c r="I143" s="247" t="s">
        <v>15</v>
      </c>
      <c r="J143" s="132">
        <f>AVERAGE(V14:V20)</f>
        <v>34.471428571428568</v>
      </c>
      <c r="K143" s="132">
        <f>MEDIAN(V14:V20)</f>
        <v>22</v>
      </c>
      <c r="L143" s="129"/>
      <c r="M143" s="254"/>
    </row>
    <row r="144" spans="2:13" x14ac:dyDescent="0.2">
      <c r="B144" s="129" t="s">
        <v>9</v>
      </c>
      <c r="C144" s="254" t="s">
        <v>10</v>
      </c>
      <c r="D144" s="254" t="s">
        <v>14</v>
      </c>
      <c r="E144" s="254" t="s">
        <v>11</v>
      </c>
      <c r="F144" s="255">
        <v>17.440000000000001</v>
      </c>
      <c r="I144" s="249" t="s">
        <v>90</v>
      </c>
      <c r="J144" s="132">
        <f>AVERAGE(V22)</f>
        <v>14.2</v>
      </c>
      <c r="K144" s="132">
        <f>MEDIAN(V22)</f>
        <v>14.2</v>
      </c>
      <c r="L144" s="129"/>
      <c r="M144" s="254"/>
    </row>
    <row r="145" spans="2:13" x14ac:dyDescent="0.2">
      <c r="B145" s="129" t="s">
        <v>9</v>
      </c>
      <c r="C145" s="254" t="s">
        <v>10</v>
      </c>
      <c r="D145" s="254"/>
      <c r="E145" s="254" t="s">
        <v>18</v>
      </c>
      <c r="F145" s="255">
        <f>38/2</f>
        <v>19</v>
      </c>
      <c r="I145" s="260" t="s">
        <v>10</v>
      </c>
      <c r="J145" s="261">
        <f>AVERAGE(AA6:AA38)</f>
        <v>34.995611089247454</v>
      </c>
      <c r="K145" s="261">
        <f>MEDIAN(AA6:AA38)</f>
        <v>28.4</v>
      </c>
      <c r="L145" s="137">
        <f>AA24/J145</f>
        <v>0.56630477940906809</v>
      </c>
      <c r="M145" s="158"/>
    </row>
    <row r="146" spans="2:13" x14ac:dyDescent="0.2">
      <c r="B146" s="129" t="s">
        <v>9</v>
      </c>
      <c r="C146" s="254" t="s">
        <v>10</v>
      </c>
      <c r="D146" s="254" t="s">
        <v>19</v>
      </c>
      <c r="E146" s="254"/>
      <c r="F146" s="255">
        <f>(13/400)*1000</f>
        <v>32.5</v>
      </c>
    </row>
    <row r="147" spans="2:13" x14ac:dyDescent="0.2">
      <c r="B147" s="129" t="s">
        <v>9</v>
      </c>
      <c r="C147" s="254" t="s">
        <v>10</v>
      </c>
      <c r="D147" s="254" t="s">
        <v>22</v>
      </c>
      <c r="E147" s="254" t="s">
        <v>18</v>
      </c>
      <c r="F147" s="255">
        <f>1000*(4.5/100)</f>
        <v>45</v>
      </c>
    </row>
    <row r="148" spans="2:13" ht="19" x14ac:dyDescent="0.2">
      <c r="B148" s="129" t="s">
        <v>9</v>
      </c>
      <c r="C148" s="254" t="s">
        <v>10</v>
      </c>
      <c r="D148" s="254" t="s">
        <v>23</v>
      </c>
      <c r="E148" s="254"/>
      <c r="F148" s="255">
        <f>88.5/5</f>
        <v>17.7</v>
      </c>
      <c r="I148" s="80"/>
    </row>
    <row r="149" spans="2:13" x14ac:dyDescent="0.2">
      <c r="B149" s="129" t="s">
        <v>9</v>
      </c>
      <c r="C149" s="254" t="s">
        <v>10</v>
      </c>
      <c r="D149" s="254" t="str">
        <f>D148</f>
        <v>selection baffa</v>
      </c>
      <c r="E149" s="254"/>
      <c r="F149" s="255">
        <v>25.5</v>
      </c>
    </row>
    <row r="150" spans="2:13" x14ac:dyDescent="0.2">
      <c r="B150" s="129" t="s">
        <v>9</v>
      </c>
      <c r="C150" s="254" t="s">
        <v>10</v>
      </c>
      <c r="D150" s="254" t="s">
        <v>24</v>
      </c>
      <c r="E150" s="254"/>
      <c r="F150" s="255">
        <f>1000*(15/350)</f>
        <v>42.857142857142854</v>
      </c>
      <c r="J150" s="132"/>
    </row>
    <row r="151" spans="2:13" x14ac:dyDescent="0.2">
      <c r="B151" s="129" t="s">
        <v>9</v>
      </c>
      <c r="C151" s="254" t="s">
        <v>10</v>
      </c>
      <c r="D151" s="254" t="s">
        <v>21</v>
      </c>
      <c r="E151" s="254"/>
      <c r="F151" s="255">
        <f>46.5/2</f>
        <v>23.25</v>
      </c>
      <c r="J151" s="132"/>
    </row>
    <row r="152" spans="2:13" x14ac:dyDescent="0.2">
      <c r="B152" s="129" t="s">
        <v>9</v>
      </c>
      <c r="C152" s="254" t="s">
        <v>10</v>
      </c>
      <c r="D152" s="254" t="s">
        <v>26</v>
      </c>
      <c r="E152" s="254"/>
      <c r="F152" s="255">
        <f>1000*(3.5/80)</f>
        <v>43.75</v>
      </c>
      <c r="J152" s="132"/>
    </row>
    <row r="153" spans="2:13" x14ac:dyDescent="0.2">
      <c r="B153" s="129" t="s">
        <v>9</v>
      </c>
      <c r="C153" s="254" t="s">
        <v>10</v>
      </c>
      <c r="D153" s="254" t="s">
        <v>13</v>
      </c>
      <c r="E153" s="254" t="s">
        <v>27</v>
      </c>
      <c r="F153" s="255">
        <f>1000*(22/350)</f>
        <v>62.857142857142861</v>
      </c>
      <c r="J153" s="132"/>
    </row>
    <row r="154" spans="2:13" x14ac:dyDescent="0.2">
      <c r="B154" s="129" t="s">
        <v>9</v>
      </c>
      <c r="C154" s="254" t="s">
        <v>10</v>
      </c>
      <c r="D154" s="254" t="s">
        <v>29</v>
      </c>
      <c r="E154" s="254" t="s">
        <v>31</v>
      </c>
      <c r="F154" s="255">
        <f>1000*(6.29/70)</f>
        <v>89.857142857142861</v>
      </c>
      <c r="J154" s="132"/>
    </row>
    <row r="155" spans="2:13" x14ac:dyDescent="0.2">
      <c r="B155" s="129" t="s">
        <v>9</v>
      </c>
      <c r="C155" s="254" t="s">
        <v>10</v>
      </c>
      <c r="D155" s="254" t="s">
        <v>13</v>
      </c>
      <c r="E155" s="254" t="s">
        <v>31</v>
      </c>
      <c r="F155" s="255">
        <f>1000*(26.5/350)</f>
        <v>75.714285714285722</v>
      </c>
      <c r="J155" s="132"/>
    </row>
    <row r="156" spans="2:13" x14ac:dyDescent="0.2">
      <c r="B156" s="129" t="s">
        <v>85</v>
      </c>
      <c r="C156" s="254" t="s">
        <v>87</v>
      </c>
      <c r="D156" s="254" t="s">
        <v>88</v>
      </c>
      <c r="E156" s="254"/>
      <c r="F156" s="255">
        <v>21.7</v>
      </c>
      <c r="J156" s="132"/>
    </row>
    <row r="157" spans="2:13" x14ac:dyDescent="0.2">
      <c r="B157" s="129" t="s">
        <v>85</v>
      </c>
      <c r="C157" s="254" t="s">
        <v>87</v>
      </c>
      <c r="D157" s="254" t="s">
        <v>89</v>
      </c>
      <c r="E157" s="254"/>
      <c r="F157" s="255">
        <v>22.35</v>
      </c>
      <c r="J157" s="132"/>
    </row>
    <row r="158" spans="2:13" x14ac:dyDescent="0.2">
      <c r="B158" s="129" t="s">
        <v>85</v>
      </c>
      <c r="C158" s="254" t="s">
        <v>64</v>
      </c>
      <c r="D158" s="254"/>
      <c r="E158" s="254"/>
      <c r="F158" s="255">
        <v>18.8</v>
      </c>
      <c r="J158" s="132"/>
    </row>
    <row r="159" spans="2:13" x14ac:dyDescent="0.2">
      <c r="B159" s="129" t="s">
        <v>85</v>
      </c>
      <c r="C159" s="254" t="s">
        <v>64</v>
      </c>
      <c r="D159" s="254"/>
      <c r="E159" s="254"/>
      <c r="F159" s="255">
        <v>20.2</v>
      </c>
      <c r="J159" s="132"/>
    </row>
    <row r="160" spans="2:13" x14ac:dyDescent="0.2">
      <c r="B160" s="129" t="s">
        <v>85</v>
      </c>
      <c r="C160" s="254" t="s">
        <v>64</v>
      </c>
      <c r="D160" s="254"/>
      <c r="E160" s="254"/>
      <c r="F160" s="255">
        <v>20.2</v>
      </c>
      <c r="J160" s="132"/>
    </row>
    <row r="161" spans="2:10" x14ac:dyDescent="0.2">
      <c r="B161" s="129" t="s">
        <v>85</v>
      </c>
      <c r="C161" s="254" t="s">
        <v>64</v>
      </c>
      <c r="D161" s="254" t="s">
        <v>22</v>
      </c>
      <c r="E161" s="254"/>
      <c r="F161" s="255">
        <v>23.9</v>
      </c>
      <c r="J161" s="132"/>
    </row>
    <row r="162" spans="2:10" x14ac:dyDescent="0.2">
      <c r="B162" s="129" t="s">
        <v>85</v>
      </c>
      <c r="C162" s="254" t="s">
        <v>64</v>
      </c>
      <c r="D162" s="254"/>
      <c r="E162" s="254"/>
      <c r="F162" s="255">
        <v>25.1</v>
      </c>
      <c r="J162" s="132"/>
    </row>
    <row r="163" spans="2:10" x14ac:dyDescent="0.2">
      <c r="B163" s="129" t="s">
        <v>85</v>
      </c>
      <c r="C163" s="254" t="s">
        <v>64</v>
      </c>
      <c r="D163" s="254" t="s">
        <v>86</v>
      </c>
      <c r="E163" s="254"/>
      <c r="F163" s="255">
        <v>25.1</v>
      </c>
      <c r="J163" s="132"/>
    </row>
    <row r="164" spans="2:10" x14ac:dyDescent="0.2">
      <c r="B164" s="129" t="s">
        <v>85</v>
      </c>
      <c r="C164" s="254" t="s">
        <v>83</v>
      </c>
      <c r="D164" s="254" t="s">
        <v>67</v>
      </c>
      <c r="E164" s="254"/>
      <c r="F164" s="255">
        <v>10.95</v>
      </c>
    </row>
    <row r="165" spans="2:10" x14ac:dyDescent="0.2">
      <c r="B165" s="129" t="s">
        <v>85</v>
      </c>
      <c r="C165" s="254" t="s">
        <v>66</v>
      </c>
      <c r="D165" s="254" t="s">
        <v>67</v>
      </c>
      <c r="E165" s="254"/>
      <c r="F165" s="255">
        <v>10.8</v>
      </c>
    </row>
    <row r="166" spans="2:10" x14ac:dyDescent="0.2">
      <c r="B166" s="129" t="s">
        <v>85</v>
      </c>
      <c r="C166" s="254" t="s">
        <v>57</v>
      </c>
      <c r="D166" s="254" t="s">
        <v>32</v>
      </c>
      <c r="E166" s="254"/>
      <c r="F166" s="255">
        <v>16.899999999999999</v>
      </c>
    </row>
    <row r="167" spans="2:10" x14ac:dyDescent="0.2">
      <c r="B167" s="129" t="s">
        <v>85</v>
      </c>
      <c r="C167" s="254" t="s">
        <v>57</v>
      </c>
      <c r="D167" s="254" t="s">
        <v>32</v>
      </c>
      <c r="E167" s="254"/>
      <c r="F167" s="255">
        <v>15.55</v>
      </c>
    </row>
    <row r="168" spans="2:10" x14ac:dyDescent="0.2">
      <c r="B168" s="129" t="s">
        <v>85</v>
      </c>
      <c r="C168" s="254" t="s">
        <v>15</v>
      </c>
      <c r="D168" s="254" t="s">
        <v>72</v>
      </c>
      <c r="E168" s="254"/>
      <c r="F168" s="255">
        <v>12.7</v>
      </c>
    </row>
    <row r="169" spans="2:10" x14ac:dyDescent="0.2">
      <c r="B169" s="129" t="s">
        <v>85</v>
      </c>
      <c r="C169" s="254" t="s">
        <v>15</v>
      </c>
      <c r="D169" s="254" t="s">
        <v>92</v>
      </c>
      <c r="E169" s="254"/>
      <c r="F169" s="255">
        <v>12.85</v>
      </c>
    </row>
    <row r="170" spans="2:10" x14ac:dyDescent="0.2">
      <c r="B170" s="129" t="s">
        <v>85</v>
      </c>
      <c r="C170" s="254" t="s">
        <v>90</v>
      </c>
      <c r="D170" s="254" t="s">
        <v>91</v>
      </c>
      <c r="E170" s="254"/>
      <c r="F170" s="255">
        <v>14.2</v>
      </c>
    </row>
    <row r="171" spans="2:10" x14ac:dyDescent="0.2">
      <c r="B171" s="129" t="s">
        <v>85</v>
      </c>
      <c r="C171" s="254" t="s">
        <v>10</v>
      </c>
      <c r="D171" s="254" t="s">
        <v>92</v>
      </c>
      <c r="E171" s="254"/>
      <c r="F171" s="255">
        <v>12.8</v>
      </c>
    </row>
    <row r="172" spans="2:10" x14ac:dyDescent="0.2">
      <c r="B172" s="129" t="s">
        <v>85</v>
      </c>
      <c r="C172" s="254" t="s">
        <v>10</v>
      </c>
      <c r="D172" s="254" t="s">
        <v>45</v>
      </c>
      <c r="E172" s="254"/>
      <c r="F172" s="255">
        <v>12.5</v>
      </c>
    </row>
    <row r="173" spans="2:10" x14ac:dyDescent="0.2">
      <c r="B173" s="129" t="s">
        <v>85</v>
      </c>
      <c r="C173" s="254" t="s">
        <v>36</v>
      </c>
      <c r="D173" s="254" t="s">
        <v>72</v>
      </c>
      <c r="E173" s="254"/>
      <c r="F173" s="255">
        <v>12.8</v>
      </c>
    </row>
    <row r="174" spans="2:10" x14ac:dyDescent="0.2">
      <c r="B174" s="129" t="s">
        <v>33</v>
      </c>
      <c r="C174" s="254" t="s">
        <v>10</v>
      </c>
      <c r="D174" s="254" t="s">
        <v>35</v>
      </c>
      <c r="E174" s="254"/>
      <c r="F174" s="255">
        <f>39.9/2.5</f>
        <v>15.959999999999999</v>
      </c>
    </row>
    <row r="175" spans="2:10" x14ac:dyDescent="0.2">
      <c r="B175" s="129" t="s">
        <v>33</v>
      </c>
      <c r="C175" s="254" t="s">
        <v>10</v>
      </c>
      <c r="D175" s="254" t="s">
        <v>35</v>
      </c>
      <c r="E175" s="254"/>
      <c r="F175" s="255">
        <f>29.9/1.3</f>
        <v>22.999999999999996</v>
      </c>
    </row>
    <row r="176" spans="2:10" x14ac:dyDescent="0.2">
      <c r="B176" s="129" t="s">
        <v>71</v>
      </c>
      <c r="C176" s="254" t="s">
        <v>17</v>
      </c>
      <c r="D176" s="254" t="s">
        <v>32</v>
      </c>
      <c r="E176" s="254"/>
      <c r="F176" s="255">
        <f>1000*(12.9/600)</f>
        <v>21.5</v>
      </c>
    </row>
    <row r="177" spans="2:6" x14ac:dyDescent="0.2">
      <c r="B177" s="129" t="s">
        <v>71</v>
      </c>
      <c r="C177" s="254" t="s">
        <v>10</v>
      </c>
      <c r="D177" s="254"/>
      <c r="E177" s="254" t="s">
        <v>18</v>
      </c>
      <c r="F177" s="255">
        <f>1000*(13.9/400)</f>
        <v>34.75</v>
      </c>
    </row>
    <row r="178" spans="2:6" x14ac:dyDescent="0.2">
      <c r="B178" s="129" t="s">
        <v>71</v>
      </c>
      <c r="C178" s="254" t="s">
        <v>10</v>
      </c>
      <c r="D178" s="254" t="s">
        <v>72</v>
      </c>
      <c r="E178" s="254"/>
      <c r="F178" s="255">
        <f>(80/4.5)</f>
        <v>17.777777777777779</v>
      </c>
    </row>
    <row r="179" spans="2:6" x14ac:dyDescent="0.2">
      <c r="B179" s="129" t="s">
        <v>93</v>
      </c>
      <c r="C179" s="254" t="s">
        <v>83</v>
      </c>
      <c r="D179" s="254"/>
      <c r="E179" s="254"/>
      <c r="F179" s="255">
        <v>28.55</v>
      </c>
    </row>
    <row r="180" spans="2:6" x14ac:dyDescent="0.2">
      <c r="B180" s="129" t="s">
        <v>93</v>
      </c>
      <c r="C180" s="254" t="s">
        <v>96</v>
      </c>
      <c r="D180" s="254" t="s">
        <v>32</v>
      </c>
      <c r="E180" s="254"/>
      <c r="F180" s="255">
        <v>23.99</v>
      </c>
    </row>
    <row r="181" spans="2:6" x14ac:dyDescent="0.2">
      <c r="B181" s="129" t="s">
        <v>93</v>
      </c>
      <c r="C181" s="254" t="s">
        <v>17</v>
      </c>
      <c r="D181" s="254" t="s">
        <v>32</v>
      </c>
      <c r="E181" s="254"/>
      <c r="F181" s="255">
        <v>20</v>
      </c>
    </row>
    <row r="182" spans="2:6" x14ac:dyDescent="0.2">
      <c r="B182" s="129" t="s">
        <v>93</v>
      </c>
      <c r="C182" s="254" t="s">
        <v>17</v>
      </c>
      <c r="D182" s="254" t="s">
        <v>32</v>
      </c>
      <c r="E182" s="254"/>
      <c r="F182" s="255">
        <v>20</v>
      </c>
    </row>
    <row r="183" spans="2:6" x14ac:dyDescent="0.2">
      <c r="B183" s="129" t="s">
        <v>93</v>
      </c>
      <c r="C183" s="254" t="s">
        <v>10</v>
      </c>
      <c r="D183" s="254" t="s">
        <v>94</v>
      </c>
      <c r="E183" s="254"/>
      <c r="F183" s="255">
        <v>15.5</v>
      </c>
    </row>
    <row r="184" spans="2:6" x14ac:dyDescent="0.2">
      <c r="B184" s="129" t="s">
        <v>93</v>
      </c>
      <c r="C184" s="254" t="s">
        <v>10</v>
      </c>
      <c r="D184" s="254" t="s">
        <v>94</v>
      </c>
      <c r="E184" s="254"/>
      <c r="F184" s="255">
        <v>18</v>
      </c>
    </row>
    <row r="185" spans="2:6" x14ac:dyDescent="0.2">
      <c r="B185" s="129" t="s">
        <v>93</v>
      </c>
      <c r="C185" s="254" t="s">
        <v>10</v>
      </c>
      <c r="D185" s="254" t="s">
        <v>94</v>
      </c>
      <c r="E185" s="254"/>
      <c r="F185" s="255">
        <v>18</v>
      </c>
    </row>
    <row r="186" spans="2:6" x14ac:dyDescent="0.2">
      <c r="B186" s="129" t="s">
        <v>93</v>
      </c>
      <c r="C186" s="254" t="s">
        <v>10</v>
      </c>
      <c r="D186" s="254" t="s">
        <v>94</v>
      </c>
      <c r="E186" s="254"/>
      <c r="F186" s="255">
        <v>24</v>
      </c>
    </row>
    <row r="187" spans="2:6" x14ac:dyDescent="0.2">
      <c r="B187" s="129" t="s">
        <v>93</v>
      </c>
      <c r="C187" s="254" t="s">
        <v>10</v>
      </c>
      <c r="D187" s="254" t="s">
        <v>95</v>
      </c>
      <c r="E187" s="254"/>
      <c r="F187" s="255">
        <v>20.25</v>
      </c>
    </row>
    <row r="188" spans="2:6" x14ac:dyDescent="0.2">
      <c r="B188" s="129" t="s">
        <v>93</v>
      </c>
      <c r="C188" s="254" t="s">
        <v>10</v>
      </c>
      <c r="D188" s="254" t="s">
        <v>95</v>
      </c>
      <c r="E188" s="254"/>
      <c r="F188" s="255">
        <v>20.25</v>
      </c>
    </row>
    <row r="189" spans="2:6" x14ac:dyDescent="0.2">
      <c r="B189" s="129" t="s">
        <v>93</v>
      </c>
      <c r="C189" s="254" t="s">
        <v>10</v>
      </c>
      <c r="D189" s="254" t="s">
        <v>95</v>
      </c>
      <c r="E189" s="254"/>
      <c r="F189" s="255">
        <v>21.85</v>
      </c>
    </row>
    <row r="190" spans="2:6" x14ac:dyDescent="0.2">
      <c r="B190" s="129" t="s">
        <v>93</v>
      </c>
      <c r="C190" s="254" t="s">
        <v>36</v>
      </c>
      <c r="D190" s="254" t="s">
        <v>95</v>
      </c>
      <c r="E190" s="254"/>
      <c r="F190" s="255">
        <v>18</v>
      </c>
    </row>
  </sheetData>
  <mergeCells count="1">
    <mergeCell ref="B2:F3"/>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A44D-C55F-8448-A1F4-1C3B0274C0F2}">
  <sheetPr>
    <tabColor theme="8" tint="0.59999389629810485"/>
  </sheetPr>
  <dimension ref="A2:T223"/>
  <sheetViews>
    <sheetView showGridLines="0" zoomScaleNormal="100" workbookViewId="0">
      <selection activeCell="B2" sqref="B2:E3"/>
    </sheetView>
  </sheetViews>
  <sheetFormatPr baseColWidth="10" defaultRowHeight="16" x14ac:dyDescent="0.2"/>
  <cols>
    <col min="1" max="1" width="8.6640625" customWidth="1"/>
    <col min="2" max="2" width="20.33203125" customWidth="1"/>
    <col min="3" max="5" width="20" customWidth="1"/>
    <col min="6" max="6" width="23.5" customWidth="1"/>
    <col min="7" max="14" width="20" customWidth="1"/>
    <col min="15" max="19" width="17.83203125" customWidth="1"/>
    <col min="20" max="20" width="20" customWidth="1"/>
    <col min="21" max="21" width="15" bestFit="1" customWidth="1"/>
  </cols>
  <sheetData>
    <row r="2" spans="2:6" ht="16" customHeight="1" x14ac:dyDescent="0.2">
      <c r="B2" s="961" t="s">
        <v>1473</v>
      </c>
      <c r="C2" s="962"/>
      <c r="D2" s="962"/>
      <c r="E2" s="963"/>
    </row>
    <row r="3" spans="2:6" ht="16" customHeight="1" x14ac:dyDescent="0.2">
      <c r="B3" s="964"/>
      <c r="C3" s="965"/>
      <c r="D3" s="965"/>
      <c r="E3" s="966"/>
    </row>
    <row r="5" spans="2:6" x14ac:dyDescent="0.2">
      <c r="B5" s="279" t="s">
        <v>1477</v>
      </c>
    </row>
    <row r="6" spans="2:6" x14ac:dyDescent="0.2">
      <c r="B6" s="974" t="s">
        <v>1474</v>
      </c>
      <c r="C6" s="979"/>
      <c r="D6" s="979"/>
      <c r="E6" s="979"/>
      <c r="F6" s="979"/>
    </row>
    <row r="8" spans="2:6" x14ac:dyDescent="0.2">
      <c r="B8" s="262" t="s">
        <v>97</v>
      </c>
      <c r="C8" s="263" t="s">
        <v>98</v>
      </c>
      <c r="D8" s="263" t="s">
        <v>99</v>
      </c>
      <c r="E8" s="263" t="s">
        <v>135</v>
      </c>
      <c r="F8" s="264" t="s">
        <v>134</v>
      </c>
    </row>
    <row r="9" spans="2:6" x14ac:dyDescent="0.2">
      <c r="B9" s="268" t="s">
        <v>101</v>
      </c>
      <c r="C9" s="269" t="s">
        <v>123</v>
      </c>
      <c r="D9" s="269"/>
      <c r="E9" s="269" t="s">
        <v>77</v>
      </c>
      <c r="F9" s="270"/>
    </row>
    <row r="10" spans="2:6" x14ac:dyDescent="0.2">
      <c r="B10" s="268" t="s">
        <v>101</v>
      </c>
      <c r="C10" s="269" t="s">
        <v>121</v>
      </c>
      <c r="D10" s="269"/>
      <c r="E10" s="269" t="s">
        <v>69</v>
      </c>
      <c r="F10" s="270"/>
    </row>
    <row r="11" spans="2:6" x14ac:dyDescent="0.2">
      <c r="B11" s="268" t="s">
        <v>101</v>
      </c>
      <c r="C11" s="269" t="s">
        <v>122</v>
      </c>
      <c r="D11" s="269"/>
      <c r="E11" s="269" t="s">
        <v>69</v>
      </c>
      <c r="F11" s="270"/>
    </row>
    <row r="12" spans="2:6" x14ac:dyDescent="0.2">
      <c r="B12" s="268" t="s">
        <v>64</v>
      </c>
      <c r="C12" s="269" t="s">
        <v>86</v>
      </c>
      <c r="D12" s="269"/>
      <c r="E12" s="272" t="s">
        <v>77</v>
      </c>
      <c r="F12" s="270"/>
    </row>
    <row r="13" spans="2:6" x14ac:dyDescent="0.2">
      <c r="B13" s="273" t="s">
        <v>64</v>
      </c>
      <c r="C13" s="272" t="s">
        <v>89</v>
      </c>
      <c r="D13" s="272"/>
      <c r="E13" s="272" t="s">
        <v>77</v>
      </c>
      <c r="F13" s="274"/>
    </row>
    <row r="14" spans="2:6" x14ac:dyDescent="0.2">
      <c r="B14" s="268" t="s">
        <v>64</v>
      </c>
      <c r="C14" s="269" t="s">
        <v>107</v>
      </c>
      <c r="D14" s="269"/>
      <c r="E14" s="272" t="s">
        <v>77</v>
      </c>
      <c r="F14" s="270"/>
    </row>
    <row r="15" spans="2:6" x14ac:dyDescent="0.2">
      <c r="B15" s="267" t="s">
        <v>100</v>
      </c>
      <c r="C15" s="267" t="s">
        <v>49</v>
      </c>
      <c r="D15" s="267"/>
      <c r="E15" s="267" t="s">
        <v>15</v>
      </c>
      <c r="F15" s="267"/>
    </row>
    <row r="16" spans="2:6" x14ac:dyDescent="0.2">
      <c r="B16" s="269" t="s">
        <v>100</v>
      </c>
      <c r="C16" s="269" t="s">
        <v>112</v>
      </c>
      <c r="D16" s="269"/>
      <c r="E16" s="269" t="s">
        <v>15</v>
      </c>
      <c r="F16" s="269"/>
    </row>
    <row r="17" spans="2:6" x14ac:dyDescent="0.2">
      <c r="B17" s="278" t="s">
        <v>100</v>
      </c>
      <c r="C17" s="278" t="s">
        <v>113</v>
      </c>
      <c r="D17" s="278"/>
      <c r="E17" s="278" t="s">
        <v>15</v>
      </c>
      <c r="F17" s="278"/>
    </row>
    <row r="18" spans="2:6" ht="16" customHeight="1" x14ac:dyDescent="0.2">
      <c r="B18" s="267" t="s">
        <v>100</v>
      </c>
      <c r="C18" s="267" t="s">
        <v>114</v>
      </c>
      <c r="D18" s="267"/>
      <c r="E18" s="267" t="s">
        <v>137</v>
      </c>
      <c r="F18" s="267"/>
    </row>
    <row r="19" spans="2:6" x14ac:dyDescent="0.2">
      <c r="B19" s="269" t="s">
        <v>4</v>
      </c>
      <c r="C19" s="269" t="s">
        <v>64</v>
      </c>
      <c r="D19" s="269"/>
      <c r="E19" s="269" t="s">
        <v>77</v>
      </c>
      <c r="F19" s="269"/>
    </row>
    <row r="20" spans="2:6" x14ac:dyDescent="0.2">
      <c r="B20" s="269" t="s">
        <v>4</v>
      </c>
      <c r="C20" s="269" t="s">
        <v>128</v>
      </c>
      <c r="D20" s="269"/>
      <c r="E20" s="269" t="s">
        <v>77</v>
      </c>
      <c r="F20" s="269"/>
    </row>
    <row r="21" spans="2:6" x14ac:dyDescent="0.2">
      <c r="B21" s="269" t="s">
        <v>4</v>
      </c>
      <c r="C21" s="269" t="s">
        <v>129</v>
      </c>
      <c r="D21" s="269"/>
      <c r="E21" s="269" t="s">
        <v>77</v>
      </c>
      <c r="F21" s="269"/>
    </row>
    <row r="22" spans="2:6" x14ac:dyDescent="0.2">
      <c r="B22" s="269" t="s">
        <v>4</v>
      </c>
      <c r="C22" s="269" t="s">
        <v>130</v>
      </c>
      <c r="D22" s="269"/>
      <c r="E22" s="269" t="s">
        <v>77</v>
      </c>
      <c r="F22" s="269"/>
    </row>
    <row r="23" spans="2:6" x14ac:dyDescent="0.2">
      <c r="B23" s="278" t="s">
        <v>4</v>
      </c>
      <c r="C23" s="278" t="s">
        <v>125</v>
      </c>
      <c r="D23" s="278"/>
      <c r="E23" s="278" t="s">
        <v>136</v>
      </c>
      <c r="F23" s="278"/>
    </row>
    <row r="24" spans="2:6" x14ac:dyDescent="0.2">
      <c r="B24" s="267" t="s">
        <v>4</v>
      </c>
      <c r="C24" s="267" t="s">
        <v>132</v>
      </c>
      <c r="D24" s="267"/>
      <c r="E24" s="267" t="s">
        <v>136</v>
      </c>
      <c r="F24" s="267"/>
    </row>
    <row r="25" spans="2:6" x14ac:dyDescent="0.2">
      <c r="B25" s="269" t="s">
        <v>4</v>
      </c>
      <c r="C25" s="269" t="s">
        <v>131</v>
      </c>
      <c r="D25" s="269"/>
      <c r="E25" s="269" t="s">
        <v>136</v>
      </c>
      <c r="F25" s="269"/>
    </row>
    <row r="26" spans="2:6" x14ac:dyDescent="0.2">
      <c r="B26" s="269" t="s">
        <v>4</v>
      </c>
      <c r="C26" s="269" t="s">
        <v>126</v>
      </c>
      <c r="D26" s="269"/>
      <c r="E26" s="269" t="s">
        <v>136</v>
      </c>
      <c r="F26" s="269"/>
    </row>
    <row r="27" spans="2:6" x14ac:dyDescent="0.2">
      <c r="B27" s="278" t="s">
        <v>4</v>
      </c>
      <c r="C27" s="278" t="s">
        <v>124</v>
      </c>
      <c r="D27" s="278"/>
      <c r="E27" s="278" t="s">
        <v>137</v>
      </c>
      <c r="F27" s="278"/>
    </row>
    <row r="28" spans="2:6" x14ac:dyDescent="0.2">
      <c r="B28" s="267" t="s">
        <v>4</v>
      </c>
      <c r="C28" s="267" t="s">
        <v>117</v>
      </c>
      <c r="D28" s="267"/>
      <c r="E28" s="267" t="s">
        <v>15</v>
      </c>
      <c r="F28" s="267"/>
    </row>
    <row r="29" spans="2:6" x14ac:dyDescent="0.2">
      <c r="B29" s="269" t="s">
        <v>4</v>
      </c>
      <c r="C29" s="269" t="s">
        <v>127</v>
      </c>
      <c r="D29" s="269"/>
      <c r="E29" s="269" t="s">
        <v>15</v>
      </c>
      <c r="F29" s="269"/>
    </row>
    <row r="30" spans="2:6" x14ac:dyDescent="0.2">
      <c r="B30" s="269" t="s">
        <v>4</v>
      </c>
      <c r="C30" s="269" t="s">
        <v>133</v>
      </c>
      <c r="D30" s="269"/>
      <c r="E30" s="269" t="s">
        <v>137</v>
      </c>
      <c r="F30" s="269"/>
    </row>
    <row r="31" spans="2:6" x14ac:dyDescent="0.2">
      <c r="B31" s="272" t="s">
        <v>17</v>
      </c>
      <c r="C31" s="272" t="s">
        <v>32</v>
      </c>
      <c r="D31" s="272"/>
      <c r="E31" s="269" t="s">
        <v>136</v>
      </c>
      <c r="F31" s="272"/>
    </row>
    <row r="32" spans="2:6" x14ac:dyDescent="0.2">
      <c r="B32" s="269" t="s">
        <v>17</v>
      </c>
      <c r="C32" s="269" t="s">
        <v>110</v>
      </c>
      <c r="D32" s="269"/>
      <c r="E32" s="269" t="s">
        <v>136</v>
      </c>
      <c r="F32" s="269"/>
    </row>
    <row r="33" spans="2:6" x14ac:dyDescent="0.2">
      <c r="B33" s="269" t="s">
        <v>17</v>
      </c>
      <c r="C33" s="269" t="s">
        <v>59</v>
      </c>
      <c r="D33" s="269"/>
      <c r="E33" s="269" t="s">
        <v>136</v>
      </c>
      <c r="F33" s="269"/>
    </row>
    <row r="34" spans="2:6" x14ac:dyDescent="0.2">
      <c r="B34" s="269" t="s">
        <v>17</v>
      </c>
      <c r="C34" s="269" t="s">
        <v>111</v>
      </c>
      <c r="D34" s="269"/>
      <c r="E34" s="269" t="s">
        <v>136</v>
      </c>
      <c r="F34" s="269"/>
    </row>
    <row r="35" spans="2:6" x14ac:dyDescent="0.2">
      <c r="B35" s="278" t="s">
        <v>17</v>
      </c>
      <c r="C35" s="278" t="s">
        <v>108</v>
      </c>
      <c r="D35" s="278"/>
      <c r="E35" s="278" t="s">
        <v>136</v>
      </c>
      <c r="F35" s="278"/>
    </row>
    <row r="36" spans="2:6" x14ac:dyDescent="0.2">
      <c r="B36" s="267" t="s">
        <v>17</v>
      </c>
      <c r="C36" s="267" t="s">
        <v>109</v>
      </c>
      <c r="D36" s="267"/>
      <c r="E36" s="267" t="s">
        <v>136</v>
      </c>
      <c r="F36" s="267"/>
    </row>
    <row r="37" spans="2:6" x14ac:dyDescent="0.2">
      <c r="B37" s="269" t="s">
        <v>3</v>
      </c>
      <c r="C37" s="269" t="s">
        <v>120</v>
      </c>
      <c r="D37" s="269"/>
      <c r="E37" s="269" t="s">
        <v>77</v>
      </c>
      <c r="F37" s="269"/>
    </row>
    <row r="38" spans="2:6" x14ac:dyDescent="0.2">
      <c r="B38" s="278" t="s">
        <v>3</v>
      </c>
      <c r="C38" s="278" t="s">
        <v>119</v>
      </c>
      <c r="D38" s="278"/>
      <c r="E38" s="278" t="s">
        <v>137</v>
      </c>
      <c r="F38" s="278"/>
    </row>
    <row r="39" spans="2:6" x14ac:dyDescent="0.2">
      <c r="B39" s="268" t="s">
        <v>3</v>
      </c>
      <c r="C39" s="269" t="s">
        <v>116</v>
      </c>
      <c r="D39" s="269"/>
      <c r="E39" s="269" t="s">
        <v>136</v>
      </c>
      <c r="F39" s="270"/>
    </row>
    <row r="40" spans="2:6" x14ac:dyDescent="0.2">
      <c r="B40" s="268" t="s">
        <v>3</v>
      </c>
      <c r="C40" s="269" t="s">
        <v>83</v>
      </c>
      <c r="D40" s="269"/>
      <c r="E40" s="269" t="s">
        <v>136</v>
      </c>
      <c r="F40" s="270"/>
    </row>
    <row r="41" spans="2:6" x14ac:dyDescent="0.2">
      <c r="B41" s="268" t="s">
        <v>3</v>
      </c>
      <c r="C41" s="269" t="s">
        <v>96</v>
      </c>
      <c r="D41" s="269"/>
      <c r="E41" s="269" t="s">
        <v>136</v>
      </c>
      <c r="F41" s="270"/>
    </row>
    <row r="42" spans="2:6" x14ac:dyDescent="0.2">
      <c r="B42" s="268" t="s">
        <v>3</v>
      </c>
      <c r="C42" s="269" t="s">
        <v>115</v>
      </c>
      <c r="D42" s="269"/>
      <c r="E42" s="269" t="s">
        <v>69</v>
      </c>
      <c r="F42" s="270"/>
    </row>
    <row r="43" spans="2:6" x14ac:dyDescent="0.2">
      <c r="B43" s="268" t="s">
        <v>3</v>
      </c>
      <c r="C43" s="269" t="s">
        <v>117</v>
      </c>
      <c r="D43" s="269"/>
      <c r="E43" s="269" t="s">
        <v>15</v>
      </c>
      <c r="F43" s="270"/>
    </row>
    <row r="44" spans="2:6" x14ac:dyDescent="0.2">
      <c r="B44" s="268" t="s">
        <v>3</v>
      </c>
      <c r="C44" s="269" t="s">
        <v>118</v>
      </c>
      <c r="D44" s="269"/>
      <c r="E44" s="269" t="s">
        <v>137</v>
      </c>
      <c r="F44" s="270"/>
    </row>
    <row r="45" spans="2:6" x14ac:dyDescent="0.2">
      <c r="B45" s="268" t="s">
        <v>10</v>
      </c>
      <c r="C45" s="269" t="s">
        <v>104</v>
      </c>
      <c r="D45" s="269"/>
      <c r="E45" s="269" t="s">
        <v>69</v>
      </c>
      <c r="F45" s="270"/>
    </row>
    <row r="46" spans="2:6" x14ac:dyDescent="0.2">
      <c r="B46" s="273" t="s">
        <v>10</v>
      </c>
      <c r="C46" s="272" t="s">
        <v>75</v>
      </c>
      <c r="D46" s="272"/>
      <c r="E46" s="269" t="s">
        <v>69</v>
      </c>
      <c r="F46" s="274"/>
    </row>
    <row r="47" spans="2:6" x14ac:dyDescent="0.2">
      <c r="B47" s="268" t="s">
        <v>10</v>
      </c>
      <c r="C47" s="269" t="s">
        <v>106</v>
      </c>
      <c r="D47" s="269"/>
      <c r="E47" s="269" t="s">
        <v>69</v>
      </c>
      <c r="F47" s="270"/>
    </row>
    <row r="48" spans="2:6" x14ac:dyDescent="0.2">
      <c r="B48" s="268" t="s">
        <v>10</v>
      </c>
      <c r="C48" s="269" t="s">
        <v>102</v>
      </c>
      <c r="D48" s="269"/>
      <c r="E48" s="269" t="s">
        <v>69</v>
      </c>
      <c r="F48" s="270"/>
    </row>
    <row r="49" spans="2:11" x14ac:dyDescent="0.2">
      <c r="B49" s="268" t="s">
        <v>10</v>
      </c>
      <c r="C49" s="269" t="s">
        <v>103</v>
      </c>
      <c r="D49" s="269"/>
      <c r="E49" s="269" t="s">
        <v>69</v>
      </c>
      <c r="F49" s="270"/>
    </row>
    <row r="50" spans="2:11" x14ac:dyDescent="0.2">
      <c r="B50" s="266" t="s">
        <v>10</v>
      </c>
      <c r="C50" s="266" t="s">
        <v>105</v>
      </c>
      <c r="D50" s="266"/>
      <c r="E50" s="266" t="s">
        <v>69</v>
      </c>
      <c r="F50" s="266"/>
    </row>
    <row r="55" spans="2:11" s="282" customFormat="1" ht="5" customHeight="1" x14ac:dyDescent="0.2"/>
    <row r="56" spans="2:11" ht="12" customHeight="1" x14ac:dyDescent="0.2"/>
    <row r="57" spans="2:11" ht="16" customHeight="1" x14ac:dyDescent="0.2">
      <c r="B57" s="961" t="s">
        <v>150</v>
      </c>
      <c r="C57" s="962"/>
      <c r="D57" s="962"/>
      <c r="E57" s="963"/>
    </row>
    <row r="58" spans="2:11" ht="16" customHeight="1" x14ac:dyDescent="0.2">
      <c r="B58" s="964"/>
      <c r="C58" s="965"/>
      <c r="D58" s="965"/>
      <c r="E58" s="966"/>
    </row>
    <row r="60" spans="2:11" ht="19" x14ac:dyDescent="0.25">
      <c r="B60" s="981" t="s">
        <v>151</v>
      </c>
      <c r="C60" s="981"/>
      <c r="D60" s="981"/>
      <c r="H60" s="981" t="s">
        <v>1490</v>
      </c>
      <c r="I60" s="981"/>
      <c r="J60" s="981"/>
    </row>
    <row r="61" spans="2:11" x14ac:dyDescent="0.2">
      <c r="B61" t="s">
        <v>1478</v>
      </c>
    </row>
    <row r="62" spans="2:11" x14ac:dyDescent="0.2">
      <c r="B62" t="s">
        <v>1479</v>
      </c>
    </row>
    <row r="64" spans="2:11" x14ac:dyDescent="0.2">
      <c r="B64" s="283" t="s">
        <v>97</v>
      </c>
      <c r="C64" s="284" t="s">
        <v>98</v>
      </c>
      <c r="D64" s="283" t="s">
        <v>158</v>
      </c>
      <c r="E64" s="285" t="s">
        <v>152</v>
      </c>
      <c r="F64" s="285" t="s">
        <v>153</v>
      </c>
      <c r="H64" s="708" t="s">
        <v>239</v>
      </c>
      <c r="I64" s="709" t="s">
        <v>245</v>
      </c>
      <c r="K64" s="279" t="s">
        <v>243</v>
      </c>
    </row>
    <row r="65" spans="2:18" ht="18" customHeight="1" x14ac:dyDescent="0.2">
      <c r="B65" s="127" t="s">
        <v>154</v>
      </c>
      <c r="C65" s="129" t="s">
        <v>123</v>
      </c>
      <c r="D65" s="5" t="s">
        <v>64</v>
      </c>
      <c r="E65" s="128" t="s">
        <v>155</v>
      </c>
      <c r="F65" s="286" t="s">
        <v>167</v>
      </c>
      <c r="H65" s="270" t="s">
        <v>216</v>
      </c>
      <c r="I65" s="707">
        <v>36.08</v>
      </c>
      <c r="K65" t="s">
        <v>244</v>
      </c>
    </row>
    <row r="66" spans="2:18" ht="18" customHeight="1" x14ac:dyDescent="0.2">
      <c r="B66" s="129" t="s">
        <v>64</v>
      </c>
      <c r="C66" s="129" t="s">
        <v>86</v>
      </c>
      <c r="D66" s="5" t="s">
        <v>64</v>
      </c>
      <c r="E66" s="128" t="s">
        <v>155</v>
      </c>
      <c r="F66" s="286" t="s">
        <v>168</v>
      </c>
      <c r="H66" s="270" t="s">
        <v>240</v>
      </c>
      <c r="I66" s="707">
        <v>35.880000000000003</v>
      </c>
    </row>
    <row r="67" spans="2:18" ht="18" customHeight="1" x14ac:dyDescent="0.2">
      <c r="B67" s="129" t="s">
        <v>64</v>
      </c>
      <c r="C67" s="129" t="s">
        <v>89</v>
      </c>
      <c r="D67" s="5" t="s">
        <v>64</v>
      </c>
      <c r="E67" s="128" t="s">
        <v>155</v>
      </c>
      <c r="F67" s="286" t="s">
        <v>168</v>
      </c>
      <c r="H67" s="270" t="s">
        <v>241</v>
      </c>
      <c r="I67" s="707">
        <v>34.47</v>
      </c>
      <c r="K67" t="s">
        <v>247</v>
      </c>
    </row>
    <row r="68" spans="2:18" ht="18" customHeight="1" x14ac:dyDescent="0.2">
      <c r="B68" s="129" t="s">
        <v>64</v>
      </c>
      <c r="C68" s="129" t="s">
        <v>107</v>
      </c>
      <c r="D68" s="5" t="s">
        <v>64</v>
      </c>
      <c r="E68" s="128" t="s">
        <v>155</v>
      </c>
      <c r="F68" s="286" t="s">
        <v>168</v>
      </c>
      <c r="H68" s="270" t="s">
        <v>242</v>
      </c>
      <c r="I68" s="707">
        <v>28.83</v>
      </c>
      <c r="K68" t="s">
        <v>246</v>
      </c>
    </row>
    <row r="69" spans="2:18" ht="18" customHeight="1" x14ac:dyDescent="0.2">
      <c r="B69" s="129" t="s">
        <v>4</v>
      </c>
      <c r="C69" s="129" t="s">
        <v>64</v>
      </c>
      <c r="D69" s="5" t="s">
        <v>64</v>
      </c>
      <c r="E69" s="128" t="s">
        <v>155</v>
      </c>
      <c r="F69" s="286" t="s">
        <v>180</v>
      </c>
      <c r="H69" s="271" t="s">
        <v>214</v>
      </c>
      <c r="I69" s="277">
        <v>35</v>
      </c>
    </row>
    <row r="70" spans="2:18" ht="34" x14ac:dyDescent="0.2">
      <c r="B70" s="129" t="s">
        <v>4</v>
      </c>
      <c r="C70" s="129" t="s">
        <v>128</v>
      </c>
      <c r="D70" s="5" t="s">
        <v>64</v>
      </c>
      <c r="E70" s="128" t="s">
        <v>155</v>
      </c>
      <c r="F70" s="286" t="s">
        <v>179</v>
      </c>
    </row>
    <row r="71" spans="2:18" ht="17" x14ac:dyDescent="0.2">
      <c r="B71" s="129" t="s">
        <v>4</v>
      </c>
      <c r="C71" s="129" t="s">
        <v>129</v>
      </c>
      <c r="D71" s="5" t="s">
        <v>64</v>
      </c>
      <c r="E71" s="128" t="s">
        <v>155</v>
      </c>
      <c r="F71" s="286" t="s">
        <v>168</v>
      </c>
      <c r="K71" s="980" t="s">
        <v>1488</v>
      </c>
      <c r="L71" s="980"/>
      <c r="M71" s="861" t="s">
        <v>270</v>
      </c>
      <c r="N71" s="861"/>
      <c r="O71" s="861"/>
      <c r="P71" s="861"/>
      <c r="Q71" s="861"/>
      <c r="R71" s="861"/>
    </row>
    <row r="72" spans="2:18" ht="17" x14ac:dyDescent="0.2">
      <c r="B72" s="129" t="s">
        <v>3</v>
      </c>
      <c r="C72" s="129" t="s">
        <v>120</v>
      </c>
      <c r="D72" s="5" t="s">
        <v>64</v>
      </c>
      <c r="E72" s="128" t="s">
        <v>155</v>
      </c>
      <c r="F72" s="286" t="s">
        <v>165</v>
      </c>
      <c r="H72" s="265" t="s">
        <v>239</v>
      </c>
      <c r="I72" s="265" t="s">
        <v>268</v>
      </c>
      <c r="J72" s="265" t="s">
        <v>269</v>
      </c>
      <c r="K72" s="279"/>
      <c r="M72" s="861"/>
      <c r="N72" s="861"/>
      <c r="O72" s="861"/>
      <c r="P72" s="861"/>
      <c r="Q72" s="861"/>
      <c r="R72" s="861"/>
    </row>
    <row r="73" spans="2:18" ht="34" x14ac:dyDescent="0.2">
      <c r="B73" s="129" t="s">
        <v>4</v>
      </c>
      <c r="C73" s="129" t="s">
        <v>125</v>
      </c>
      <c r="D73" s="5" t="s">
        <v>160</v>
      </c>
      <c r="E73" s="128" t="s">
        <v>155</v>
      </c>
      <c r="F73" s="286" t="s">
        <v>171</v>
      </c>
      <c r="H73" s="266" t="s">
        <v>216</v>
      </c>
      <c r="I73" s="287">
        <v>2.4E-2</v>
      </c>
      <c r="J73" s="287">
        <f>I73*$J$78/$I$78</f>
        <v>7.4534161490683218E-2</v>
      </c>
      <c r="K73" s="237"/>
      <c r="L73" s="280"/>
      <c r="M73" s="861"/>
      <c r="N73" s="861"/>
      <c r="O73" s="861"/>
      <c r="P73" s="861"/>
      <c r="Q73" s="861"/>
      <c r="R73" s="861"/>
    </row>
    <row r="74" spans="2:18" ht="17" x14ac:dyDescent="0.2">
      <c r="B74" s="129" t="s">
        <v>4</v>
      </c>
      <c r="C74" s="129" t="s">
        <v>126</v>
      </c>
      <c r="D74" s="288" t="s">
        <v>160</v>
      </c>
      <c r="E74" s="128" t="s">
        <v>155</v>
      </c>
      <c r="F74" s="286" t="s">
        <v>170</v>
      </c>
      <c r="H74" s="266" t="s">
        <v>240</v>
      </c>
      <c r="I74" s="287">
        <v>3.7999999999999999E-2</v>
      </c>
      <c r="J74" s="287">
        <f>I74*$J$78/$I$78</f>
        <v>0.11801242236024842</v>
      </c>
      <c r="K74" s="237"/>
      <c r="L74" s="280"/>
    </row>
    <row r="75" spans="2:18" ht="34" x14ac:dyDescent="0.2">
      <c r="B75" s="129" t="s">
        <v>17</v>
      </c>
      <c r="C75" s="129" t="s">
        <v>32</v>
      </c>
      <c r="D75" s="5" t="s">
        <v>160</v>
      </c>
      <c r="E75" s="128" t="s">
        <v>156</v>
      </c>
      <c r="F75" s="286" t="s">
        <v>171</v>
      </c>
      <c r="H75" s="266" t="s">
        <v>241</v>
      </c>
      <c r="I75" s="287">
        <v>7.5999999999999998E-2</v>
      </c>
      <c r="J75" s="287">
        <f>I75*$J$78/$I$78</f>
        <v>0.23602484472049684</v>
      </c>
      <c r="K75" s="237"/>
      <c r="L75" s="280"/>
    </row>
    <row r="76" spans="2:18" ht="17" x14ac:dyDescent="0.2">
      <c r="B76" s="129" t="s">
        <v>17</v>
      </c>
      <c r="C76" s="129" t="s">
        <v>110</v>
      </c>
      <c r="D76" s="5" t="s">
        <v>160</v>
      </c>
      <c r="E76" s="128" t="s">
        <v>156</v>
      </c>
      <c r="F76" s="286" t="s">
        <v>172</v>
      </c>
      <c r="H76" s="266" t="s">
        <v>242</v>
      </c>
      <c r="I76" s="287">
        <v>0.155</v>
      </c>
      <c r="J76" s="287">
        <f>I76*$J$78/$I$78</f>
        <v>0.4813664596273291</v>
      </c>
      <c r="K76" s="237"/>
      <c r="L76" s="280"/>
    </row>
    <row r="77" spans="2:18" ht="34" x14ac:dyDescent="0.2">
      <c r="B77" s="129" t="s">
        <v>17</v>
      </c>
      <c r="C77" s="129" t="s">
        <v>59</v>
      </c>
      <c r="D77" s="5" t="s">
        <v>160</v>
      </c>
      <c r="E77" s="128" t="s">
        <v>156</v>
      </c>
      <c r="F77" s="286" t="s">
        <v>173</v>
      </c>
      <c r="H77" s="266" t="s">
        <v>214</v>
      </c>
      <c r="I77" s="287">
        <v>2.9000000000000001E-2</v>
      </c>
      <c r="J77" s="287">
        <f>I77*$J$78/$I$78</f>
        <v>9.0062111801242226E-2</v>
      </c>
      <c r="K77" s="237"/>
      <c r="L77" s="280"/>
    </row>
    <row r="78" spans="2:18" ht="34" x14ac:dyDescent="0.2">
      <c r="B78" s="129" t="s">
        <v>17</v>
      </c>
      <c r="C78" s="129" t="s">
        <v>111</v>
      </c>
      <c r="D78" s="5" t="s">
        <v>160</v>
      </c>
      <c r="E78" s="128" t="s">
        <v>156</v>
      </c>
      <c r="F78" s="286" t="s">
        <v>173</v>
      </c>
      <c r="H78" s="265" t="s">
        <v>267</v>
      </c>
      <c r="I78" s="289">
        <f>SUM(I73:I77)</f>
        <v>0.32200000000000006</v>
      </c>
      <c r="J78" s="290">
        <v>1</v>
      </c>
      <c r="K78" s="291" t="s">
        <v>271</v>
      </c>
      <c r="L78" s="280"/>
    </row>
    <row r="79" spans="2:18" ht="17" x14ac:dyDescent="0.2">
      <c r="B79" s="129" t="s">
        <v>17</v>
      </c>
      <c r="C79" s="129" t="s">
        <v>108</v>
      </c>
      <c r="D79" s="5" t="s">
        <v>160</v>
      </c>
      <c r="E79" s="128" t="s">
        <v>156</v>
      </c>
      <c r="F79" s="286" t="s">
        <v>170</v>
      </c>
      <c r="H79" s="586" t="s">
        <v>1638</v>
      </c>
      <c r="K79" t="s">
        <v>1489</v>
      </c>
    </row>
    <row r="80" spans="2:18" ht="17" x14ac:dyDescent="0.2">
      <c r="B80" s="129" t="s">
        <v>17</v>
      </c>
      <c r="C80" s="129" t="s">
        <v>109</v>
      </c>
      <c r="D80" s="5" t="s">
        <v>160</v>
      </c>
      <c r="E80" s="128" t="s">
        <v>156</v>
      </c>
      <c r="F80" s="286" t="s">
        <v>170</v>
      </c>
    </row>
    <row r="81" spans="2:20" ht="51" x14ac:dyDescent="0.2">
      <c r="B81" s="129" t="s">
        <v>3</v>
      </c>
      <c r="C81" s="129" t="s">
        <v>116</v>
      </c>
      <c r="D81" s="5" t="s">
        <v>160</v>
      </c>
      <c r="E81" s="128" t="s">
        <v>156</v>
      </c>
      <c r="F81" s="286" t="s">
        <v>161</v>
      </c>
      <c r="H81" s="982" t="s">
        <v>1491</v>
      </c>
      <c r="I81" s="983"/>
      <c r="J81" s="984"/>
    </row>
    <row r="82" spans="2:20" ht="18" thickBot="1" x14ac:dyDescent="0.25">
      <c r="B82" s="129" t="s">
        <v>3</v>
      </c>
      <c r="C82" s="129" t="s">
        <v>83</v>
      </c>
      <c r="D82" s="5" t="s">
        <v>160</v>
      </c>
      <c r="E82" s="128" t="s">
        <v>156</v>
      </c>
      <c r="F82" s="286" t="s">
        <v>166</v>
      </c>
    </row>
    <row r="83" spans="2:20" ht="34" x14ac:dyDescent="0.2">
      <c r="B83" s="129" t="s">
        <v>4</v>
      </c>
      <c r="C83" s="129" t="s">
        <v>117</v>
      </c>
      <c r="D83" s="5" t="s">
        <v>178</v>
      </c>
      <c r="E83" s="128" t="s">
        <v>157</v>
      </c>
      <c r="F83" s="286" t="s">
        <v>159</v>
      </c>
      <c r="H83" s="292" t="s">
        <v>274</v>
      </c>
      <c r="I83" s="293">
        <v>2020</v>
      </c>
      <c r="J83" s="294">
        <v>2021</v>
      </c>
      <c r="K83" s="294">
        <v>2022</v>
      </c>
      <c r="L83" s="294">
        <v>2023</v>
      </c>
      <c r="M83" s="295">
        <v>2024</v>
      </c>
      <c r="N83" s="296">
        <v>2025</v>
      </c>
      <c r="O83" s="297">
        <v>2026</v>
      </c>
      <c r="P83" s="298">
        <v>2027</v>
      </c>
      <c r="Q83" s="296" t="s">
        <v>276</v>
      </c>
      <c r="R83" s="299" t="s">
        <v>277</v>
      </c>
    </row>
    <row r="84" spans="2:20" ht="17" x14ac:dyDescent="0.2">
      <c r="B84" s="129" t="s">
        <v>4</v>
      </c>
      <c r="C84" s="129" t="s">
        <v>127</v>
      </c>
      <c r="D84" s="5" t="s">
        <v>178</v>
      </c>
      <c r="E84" s="128" t="s">
        <v>155</v>
      </c>
      <c r="F84" s="286" t="s">
        <v>166</v>
      </c>
      <c r="H84" s="300" t="s">
        <v>1481</v>
      </c>
      <c r="I84" s="301">
        <v>8191</v>
      </c>
      <c r="J84" s="302">
        <v>8725</v>
      </c>
      <c r="K84" s="302">
        <v>8907</v>
      </c>
      <c r="L84" s="302">
        <v>9498</v>
      </c>
      <c r="M84" s="303">
        <v>9787</v>
      </c>
      <c r="N84" s="304">
        <f>_xlfn.FORECAST.LINEAR(N83,I84:M84,I83:M83)</f>
        <v>10211.099999999977</v>
      </c>
      <c r="O84" s="305">
        <f>_xlfn.FORECAST.LINEAR(O83,I84:M84,I83:M83)</f>
        <v>10607.599999999977</v>
      </c>
      <c r="P84" s="306">
        <f>_xlfn.FORECAST.LINEAR(P83,I84:M84,I83:M83)</f>
        <v>11004.099999999977</v>
      </c>
      <c r="Q84" s="307">
        <f>(N84-M84)/L84</f>
        <v>4.4651505580119683E-2</v>
      </c>
      <c r="R84" s="308">
        <f>((M84/I84)^(1/5))-1</f>
        <v>3.6245201463443122E-2</v>
      </c>
      <c r="T84" t="s">
        <v>1482</v>
      </c>
    </row>
    <row r="85" spans="2:20" ht="34" x14ac:dyDescent="0.2">
      <c r="B85" s="129" t="s">
        <v>3</v>
      </c>
      <c r="C85" s="129" t="s">
        <v>117</v>
      </c>
      <c r="D85" s="5" t="s">
        <v>178</v>
      </c>
      <c r="E85" s="128" t="s">
        <v>157</v>
      </c>
      <c r="F85" s="286" t="s">
        <v>159</v>
      </c>
      <c r="H85" s="300" t="s">
        <v>1483</v>
      </c>
      <c r="I85" s="301">
        <v>1741</v>
      </c>
      <c r="J85" s="302">
        <v>1994</v>
      </c>
      <c r="K85" s="302">
        <v>2149</v>
      </c>
      <c r="L85" s="302">
        <v>2309</v>
      </c>
      <c r="M85" s="303">
        <v>2480</v>
      </c>
      <c r="N85" s="304">
        <f>_xlfn.FORECAST.LINEAR(N83,I85:M85,I83:M83)</f>
        <v>2672.4999999999418</v>
      </c>
      <c r="O85" s="305">
        <f>N85*(1+Q85)</f>
        <v>2879.9420362901969</v>
      </c>
      <c r="P85" s="306">
        <f>O85*(1+Q85)</f>
        <v>3103.4859241876547</v>
      </c>
      <c r="Q85" s="307">
        <f>(N85-M85)/M85</f>
        <v>7.7620967741912017E-2</v>
      </c>
      <c r="R85" s="309"/>
    </row>
    <row r="86" spans="2:20" ht="17" x14ac:dyDescent="0.2">
      <c r="B86" s="129" t="s">
        <v>100</v>
      </c>
      <c r="C86" s="129" t="s">
        <v>112</v>
      </c>
      <c r="D86" s="5" t="s">
        <v>15</v>
      </c>
      <c r="E86" s="128" t="s">
        <v>156</v>
      </c>
      <c r="F86" s="286" t="s">
        <v>174</v>
      </c>
      <c r="H86" s="300" t="s">
        <v>1484</v>
      </c>
      <c r="I86" s="301">
        <v>258</v>
      </c>
      <c r="J86" s="302">
        <v>310</v>
      </c>
      <c r="K86" s="302">
        <v>323</v>
      </c>
      <c r="L86" s="302">
        <v>352</v>
      </c>
      <c r="M86" s="303">
        <v>358</v>
      </c>
      <c r="N86" s="304">
        <f>_xlfn.FORECAST.LINEAR(N83,I86:M86,I83:M83)</f>
        <v>392.79999999999563</v>
      </c>
      <c r="O86" s="305">
        <f>N86*(1+Q86)</f>
        <v>430.98279329607982</v>
      </c>
      <c r="P86" s="306">
        <f>O86*(Q86+1)</f>
        <v>472.87721007457617</v>
      </c>
      <c r="Q86" s="307">
        <f>(N86-M86)/M86</f>
        <v>9.7206703910602335E-2</v>
      </c>
      <c r="R86" s="309"/>
    </row>
    <row r="87" spans="2:20" ht="35" thickBot="1" x14ac:dyDescent="0.25">
      <c r="B87" s="129" t="s">
        <v>100</v>
      </c>
      <c r="C87" s="129" t="s">
        <v>113</v>
      </c>
      <c r="D87" s="5" t="s">
        <v>15</v>
      </c>
      <c r="E87" s="128" t="s">
        <v>156</v>
      </c>
      <c r="F87" s="286" t="s">
        <v>177</v>
      </c>
      <c r="H87" s="310" t="s">
        <v>1485</v>
      </c>
      <c r="I87" s="710">
        <f>I85-I86</f>
        <v>1483</v>
      </c>
      <c r="J87" s="711">
        <f t="shared" ref="J87:N87" si="0">J85-J86</f>
        <v>1684</v>
      </c>
      <c r="K87" s="711">
        <f t="shared" si="0"/>
        <v>1826</v>
      </c>
      <c r="L87" s="711">
        <f t="shared" si="0"/>
        <v>1957</v>
      </c>
      <c r="M87" s="712">
        <f t="shared" si="0"/>
        <v>2122</v>
      </c>
      <c r="N87" s="713">
        <f t="shared" si="0"/>
        <v>2279.6999999999462</v>
      </c>
      <c r="O87" s="714">
        <f>O85-O86</f>
        <v>2448.9592429941172</v>
      </c>
      <c r="P87" s="715">
        <f>P85-P86</f>
        <v>2630.6087141130783</v>
      </c>
      <c r="Q87" s="311">
        <f>Q86-Q85</f>
        <v>1.9585736168690318E-2</v>
      </c>
      <c r="R87" s="312"/>
    </row>
    <row r="88" spans="2:20" ht="17" x14ac:dyDescent="0.2">
      <c r="B88" s="129" t="s">
        <v>3</v>
      </c>
      <c r="C88" s="129" t="s">
        <v>96</v>
      </c>
      <c r="D88" s="5" t="s">
        <v>10</v>
      </c>
      <c r="E88" s="128" t="s">
        <v>156</v>
      </c>
      <c r="F88" s="286" t="s">
        <v>166</v>
      </c>
    </row>
    <row r="89" spans="2:20" ht="34" x14ac:dyDescent="0.2">
      <c r="B89" s="129" t="s">
        <v>100</v>
      </c>
      <c r="C89" s="129" t="s">
        <v>49</v>
      </c>
      <c r="D89" s="5" t="s">
        <v>162</v>
      </c>
      <c r="E89" s="128" t="s">
        <v>156</v>
      </c>
      <c r="F89" s="286" t="s">
        <v>164</v>
      </c>
      <c r="H89" s="203"/>
      <c r="I89" s="718" t="s">
        <v>1487</v>
      </c>
      <c r="J89" s="203"/>
      <c r="K89" s="203"/>
      <c r="L89" s="203"/>
      <c r="M89" s="203"/>
      <c r="N89" s="203"/>
      <c r="O89" s="203"/>
      <c r="P89" s="203"/>
      <c r="Q89" s="203"/>
      <c r="R89" s="203"/>
    </row>
    <row r="90" spans="2:20" ht="17" customHeight="1" x14ac:dyDescent="0.2">
      <c r="B90" s="129" t="s">
        <v>100</v>
      </c>
      <c r="C90" s="129" t="s">
        <v>114</v>
      </c>
      <c r="D90" s="5" t="s">
        <v>162</v>
      </c>
      <c r="E90" s="128" t="s">
        <v>175</v>
      </c>
      <c r="F90" s="286" t="s">
        <v>163</v>
      </c>
      <c r="H90" s="716" t="s">
        <v>1480</v>
      </c>
      <c r="I90" s="313" t="s">
        <v>278</v>
      </c>
    </row>
    <row r="91" spans="2:20" ht="34" x14ac:dyDescent="0.2">
      <c r="B91" s="129" t="s">
        <v>4</v>
      </c>
      <c r="C91" s="129" t="s">
        <v>130</v>
      </c>
      <c r="D91" s="5" t="s">
        <v>162</v>
      </c>
      <c r="E91" s="128" t="s">
        <v>155</v>
      </c>
      <c r="F91" s="286" t="s">
        <v>164</v>
      </c>
    </row>
    <row r="92" spans="2:20" ht="17" x14ac:dyDescent="0.2">
      <c r="B92" s="129" t="s">
        <v>4</v>
      </c>
      <c r="C92" s="129" t="s">
        <v>132</v>
      </c>
      <c r="D92" s="5" t="s">
        <v>162</v>
      </c>
      <c r="E92" s="128" t="s">
        <v>155</v>
      </c>
      <c r="F92" s="286" t="s">
        <v>181</v>
      </c>
    </row>
    <row r="93" spans="2:20" ht="17" x14ac:dyDescent="0.2">
      <c r="B93" s="129" t="s">
        <v>4</v>
      </c>
      <c r="C93" s="129" t="s">
        <v>131</v>
      </c>
      <c r="D93" s="288" t="s">
        <v>162</v>
      </c>
      <c r="E93" s="128" t="s">
        <v>155</v>
      </c>
      <c r="F93" s="286" t="s">
        <v>181</v>
      </c>
    </row>
    <row r="94" spans="2:20" ht="34" x14ac:dyDescent="0.2">
      <c r="B94" s="129" t="s">
        <v>4</v>
      </c>
      <c r="C94" s="129" t="s">
        <v>124</v>
      </c>
      <c r="D94" s="5" t="s">
        <v>162</v>
      </c>
      <c r="E94" s="128" t="s">
        <v>155</v>
      </c>
      <c r="F94" s="286" t="s">
        <v>164</v>
      </c>
    </row>
    <row r="95" spans="2:20" ht="34" x14ac:dyDescent="0.2">
      <c r="B95" s="129" t="s">
        <v>4</v>
      </c>
      <c r="C95" s="129" t="s">
        <v>133</v>
      </c>
      <c r="D95" s="5" t="s">
        <v>162</v>
      </c>
      <c r="E95" s="128" t="s">
        <v>175</v>
      </c>
      <c r="F95" s="286" t="s">
        <v>163</v>
      </c>
    </row>
    <row r="96" spans="2:20" ht="34" x14ac:dyDescent="0.2">
      <c r="B96" s="129" t="s">
        <v>3</v>
      </c>
      <c r="C96" s="129" t="s">
        <v>119</v>
      </c>
      <c r="D96" s="5" t="s">
        <v>162</v>
      </c>
      <c r="E96" s="128" t="s">
        <v>155</v>
      </c>
      <c r="F96" s="286" t="s">
        <v>164</v>
      </c>
    </row>
    <row r="97" spans="2:9" ht="34" x14ac:dyDescent="0.2">
      <c r="B97" s="129" t="s">
        <v>3</v>
      </c>
      <c r="C97" s="129" t="s">
        <v>118</v>
      </c>
      <c r="D97" s="5" t="s">
        <v>162</v>
      </c>
      <c r="E97" s="128" t="s">
        <v>155</v>
      </c>
      <c r="F97" s="286" t="s">
        <v>163</v>
      </c>
    </row>
    <row r="98" spans="2:9" ht="34" x14ac:dyDescent="0.2">
      <c r="B98" s="129" t="s">
        <v>3</v>
      </c>
      <c r="C98" s="129" t="s">
        <v>115</v>
      </c>
      <c r="D98" s="5" t="s">
        <v>162</v>
      </c>
      <c r="E98" s="128" t="s">
        <v>155</v>
      </c>
      <c r="F98" s="286" t="s">
        <v>159</v>
      </c>
    </row>
    <row r="99" spans="2:9" ht="34" customHeight="1" x14ac:dyDescent="0.2">
      <c r="B99" s="129" t="s">
        <v>154</v>
      </c>
      <c r="C99" s="129" t="s">
        <v>121</v>
      </c>
      <c r="D99" s="5" t="s">
        <v>10</v>
      </c>
      <c r="E99" s="128" t="s">
        <v>156</v>
      </c>
      <c r="F99" s="286" t="s">
        <v>165</v>
      </c>
      <c r="I99" s="313"/>
    </row>
    <row r="100" spans="2:9" ht="17" customHeight="1" x14ac:dyDescent="0.2">
      <c r="B100" s="129" t="s">
        <v>154</v>
      </c>
      <c r="C100" s="129" t="s">
        <v>122</v>
      </c>
      <c r="D100" s="5" t="s">
        <v>10</v>
      </c>
      <c r="E100" s="128" t="s">
        <v>156</v>
      </c>
      <c r="F100" s="286" t="s">
        <v>165</v>
      </c>
      <c r="G100" s="387"/>
    </row>
    <row r="101" spans="2:9" ht="18" customHeight="1" x14ac:dyDescent="0.2">
      <c r="B101" s="129" t="s">
        <v>10</v>
      </c>
      <c r="C101" s="129" t="s">
        <v>104</v>
      </c>
      <c r="D101" s="5" t="s">
        <v>10</v>
      </c>
      <c r="E101" s="128" t="s">
        <v>156</v>
      </c>
      <c r="F101" s="286" t="s">
        <v>169</v>
      </c>
      <c r="G101" s="387"/>
    </row>
    <row r="102" spans="2:9" ht="17" x14ac:dyDescent="0.2">
      <c r="B102" s="129" t="s">
        <v>10</v>
      </c>
      <c r="C102" s="129" t="s">
        <v>75</v>
      </c>
      <c r="D102" s="5" t="s">
        <v>10</v>
      </c>
      <c r="E102" s="128" t="s">
        <v>156</v>
      </c>
      <c r="F102" s="286" t="s">
        <v>166</v>
      </c>
      <c r="G102" s="387"/>
    </row>
    <row r="103" spans="2:9" ht="17" x14ac:dyDescent="0.2">
      <c r="B103" s="129" t="s">
        <v>10</v>
      </c>
      <c r="C103" s="129" t="s">
        <v>106</v>
      </c>
      <c r="D103" s="5" t="s">
        <v>10</v>
      </c>
      <c r="E103" s="128" t="s">
        <v>156</v>
      </c>
      <c r="F103" s="286" t="s">
        <v>166</v>
      </c>
      <c r="G103" s="387"/>
    </row>
    <row r="104" spans="2:9" ht="17" x14ac:dyDescent="0.2">
      <c r="B104" s="129" t="s">
        <v>10</v>
      </c>
      <c r="C104" s="129" t="s">
        <v>102</v>
      </c>
      <c r="D104" s="5" t="s">
        <v>10</v>
      </c>
      <c r="E104" s="128" t="s">
        <v>156</v>
      </c>
      <c r="F104" s="286" t="s">
        <v>166</v>
      </c>
      <c r="G104" s="387"/>
    </row>
    <row r="105" spans="2:9" ht="17" x14ac:dyDescent="0.2">
      <c r="B105" s="129" t="s">
        <v>10</v>
      </c>
      <c r="C105" s="129" t="s">
        <v>103</v>
      </c>
      <c r="D105" s="5" t="s">
        <v>10</v>
      </c>
      <c r="E105" s="128" t="s">
        <v>156</v>
      </c>
      <c r="F105" s="286" t="s">
        <v>169</v>
      </c>
      <c r="G105" s="387"/>
    </row>
    <row r="106" spans="2:9" ht="17" x14ac:dyDescent="0.2">
      <c r="B106" s="129" t="s">
        <v>10</v>
      </c>
      <c r="C106" s="129" t="s">
        <v>105</v>
      </c>
      <c r="D106" s="5" t="s">
        <v>10</v>
      </c>
      <c r="E106" s="128" t="s">
        <v>156</v>
      </c>
      <c r="F106" s="286" t="s">
        <v>169</v>
      </c>
      <c r="G106" s="387"/>
    </row>
    <row r="117" spans="8:14" ht="19" x14ac:dyDescent="0.25">
      <c r="H117" s="981" t="s">
        <v>1492</v>
      </c>
      <c r="I117" s="981"/>
      <c r="J117" s="981"/>
    </row>
    <row r="118" spans="8:14" ht="19" x14ac:dyDescent="0.25">
      <c r="H118" s="719"/>
      <c r="I118" s="719"/>
      <c r="J118" s="719"/>
    </row>
    <row r="119" spans="8:14" ht="21" x14ac:dyDescent="0.2">
      <c r="H119" s="720" t="s">
        <v>1493</v>
      </c>
      <c r="I119" s="717"/>
      <c r="J119" s="717"/>
      <c r="K119" s="717"/>
      <c r="L119" s="717"/>
      <c r="M119" s="717"/>
    </row>
    <row r="120" spans="8:14" x14ac:dyDescent="0.2">
      <c r="H120" s="265" t="s">
        <v>6</v>
      </c>
      <c r="I120" s="58">
        <v>2024</v>
      </c>
      <c r="J120" s="58">
        <v>2025</v>
      </c>
      <c r="K120" s="58">
        <v>2026</v>
      </c>
      <c r="L120" s="315">
        <v>2027</v>
      </c>
      <c r="N120" t="s">
        <v>1486</v>
      </c>
    </row>
    <row r="121" spans="8:14" x14ac:dyDescent="0.2">
      <c r="H121" s="316" t="s">
        <v>280</v>
      </c>
      <c r="I121" s="275">
        <v>36.08</v>
      </c>
      <c r="J121" s="275">
        <f t="shared" ref="J121:L125" si="1">I121*(1+I$138)*(1+$M129)</f>
        <v>37.243471759999991</v>
      </c>
      <c r="K121" s="704">
        <f t="shared" si="1"/>
        <v>38.70855545209487</v>
      </c>
      <c r="L121" s="276">
        <f t="shared" si="1"/>
        <v>39.996002006431539</v>
      </c>
      <c r="N121" t="s">
        <v>1494</v>
      </c>
    </row>
    <row r="122" spans="8:14" x14ac:dyDescent="0.2">
      <c r="H122" s="317" t="s">
        <v>240</v>
      </c>
      <c r="I122" s="318">
        <v>35.880000000000003</v>
      </c>
      <c r="J122" s="318">
        <f t="shared" si="1"/>
        <v>36.668480222399999</v>
      </c>
      <c r="K122" s="705">
        <f t="shared" si="1"/>
        <v>37.731716541450297</v>
      </c>
      <c r="L122" s="281">
        <f t="shared" si="1"/>
        <v>38.598731016826356</v>
      </c>
      <c r="N122" t="s">
        <v>1495</v>
      </c>
    </row>
    <row r="123" spans="8:14" x14ac:dyDescent="0.2">
      <c r="H123" s="317" t="s">
        <v>241</v>
      </c>
      <c r="I123" s="318">
        <v>34.47</v>
      </c>
      <c r="J123" s="318">
        <f t="shared" si="1"/>
        <v>35.593847815499998</v>
      </c>
      <c r="K123" s="705">
        <f t="shared" si="1"/>
        <v>37.006820351616689</v>
      </c>
      <c r="L123" s="281">
        <f t="shared" si="1"/>
        <v>38.250878631376985</v>
      </c>
    </row>
    <row r="124" spans="8:14" x14ac:dyDescent="0.2">
      <c r="H124" s="317" t="s">
        <v>242</v>
      </c>
      <c r="I124" s="318">
        <v>28.83</v>
      </c>
      <c r="J124" s="318">
        <f t="shared" si="1"/>
        <v>29.540522845799998</v>
      </c>
      <c r="K124" s="705">
        <f t="shared" si="1"/>
        <v>30.476485953267243</v>
      </c>
      <c r="L124" s="281">
        <f t="shared" si="1"/>
        <v>31.258232199157316</v>
      </c>
    </row>
    <row r="125" spans="8:14" x14ac:dyDescent="0.2">
      <c r="H125" s="264" t="s">
        <v>214</v>
      </c>
      <c r="I125" s="320">
        <v>35</v>
      </c>
      <c r="J125" s="320">
        <f t="shared" si="1"/>
        <v>35.679265999999998</v>
      </c>
      <c r="K125" s="706">
        <f t="shared" si="1"/>
        <v>36.621569686766399</v>
      </c>
      <c r="L125" s="277">
        <f t="shared" si="1"/>
        <v>37.368942680933927</v>
      </c>
    </row>
    <row r="127" spans="8:14" x14ac:dyDescent="0.2">
      <c r="H127" t="s">
        <v>279</v>
      </c>
    </row>
    <row r="128" spans="8:14" x14ac:dyDescent="0.2">
      <c r="H128" s="316" t="s">
        <v>6</v>
      </c>
      <c r="I128" s="321" t="s">
        <v>281</v>
      </c>
      <c r="J128" s="322" t="s">
        <v>282</v>
      </c>
      <c r="K128" s="322" t="s">
        <v>283</v>
      </c>
      <c r="L128" s="322" t="s">
        <v>284</v>
      </c>
      <c r="M128" s="323" t="s">
        <v>288</v>
      </c>
      <c r="N128" s="203"/>
    </row>
    <row r="129" spans="8:14" x14ac:dyDescent="0.2">
      <c r="H129" s="324" t="s">
        <v>280</v>
      </c>
      <c r="I129" s="203">
        <f>0</f>
        <v>0</v>
      </c>
      <c r="J129" s="203">
        <v>1</v>
      </c>
      <c r="K129" s="203">
        <v>0</v>
      </c>
      <c r="L129" s="203">
        <v>0</v>
      </c>
      <c r="M129" s="325">
        <f>I129*$I$134+J129*$J$134+K129*$K$134+L129*$L$134</f>
        <v>1.2999999999999999E-2</v>
      </c>
      <c r="N129" s="203"/>
    </row>
    <row r="130" spans="8:14" x14ac:dyDescent="0.2">
      <c r="H130" s="326" t="s">
        <v>240</v>
      </c>
      <c r="I130" s="327">
        <f>0.8</f>
        <v>0.8</v>
      </c>
      <c r="J130">
        <f>2/10</f>
        <v>0.2</v>
      </c>
      <c r="K130">
        <v>0</v>
      </c>
      <c r="L130">
        <v>0</v>
      </c>
      <c r="M130" s="325">
        <f>I130*$I$134+J130*$J$134+K130*$K$134+L130*$L$134</f>
        <v>2.9199999999999999E-3</v>
      </c>
    </row>
    <row r="131" spans="8:14" x14ac:dyDescent="0.2">
      <c r="H131" s="326" t="s">
        <v>241</v>
      </c>
      <c r="I131">
        <f>1/4</f>
        <v>0.25</v>
      </c>
      <c r="J131">
        <f>1/4</f>
        <v>0.25</v>
      </c>
      <c r="K131">
        <f>2/4</f>
        <v>0.5</v>
      </c>
      <c r="L131">
        <v>0</v>
      </c>
      <c r="M131" s="325">
        <f>I131*$I$134+J131*$J$134+K131*$K$134+L131*$L$134</f>
        <v>1.3350000000000001E-2</v>
      </c>
    </row>
    <row r="132" spans="8:14" x14ac:dyDescent="0.2">
      <c r="H132" s="326" t="s">
        <v>242</v>
      </c>
      <c r="I132">
        <f>1/10</f>
        <v>0.1</v>
      </c>
      <c r="J132">
        <f>7/10</f>
        <v>0.7</v>
      </c>
      <c r="K132">
        <v>0</v>
      </c>
      <c r="L132">
        <f>2/10</f>
        <v>0.2</v>
      </c>
      <c r="M132" s="325">
        <f>I132*$I$134+J132*$J$134+K132*$K$134+L132*$L$134</f>
        <v>5.5399999999999989E-3</v>
      </c>
    </row>
    <row r="133" spans="8:14" x14ac:dyDescent="0.2">
      <c r="H133" s="263" t="s">
        <v>214</v>
      </c>
      <c r="I133" s="328">
        <f>1</f>
        <v>1</v>
      </c>
      <c r="J133" s="328">
        <v>0</v>
      </c>
      <c r="K133" s="328">
        <v>0</v>
      </c>
      <c r="L133" s="328">
        <v>0</v>
      </c>
      <c r="M133" s="325">
        <f>I133*$I$134+J133*$J$134+K133*$K$134+L133*$L$134</f>
        <v>4.0000000000000002E-4</v>
      </c>
    </row>
    <row r="134" spans="8:14" x14ac:dyDescent="0.2">
      <c r="H134" s="265" t="s">
        <v>1496</v>
      </c>
      <c r="I134" s="329">
        <v>4.0000000000000002E-4</v>
      </c>
      <c r="J134" s="330">
        <v>1.2999999999999999E-2</v>
      </c>
      <c r="K134" s="331">
        <v>0.02</v>
      </c>
      <c r="L134" s="330">
        <v>-1.7999999999999999E-2</v>
      </c>
      <c r="M134" s="289">
        <f>SUM(M129:M133)</f>
        <v>3.5209999999999998E-2</v>
      </c>
    </row>
    <row r="135" spans="8:14" x14ac:dyDescent="0.2">
      <c r="H135" s="828" t="s">
        <v>285</v>
      </c>
    </row>
    <row r="136" spans="8:14" x14ac:dyDescent="0.2">
      <c r="H136" s="313"/>
    </row>
    <row r="137" spans="8:14" x14ac:dyDescent="0.2">
      <c r="H137" s="265" t="s">
        <v>1015</v>
      </c>
      <c r="I137" s="265">
        <v>2025</v>
      </c>
      <c r="J137" s="265">
        <v>2026</v>
      </c>
      <c r="K137" s="265">
        <v>2027</v>
      </c>
    </row>
    <row r="138" spans="8:14" x14ac:dyDescent="0.2">
      <c r="H138" s="265" t="s">
        <v>286</v>
      </c>
      <c r="I138" s="287">
        <v>1.9E-2</v>
      </c>
      <c r="J138" s="287">
        <v>2.5999999999999999E-2</v>
      </c>
      <c r="K138" s="332">
        <v>0.02</v>
      </c>
    </row>
    <row r="139" spans="8:14" x14ac:dyDescent="0.2">
      <c r="H139" s="313" t="s">
        <v>287</v>
      </c>
    </row>
    <row r="143" spans="8:14" s="282" customFormat="1" ht="5" customHeight="1" x14ac:dyDescent="0.2"/>
    <row r="146" spans="2:12" ht="16" customHeight="1" x14ac:dyDescent="0.2">
      <c r="B146" s="961" t="s">
        <v>182</v>
      </c>
      <c r="C146" s="962"/>
      <c r="D146" s="962"/>
      <c r="E146" s="963"/>
    </row>
    <row r="147" spans="2:12" ht="16" customHeight="1" x14ac:dyDescent="0.2">
      <c r="B147" s="964"/>
      <c r="C147" s="965"/>
      <c r="D147" s="965"/>
      <c r="E147" s="966"/>
    </row>
    <row r="148" spans="2:12" ht="16" customHeight="1" x14ac:dyDescent="0.2">
      <c r="B148" s="721"/>
      <c r="C148" s="721"/>
      <c r="D148" s="721"/>
      <c r="E148" s="721"/>
    </row>
    <row r="149" spans="2:12" x14ac:dyDescent="0.2">
      <c r="B149" t="s">
        <v>183</v>
      </c>
    </row>
    <row r="150" spans="2:12" x14ac:dyDescent="0.2">
      <c r="B150" s="267" t="s">
        <v>184</v>
      </c>
      <c r="C150" s="1006" t="s">
        <v>190</v>
      </c>
      <c r="D150" s="267" t="s">
        <v>200</v>
      </c>
    </row>
    <row r="151" spans="2:12" x14ac:dyDescent="0.2">
      <c r="B151" s="269" t="s">
        <v>185</v>
      </c>
      <c r="C151" s="1007"/>
      <c r="D151" s="269" t="s">
        <v>191</v>
      </c>
    </row>
    <row r="152" spans="2:12" x14ac:dyDescent="0.2">
      <c r="B152" s="269" t="s">
        <v>186</v>
      </c>
      <c r="C152" s="1007"/>
      <c r="D152" s="269" t="s">
        <v>193</v>
      </c>
    </row>
    <row r="153" spans="2:12" x14ac:dyDescent="0.2">
      <c r="B153" s="269" t="s">
        <v>187</v>
      </c>
      <c r="C153" s="1007"/>
      <c r="D153" s="269" t="s">
        <v>192</v>
      </c>
    </row>
    <row r="154" spans="2:12" x14ac:dyDescent="0.2">
      <c r="B154" s="269" t="s">
        <v>188</v>
      </c>
      <c r="C154" s="1007"/>
      <c r="D154" s="269" t="s">
        <v>197</v>
      </c>
    </row>
    <row r="155" spans="2:12" x14ac:dyDescent="0.2">
      <c r="B155" s="278" t="s">
        <v>189</v>
      </c>
      <c r="C155" s="1008"/>
      <c r="D155" s="278" t="s">
        <v>198</v>
      </c>
    </row>
    <row r="158" spans="2:12" ht="17" thickBot="1" x14ac:dyDescent="0.25">
      <c r="B158" t="s">
        <v>1497</v>
      </c>
    </row>
    <row r="159" spans="2:12" x14ac:dyDescent="0.2">
      <c r="B159" s="335" t="s">
        <v>146</v>
      </c>
      <c r="C159" s="314" t="s">
        <v>194</v>
      </c>
      <c r="D159" s="314" t="s">
        <v>195</v>
      </c>
      <c r="E159" s="314" t="s">
        <v>192</v>
      </c>
      <c r="F159" s="314" t="s">
        <v>185</v>
      </c>
      <c r="G159" s="314" t="s">
        <v>196</v>
      </c>
      <c r="H159" s="314" t="s">
        <v>199</v>
      </c>
      <c r="I159" s="314" t="s">
        <v>191</v>
      </c>
      <c r="J159" s="314" t="s">
        <v>187</v>
      </c>
      <c r="K159" s="314" t="s">
        <v>200</v>
      </c>
      <c r="L159" s="336"/>
    </row>
    <row r="160" spans="2:12" x14ac:dyDescent="0.2">
      <c r="B160" s="337" t="s">
        <v>201</v>
      </c>
      <c r="C160" t="s">
        <v>194</v>
      </c>
      <c r="D160" t="s">
        <v>195</v>
      </c>
      <c r="E160" t="s">
        <v>202</v>
      </c>
      <c r="F160" t="s">
        <v>184</v>
      </c>
      <c r="G160" t="s">
        <v>196</v>
      </c>
      <c r="H160" t="s">
        <v>199</v>
      </c>
      <c r="I160" t="s">
        <v>203</v>
      </c>
      <c r="K160" t="s">
        <v>204</v>
      </c>
      <c r="L160" s="319"/>
    </row>
    <row r="161" spans="2:19" x14ac:dyDescent="0.2">
      <c r="B161" s="337" t="s">
        <v>205</v>
      </c>
      <c r="C161" t="s">
        <v>194</v>
      </c>
      <c r="D161" t="s">
        <v>206</v>
      </c>
      <c r="E161" t="s">
        <v>202</v>
      </c>
      <c r="F161" t="s">
        <v>207</v>
      </c>
      <c r="G161" t="s">
        <v>208</v>
      </c>
      <c r="H161" t="s">
        <v>191</v>
      </c>
      <c r="I161" t="s">
        <v>209</v>
      </c>
      <c r="J161" t="s">
        <v>210</v>
      </c>
      <c r="K161" t="s">
        <v>196</v>
      </c>
      <c r="L161" s="319" t="s">
        <v>212</v>
      </c>
    </row>
    <row r="162" spans="2:19" x14ac:dyDescent="0.2">
      <c r="B162" s="337" t="s">
        <v>213</v>
      </c>
      <c r="C162" t="s">
        <v>194</v>
      </c>
      <c r="D162" t="s">
        <v>202</v>
      </c>
      <c r="E162" t="s">
        <v>184</v>
      </c>
      <c r="F162" t="s">
        <v>192</v>
      </c>
      <c r="G162" t="s">
        <v>196</v>
      </c>
      <c r="H162" t="s">
        <v>187</v>
      </c>
      <c r="L162" s="319"/>
    </row>
    <row r="163" spans="2:19" x14ac:dyDescent="0.2">
      <c r="B163" s="337" t="s">
        <v>214</v>
      </c>
      <c r="C163" t="s">
        <v>194</v>
      </c>
      <c r="D163" t="s">
        <v>185</v>
      </c>
      <c r="E163" t="s">
        <v>184</v>
      </c>
      <c r="F163" t="s">
        <v>191</v>
      </c>
      <c r="G163" t="s">
        <v>186</v>
      </c>
      <c r="H163" t="s">
        <v>187</v>
      </c>
      <c r="L163" s="319"/>
    </row>
    <row r="164" spans="2:19" x14ac:dyDescent="0.2">
      <c r="B164" s="337" t="s">
        <v>145</v>
      </c>
      <c r="C164" t="s">
        <v>194</v>
      </c>
      <c r="D164" t="s">
        <v>203</v>
      </c>
      <c r="E164" t="s">
        <v>215</v>
      </c>
      <c r="F164" t="s">
        <v>184</v>
      </c>
      <c r="G164" t="s">
        <v>210</v>
      </c>
      <c r="H164" t="s">
        <v>197</v>
      </c>
      <c r="L164" s="319"/>
    </row>
    <row r="165" spans="2:19" ht="17" thickBot="1" x14ac:dyDescent="0.25">
      <c r="B165" s="338" t="s">
        <v>216</v>
      </c>
      <c r="C165" s="333" t="s">
        <v>194</v>
      </c>
      <c r="D165" s="333" t="s">
        <v>184</v>
      </c>
      <c r="E165" s="333" t="s">
        <v>192</v>
      </c>
      <c r="F165" s="333" t="s">
        <v>185</v>
      </c>
      <c r="G165" s="333"/>
      <c r="H165" s="333"/>
      <c r="I165" s="333"/>
      <c r="J165" s="333"/>
      <c r="K165" s="333"/>
      <c r="L165" s="334"/>
    </row>
    <row r="167" spans="2:19" x14ac:dyDescent="0.2">
      <c r="B167" s="313" t="s">
        <v>211</v>
      </c>
    </row>
    <row r="170" spans="2:19" ht="29" x14ac:dyDescent="0.35">
      <c r="B170" s="967" t="s">
        <v>289</v>
      </c>
      <c r="C170" s="968"/>
      <c r="D170" s="968"/>
      <c r="E170" s="969"/>
    </row>
    <row r="171" spans="2:19" ht="29" x14ac:dyDescent="0.35">
      <c r="B171" s="339"/>
    </row>
    <row r="172" spans="2:19" ht="20" thickBot="1" x14ac:dyDescent="0.3">
      <c r="B172" s="340"/>
      <c r="C172" s="340"/>
      <c r="D172" s="340"/>
      <c r="E172" s="340"/>
      <c r="F172" s="340"/>
      <c r="G172" s="340"/>
      <c r="H172" s="340"/>
      <c r="I172" s="340"/>
      <c r="J172" s="340"/>
      <c r="K172" s="340"/>
      <c r="L172" s="340"/>
      <c r="M172" s="340"/>
      <c r="N172" s="340"/>
      <c r="O172" s="340"/>
      <c r="P172" s="340"/>
      <c r="Q172" s="340"/>
      <c r="R172" s="340"/>
      <c r="S172" s="340"/>
    </row>
    <row r="173" spans="2:19" ht="19" x14ac:dyDescent="0.25">
      <c r="B173" s="340"/>
      <c r="C173" s="991" t="s">
        <v>217</v>
      </c>
      <c r="D173" s="992"/>
      <c r="E173" s="340"/>
      <c r="F173" s="1003" t="s">
        <v>219</v>
      </c>
      <c r="G173" s="340"/>
      <c r="H173" s="340"/>
      <c r="I173" s="340"/>
      <c r="J173" s="991" t="s">
        <v>227</v>
      </c>
      <c r="K173" s="992"/>
      <c r="L173" s="340"/>
      <c r="M173" s="997" t="s">
        <v>232</v>
      </c>
      <c r="N173" s="998"/>
      <c r="O173" s="340"/>
      <c r="P173" s="340"/>
      <c r="Q173" s="340"/>
      <c r="R173" s="340"/>
      <c r="S173" s="340"/>
    </row>
    <row r="174" spans="2:19" ht="19" x14ac:dyDescent="0.25">
      <c r="B174" s="340"/>
      <c r="C174" s="993"/>
      <c r="D174" s="994"/>
      <c r="E174" s="340"/>
      <c r="F174" s="1004"/>
      <c r="G174" s="340"/>
      <c r="H174" s="340"/>
      <c r="I174" s="340"/>
      <c r="J174" s="993"/>
      <c r="K174" s="994"/>
      <c r="L174" s="340"/>
      <c r="M174" s="999"/>
      <c r="N174" s="1000"/>
      <c r="O174" s="340"/>
      <c r="P174" s="340"/>
      <c r="Q174" s="340"/>
      <c r="R174" s="340"/>
      <c r="S174" s="340"/>
    </row>
    <row r="175" spans="2:19" ht="21" x14ac:dyDescent="0.25">
      <c r="B175" s="341" t="s">
        <v>218</v>
      </c>
      <c r="C175" s="993"/>
      <c r="D175" s="994"/>
      <c r="E175" s="340"/>
      <c r="F175" s="1004"/>
      <c r="G175" s="340"/>
      <c r="H175" s="340"/>
      <c r="I175" s="340"/>
      <c r="J175" s="993"/>
      <c r="K175" s="994"/>
      <c r="L175" s="340"/>
      <c r="M175" s="999"/>
      <c r="N175" s="1000"/>
      <c r="O175" s="340"/>
      <c r="P175" s="340"/>
      <c r="Q175" s="340"/>
      <c r="R175" s="340"/>
      <c r="S175" s="340"/>
    </row>
    <row r="176" spans="2:19" ht="19" x14ac:dyDescent="0.25">
      <c r="B176" s="340"/>
      <c r="C176" s="993"/>
      <c r="D176" s="994"/>
      <c r="E176" s="340"/>
      <c r="F176" s="1004"/>
      <c r="G176" s="340"/>
      <c r="H176" s="340"/>
      <c r="I176" s="340"/>
      <c r="J176" s="993"/>
      <c r="K176" s="994"/>
      <c r="L176" s="340"/>
      <c r="M176" s="999"/>
      <c r="N176" s="1000"/>
      <c r="O176" s="340"/>
      <c r="P176" s="340"/>
      <c r="Q176" s="340"/>
      <c r="R176" s="340"/>
      <c r="S176" s="340"/>
    </row>
    <row r="177" spans="2:19" ht="19" x14ac:dyDescent="0.25">
      <c r="B177" s="340"/>
      <c r="C177" s="993"/>
      <c r="D177" s="994"/>
      <c r="E177" s="340"/>
      <c r="F177" s="1004"/>
      <c r="G177" s="340"/>
      <c r="H177" s="340"/>
      <c r="I177" s="340"/>
      <c r="J177" s="993"/>
      <c r="K177" s="994"/>
      <c r="L177" s="340"/>
      <c r="M177" s="999"/>
      <c r="N177" s="1000"/>
      <c r="O177" s="340"/>
      <c r="P177" s="340"/>
      <c r="Q177" s="340"/>
      <c r="R177" s="340"/>
      <c r="S177" s="340"/>
    </row>
    <row r="178" spans="2:19" ht="19" x14ac:dyDescent="0.25">
      <c r="B178" s="340"/>
      <c r="C178" s="993"/>
      <c r="D178" s="994"/>
      <c r="E178" s="340"/>
      <c r="F178" s="1004"/>
      <c r="G178" s="340"/>
      <c r="H178" s="340"/>
      <c r="I178" s="340"/>
      <c r="J178" s="993"/>
      <c r="K178" s="994"/>
      <c r="L178" s="340"/>
      <c r="M178" s="999"/>
      <c r="N178" s="1000"/>
      <c r="O178" s="340"/>
      <c r="P178" s="340"/>
      <c r="Q178" s="340"/>
      <c r="R178" s="340"/>
      <c r="S178" s="340"/>
    </row>
    <row r="179" spans="2:19" ht="20" thickBot="1" x14ac:dyDescent="0.3">
      <c r="B179" s="340"/>
      <c r="C179" s="995"/>
      <c r="D179" s="996"/>
      <c r="E179" s="340"/>
      <c r="F179" s="1005"/>
      <c r="G179" s="340"/>
      <c r="H179" s="340"/>
      <c r="I179" s="340"/>
      <c r="J179" s="995"/>
      <c r="K179" s="996"/>
      <c r="L179" s="340"/>
      <c r="M179" s="1001"/>
      <c r="N179" s="1002"/>
      <c r="O179" s="340"/>
      <c r="P179" s="340"/>
      <c r="Q179" s="340"/>
      <c r="R179" s="340"/>
      <c r="S179" s="340"/>
    </row>
    <row r="180" spans="2:19" ht="19" x14ac:dyDescent="0.25">
      <c r="B180" s="340"/>
      <c r="C180" s="342"/>
      <c r="D180" s="342"/>
      <c r="E180" s="340"/>
      <c r="F180" s="340"/>
      <c r="G180" s="340"/>
      <c r="H180" s="340"/>
      <c r="I180" s="340"/>
      <c r="J180" s="340"/>
      <c r="K180" s="340"/>
      <c r="L180" s="340"/>
      <c r="M180" s="340"/>
      <c r="N180" s="340"/>
      <c r="O180" s="340"/>
      <c r="P180" s="340"/>
      <c r="Q180" s="340"/>
      <c r="R180" s="340"/>
      <c r="S180" s="340"/>
    </row>
    <row r="181" spans="2:19" ht="19" x14ac:dyDescent="0.25">
      <c r="B181" s="340"/>
      <c r="C181" s="340"/>
      <c r="D181" s="340"/>
      <c r="E181" s="340"/>
      <c r="F181" s="340"/>
      <c r="G181" s="340"/>
      <c r="H181" s="340"/>
      <c r="I181" s="340"/>
      <c r="J181" s="340"/>
      <c r="K181" s="340"/>
      <c r="L181" s="340"/>
      <c r="M181" s="340"/>
      <c r="N181" s="340"/>
      <c r="O181" s="340"/>
      <c r="P181" s="340"/>
      <c r="Q181" s="340"/>
      <c r="R181" s="340"/>
      <c r="S181" s="340"/>
    </row>
    <row r="182" spans="2:19" ht="19" x14ac:dyDescent="0.25">
      <c r="B182" s="340"/>
      <c r="C182" s="340"/>
      <c r="D182" s="340"/>
      <c r="E182" s="340"/>
      <c r="F182" s="340"/>
      <c r="G182" s="340"/>
      <c r="H182" s="340"/>
      <c r="I182" s="340"/>
      <c r="J182" s="340"/>
      <c r="K182" s="340"/>
      <c r="L182" s="340"/>
      <c r="M182" s="340"/>
      <c r="N182" s="340"/>
      <c r="O182" s="340"/>
      <c r="P182" s="340"/>
      <c r="Q182" s="340"/>
      <c r="R182" s="340"/>
      <c r="S182" s="340"/>
    </row>
    <row r="183" spans="2:19" ht="20" thickBot="1" x14ac:dyDescent="0.3">
      <c r="B183" s="340"/>
      <c r="C183" s="340"/>
      <c r="D183" s="340"/>
      <c r="E183" s="340"/>
      <c r="F183" s="340"/>
      <c r="G183" s="340"/>
      <c r="H183" s="340"/>
      <c r="I183" s="340"/>
      <c r="J183" s="340"/>
      <c r="K183" s="340"/>
      <c r="L183" s="340"/>
      <c r="M183" s="340"/>
      <c r="N183" s="340"/>
      <c r="O183" s="340"/>
      <c r="P183" s="340"/>
      <c r="Q183" s="340"/>
      <c r="R183" s="340"/>
      <c r="S183" s="340"/>
    </row>
    <row r="184" spans="2:19" ht="19" x14ac:dyDescent="0.25">
      <c r="B184" s="340"/>
      <c r="C184" s="340"/>
      <c r="D184" s="991" t="s">
        <v>222</v>
      </c>
      <c r="E184" s="992"/>
      <c r="F184" s="340"/>
      <c r="G184" s="991" t="s">
        <v>220</v>
      </c>
      <c r="H184" s="992"/>
      <c r="I184" s="340"/>
      <c r="J184" s="991" t="s">
        <v>221</v>
      </c>
      <c r="K184" s="992"/>
      <c r="L184" s="340"/>
      <c r="M184" s="340"/>
      <c r="N184" s="340"/>
      <c r="O184" s="340"/>
      <c r="P184" s="340"/>
      <c r="Q184" s="340"/>
      <c r="R184" s="340"/>
      <c r="S184" s="340"/>
    </row>
    <row r="185" spans="2:19" ht="19" x14ac:dyDescent="0.25">
      <c r="B185" s="340"/>
      <c r="C185" s="340"/>
      <c r="D185" s="993"/>
      <c r="E185" s="994"/>
      <c r="F185" s="340"/>
      <c r="G185" s="993"/>
      <c r="H185" s="994"/>
      <c r="I185" s="340"/>
      <c r="J185" s="993"/>
      <c r="K185" s="994"/>
      <c r="L185" s="340"/>
      <c r="M185" s="340"/>
      <c r="N185" s="340"/>
      <c r="O185" s="340"/>
      <c r="P185" s="340"/>
      <c r="Q185" s="340"/>
      <c r="R185" s="340"/>
      <c r="S185" s="340"/>
    </row>
    <row r="186" spans="2:19" ht="19" x14ac:dyDescent="0.25">
      <c r="B186" s="340"/>
      <c r="C186" s="340"/>
      <c r="D186" s="993"/>
      <c r="E186" s="994"/>
      <c r="F186" s="340"/>
      <c r="G186" s="993"/>
      <c r="H186" s="994"/>
      <c r="I186" s="340"/>
      <c r="J186" s="993"/>
      <c r="K186" s="994"/>
      <c r="L186" s="340"/>
      <c r="M186" s="340"/>
      <c r="N186" s="340"/>
      <c r="O186" s="340"/>
      <c r="P186" s="340"/>
      <c r="Q186" s="340"/>
      <c r="R186" s="340"/>
      <c r="S186" s="340"/>
    </row>
    <row r="187" spans="2:19" ht="19" x14ac:dyDescent="0.25">
      <c r="B187" s="340"/>
      <c r="C187" s="340"/>
      <c r="D187" s="993"/>
      <c r="E187" s="994"/>
      <c r="F187" s="340"/>
      <c r="G187" s="993"/>
      <c r="H187" s="994"/>
      <c r="I187" s="340"/>
      <c r="J187" s="993"/>
      <c r="K187" s="994"/>
      <c r="L187" s="340"/>
      <c r="M187" s="340"/>
      <c r="N187" s="340"/>
      <c r="O187" s="340"/>
      <c r="P187" s="340"/>
      <c r="Q187" s="340"/>
      <c r="R187" s="340"/>
      <c r="S187" s="340"/>
    </row>
    <row r="188" spans="2:19" ht="19" x14ac:dyDescent="0.25">
      <c r="B188" s="340"/>
      <c r="C188" s="340"/>
      <c r="D188" s="993"/>
      <c r="E188" s="994"/>
      <c r="F188" s="340"/>
      <c r="G188" s="993"/>
      <c r="H188" s="994"/>
      <c r="I188" s="340"/>
      <c r="J188" s="993"/>
      <c r="K188" s="994"/>
      <c r="L188" s="340"/>
      <c r="M188" s="340"/>
      <c r="N188" s="340"/>
      <c r="O188" s="340"/>
      <c r="P188" s="340"/>
      <c r="Q188" s="340"/>
      <c r="R188" s="340"/>
      <c r="S188" s="340"/>
    </row>
    <row r="189" spans="2:19" ht="19" x14ac:dyDescent="0.25">
      <c r="B189" s="340"/>
      <c r="C189" s="340"/>
      <c r="D189" s="993"/>
      <c r="E189" s="994"/>
      <c r="F189" s="340"/>
      <c r="G189" s="993"/>
      <c r="H189" s="994"/>
      <c r="I189" s="340"/>
      <c r="J189" s="993"/>
      <c r="K189" s="994"/>
      <c r="L189" s="340"/>
      <c r="M189" s="340"/>
      <c r="N189" s="340"/>
      <c r="O189" s="340"/>
      <c r="P189" s="340"/>
      <c r="Q189" s="340"/>
      <c r="R189" s="340"/>
      <c r="S189" s="340"/>
    </row>
    <row r="190" spans="2:19" ht="20" thickBot="1" x14ac:dyDescent="0.3">
      <c r="B190" s="340"/>
      <c r="C190" s="340"/>
      <c r="D190" s="995"/>
      <c r="E190" s="996"/>
      <c r="F190" s="340"/>
      <c r="G190" s="995"/>
      <c r="H190" s="996"/>
      <c r="I190" s="340"/>
      <c r="J190" s="995"/>
      <c r="K190" s="996"/>
      <c r="L190" s="340"/>
      <c r="M190" s="340"/>
      <c r="N190" s="340"/>
      <c r="O190" s="340"/>
      <c r="P190" s="340"/>
      <c r="Q190" s="340"/>
      <c r="R190" s="340"/>
      <c r="S190" s="340"/>
    </row>
    <row r="191" spans="2:19" ht="19" x14ac:dyDescent="0.25">
      <c r="B191" s="340"/>
      <c r="C191" s="340"/>
      <c r="D191" s="340"/>
      <c r="E191" s="340"/>
      <c r="F191" s="340"/>
      <c r="G191" s="340"/>
      <c r="H191" s="340"/>
      <c r="I191" s="340"/>
      <c r="J191" s="340"/>
      <c r="K191" s="340"/>
      <c r="L191" s="340"/>
      <c r="M191" s="340"/>
      <c r="N191" s="340"/>
      <c r="O191" s="340"/>
      <c r="P191" s="340"/>
      <c r="Q191" s="340"/>
      <c r="R191" s="340"/>
      <c r="S191" s="340"/>
    </row>
    <row r="192" spans="2:19" ht="19" x14ac:dyDescent="0.25">
      <c r="B192" s="340"/>
      <c r="C192" s="340"/>
      <c r="D192" s="340"/>
      <c r="E192" s="340"/>
      <c r="F192" s="340"/>
      <c r="G192" s="340"/>
      <c r="H192" s="340"/>
      <c r="I192" s="340"/>
      <c r="J192" s="340"/>
      <c r="K192" s="340"/>
      <c r="L192" s="340"/>
      <c r="M192" s="340"/>
      <c r="N192" s="340"/>
      <c r="O192" s="340"/>
      <c r="P192" s="340"/>
      <c r="Q192" s="340"/>
      <c r="R192" s="340"/>
      <c r="S192" s="340"/>
    </row>
    <row r="193" spans="2:19" ht="19" x14ac:dyDescent="0.25">
      <c r="B193" s="340"/>
      <c r="C193" s="340"/>
      <c r="D193" s="340"/>
      <c r="E193" s="340"/>
      <c r="F193" s="340"/>
      <c r="G193" s="340"/>
      <c r="H193" s="340"/>
      <c r="I193" s="340"/>
      <c r="J193" s="340"/>
      <c r="K193" s="340"/>
      <c r="L193" s="340"/>
      <c r="M193" s="340"/>
      <c r="N193" s="340"/>
      <c r="O193" s="340"/>
      <c r="P193" s="340"/>
      <c r="Q193" s="340"/>
      <c r="R193" s="340"/>
      <c r="S193" s="340"/>
    </row>
    <row r="194" spans="2:19" ht="20" thickBot="1" x14ac:dyDescent="0.3">
      <c r="B194" s="340"/>
      <c r="C194" s="340"/>
      <c r="D194" s="340"/>
      <c r="E194" s="340"/>
      <c r="F194" s="340"/>
      <c r="G194" s="340"/>
      <c r="H194" s="340"/>
      <c r="I194" s="340"/>
      <c r="J194" s="340"/>
      <c r="K194" s="340"/>
      <c r="L194" s="340"/>
      <c r="M194" s="340"/>
      <c r="N194" s="340"/>
      <c r="O194" s="340"/>
      <c r="P194" s="340"/>
      <c r="Q194" s="340"/>
      <c r="R194" s="340"/>
      <c r="S194" s="340"/>
    </row>
    <row r="195" spans="2:19" ht="19" x14ac:dyDescent="0.25">
      <c r="B195" s="340"/>
      <c r="C195" s="340"/>
      <c r="D195" s="991" t="s">
        <v>225</v>
      </c>
      <c r="E195" s="992"/>
      <c r="F195" s="340"/>
      <c r="G195" s="991" t="s">
        <v>223</v>
      </c>
      <c r="H195" s="992"/>
      <c r="I195" s="340"/>
      <c r="J195" s="991" t="s">
        <v>224</v>
      </c>
      <c r="K195" s="992"/>
      <c r="L195" s="340"/>
      <c r="M195" s="997" t="s">
        <v>234</v>
      </c>
      <c r="N195" s="998"/>
      <c r="O195" s="340"/>
      <c r="P195" s="340"/>
      <c r="Q195" s="340"/>
      <c r="R195" s="340"/>
      <c r="S195" s="340"/>
    </row>
    <row r="196" spans="2:19" ht="19" x14ac:dyDescent="0.25">
      <c r="B196" s="340"/>
      <c r="C196" s="340"/>
      <c r="D196" s="993"/>
      <c r="E196" s="994"/>
      <c r="F196" s="340"/>
      <c r="G196" s="993"/>
      <c r="H196" s="994"/>
      <c r="I196" s="340"/>
      <c r="J196" s="993"/>
      <c r="K196" s="994"/>
      <c r="L196" s="340"/>
      <c r="M196" s="999"/>
      <c r="N196" s="1000"/>
      <c r="O196" s="340"/>
      <c r="P196" s="340"/>
      <c r="Q196" s="340"/>
      <c r="R196" s="340"/>
      <c r="S196" s="340"/>
    </row>
    <row r="197" spans="2:19" ht="19" x14ac:dyDescent="0.25">
      <c r="B197" s="340"/>
      <c r="C197" s="340"/>
      <c r="D197" s="993"/>
      <c r="E197" s="994"/>
      <c r="F197" s="340"/>
      <c r="G197" s="993"/>
      <c r="H197" s="994"/>
      <c r="I197" s="340"/>
      <c r="J197" s="993"/>
      <c r="K197" s="994"/>
      <c r="L197" s="340"/>
      <c r="M197" s="999"/>
      <c r="N197" s="1000"/>
      <c r="O197" s="340"/>
      <c r="P197" s="340"/>
      <c r="Q197" s="340"/>
      <c r="R197" s="340"/>
      <c r="S197" s="340"/>
    </row>
    <row r="198" spans="2:19" ht="19" x14ac:dyDescent="0.25">
      <c r="B198" s="340"/>
      <c r="C198" s="340"/>
      <c r="D198" s="993"/>
      <c r="E198" s="994"/>
      <c r="F198" s="340"/>
      <c r="G198" s="993"/>
      <c r="H198" s="994"/>
      <c r="I198" s="340"/>
      <c r="J198" s="993"/>
      <c r="K198" s="994"/>
      <c r="L198" s="340"/>
      <c r="M198" s="999"/>
      <c r="N198" s="1000"/>
      <c r="O198" s="340"/>
      <c r="P198" s="340"/>
      <c r="Q198" s="340"/>
      <c r="R198" s="340"/>
      <c r="S198" s="340"/>
    </row>
    <row r="199" spans="2:19" ht="19" x14ac:dyDescent="0.25">
      <c r="B199" s="340"/>
      <c r="C199" s="340"/>
      <c r="D199" s="993"/>
      <c r="E199" s="994"/>
      <c r="F199" s="340"/>
      <c r="G199" s="993"/>
      <c r="H199" s="994"/>
      <c r="I199" s="340"/>
      <c r="J199" s="993"/>
      <c r="K199" s="994"/>
      <c r="L199" s="340"/>
      <c r="M199" s="999"/>
      <c r="N199" s="1000"/>
      <c r="O199" s="340"/>
      <c r="P199" s="340"/>
      <c r="Q199" s="340"/>
      <c r="R199" s="340"/>
      <c r="S199" s="340"/>
    </row>
    <row r="200" spans="2:19" ht="19" x14ac:dyDescent="0.25">
      <c r="B200" s="340"/>
      <c r="C200" s="340"/>
      <c r="D200" s="993"/>
      <c r="E200" s="994"/>
      <c r="F200" s="340"/>
      <c r="G200" s="993"/>
      <c r="H200" s="994"/>
      <c r="I200" s="340"/>
      <c r="J200" s="993"/>
      <c r="K200" s="994"/>
      <c r="L200" s="340"/>
      <c r="M200" s="999"/>
      <c r="N200" s="1000"/>
      <c r="O200" s="340"/>
      <c r="P200" s="340"/>
      <c r="Q200" s="340"/>
      <c r="R200" s="340"/>
      <c r="S200" s="340"/>
    </row>
    <row r="201" spans="2:19" ht="20" thickBot="1" x14ac:dyDescent="0.3">
      <c r="B201" s="340"/>
      <c r="C201" s="340"/>
      <c r="D201" s="995"/>
      <c r="E201" s="996"/>
      <c r="F201" s="340"/>
      <c r="G201" s="995"/>
      <c r="H201" s="996"/>
      <c r="I201" s="340"/>
      <c r="J201" s="995"/>
      <c r="K201" s="996"/>
      <c r="L201" s="340"/>
      <c r="M201" s="1001"/>
      <c r="N201" s="1002"/>
      <c r="O201" s="340"/>
      <c r="P201" s="340"/>
      <c r="Q201" s="340"/>
      <c r="R201" s="340"/>
      <c r="S201" s="340"/>
    </row>
    <row r="202" spans="2:19" ht="19" x14ac:dyDescent="0.25">
      <c r="B202" s="340"/>
      <c r="C202" s="340"/>
      <c r="D202" s="340"/>
      <c r="E202" s="340"/>
      <c r="F202" s="340"/>
      <c r="G202" s="340"/>
      <c r="H202" s="340"/>
      <c r="I202" s="340"/>
      <c r="J202" s="340"/>
      <c r="K202" s="340"/>
      <c r="L202" s="340"/>
      <c r="M202" s="340"/>
      <c r="N202" s="340"/>
      <c r="O202" s="340"/>
      <c r="P202" s="340"/>
      <c r="Q202" s="340"/>
      <c r="R202" s="340"/>
      <c r="S202" s="340"/>
    </row>
    <row r="203" spans="2:19" ht="19" x14ac:dyDescent="0.25">
      <c r="B203" s="340"/>
      <c r="C203" s="340"/>
      <c r="D203" s="340"/>
      <c r="E203" s="340"/>
      <c r="F203" s="340"/>
      <c r="G203" s="340"/>
      <c r="H203" s="340"/>
      <c r="I203" s="340"/>
      <c r="J203" s="340"/>
      <c r="K203" s="340"/>
      <c r="L203" s="340"/>
      <c r="M203" s="340"/>
      <c r="N203" s="340"/>
      <c r="O203" s="340"/>
      <c r="P203" s="340"/>
      <c r="Q203" s="340"/>
      <c r="R203" s="340"/>
      <c r="S203" s="340"/>
    </row>
    <row r="204" spans="2:19" ht="19" x14ac:dyDescent="0.25">
      <c r="B204" s="340"/>
      <c r="C204" s="340"/>
      <c r="D204" s="340"/>
      <c r="E204" s="340"/>
      <c r="F204" s="340"/>
      <c r="G204" s="340"/>
      <c r="H204" s="340"/>
      <c r="I204" s="340"/>
      <c r="J204" s="340"/>
      <c r="K204" s="340"/>
      <c r="L204" s="340"/>
      <c r="M204" s="340"/>
      <c r="N204" s="340"/>
      <c r="O204" s="340"/>
      <c r="P204" s="340"/>
      <c r="Q204" s="340"/>
      <c r="R204" s="340"/>
      <c r="S204" s="340"/>
    </row>
    <row r="205" spans="2:19" ht="20" thickBot="1" x14ac:dyDescent="0.3">
      <c r="B205" s="340"/>
      <c r="C205" s="340"/>
      <c r="D205" s="340"/>
      <c r="E205" s="340"/>
      <c r="F205" s="340"/>
      <c r="G205" s="340"/>
      <c r="H205" s="340"/>
      <c r="I205" s="340"/>
      <c r="J205" s="340"/>
      <c r="K205" s="340"/>
      <c r="L205" s="340"/>
      <c r="M205" s="340"/>
      <c r="N205" s="343" t="s">
        <v>248</v>
      </c>
      <c r="O205" s="344" t="s">
        <v>249</v>
      </c>
      <c r="P205" s="345"/>
      <c r="Q205" s="345"/>
      <c r="R205" s="345"/>
      <c r="S205" s="346"/>
    </row>
    <row r="206" spans="2:19" ht="19" x14ac:dyDescent="0.25">
      <c r="B206" s="340"/>
      <c r="C206" s="340"/>
      <c r="D206" s="340"/>
      <c r="E206" s="340"/>
      <c r="F206" s="340"/>
      <c r="G206" s="991" t="s">
        <v>231</v>
      </c>
      <c r="H206" s="992"/>
      <c r="I206" s="340"/>
      <c r="J206" s="985" t="s">
        <v>228</v>
      </c>
      <c r="K206" s="986"/>
      <c r="L206" s="340"/>
      <c r="M206" s="340"/>
      <c r="N206" s="347" t="s">
        <v>64</v>
      </c>
      <c r="O206" s="348" t="s">
        <v>176</v>
      </c>
      <c r="P206" s="348" t="s">
        <v>229</v>
      </c>
      <c r="Q206" s="348" t="s">
        <v>230</v>
      </c>
      <c r="R206" s="349"/>
      <c r="S206" s="350"/>
    </row>
    <row r="207" spans="2:19" ht="19" x14ac:dyDescent="0.25">
      <c r="B207" s="340"/>
      <c r="C207" s="340"/>
      <c r="D207" s="340"/>
      <c r="E207" s="340"/>
      <c r="F207" s="340"/>
      <c r="G207" s="993"/>
      <c r="H207" s="994"/>
      <c r="I207" s="340"/>
      <c r="J207" s="987"/>
      <c r="K207" s="988"/>
      <c r="L207" s="340"/>
      <c r="M207" s="340"/>
      <c r="N207" s="351" t="s">
        <v>69</v>
      </c>
      <c r="O207" s="352" t="s">
        <v>61</v>
      </c>
      <c r="P207" s="340"/>
      <c r="Q207" s="340"/>
      <c r="R207" s="340"/>
      <c r="S207" s="353"/>
    </row>
    <row r="208" spans="2:19" ht="21" x14ac:dyDescent="0.25">
      <c r="B208" s="340"/>
      <c r="C208" s="340"/>
      <c r="D208" s="340"/>
      <c r="E208" s="340"/>
      <c r="F208" s="340"/>
      <c r="G208" s="993"/>
      <c r="H208" s="994"/>
      <c r="I208" s="340"/>
      <c r="J208" s="987"/>
      <c r="K208" s="988"/>
      <c r="L208" s="354" t="s">
        <v>226</v>
      </c>
      <c r="M208" s="340"/>
      <c r="N208" s="351" t="s">
        <v>233</v>
      </c>
      <c r="O208" s="355" t="s">
        <v>176</v>
      </c>
      <c r="P208" s="355" t="s">
        <v>235</v>
      </c>
      <c r="Q208" s="355" t="s">
        <v>236</v>
      </c>
      <c r="R208" s="355" t="s">
        <v>237</v>
      </c>
      <c r="S208" s="353"/>
    </row>
    <row r="209" spans="1:19" ht="19" x14ac:dyDescent="0.25">
      <c r="B209" s="340"/>
      <c r="C209" s="340"/>
      <c r="D209" s="340"/>
      <c r="E209" s="340"/>
      <c r="F209" s="340"/>
      <c r="G209" s="993"/>
      <c r="H209" s="994"/>
      <c r="I209" s="340"/>
      <c r="J209" s="987"/>
      <c r="K209" s="988"/>
      <c r="L209" s="340"/>
      <c r="M209" s="340"/>
      <c r="N209" s="351" t="s">
        <v>238</v>
      </c>
      <c r="O209" s="356" t="s">
        <v>176</v>
      </c>
      <c r="P209" s="356" t="s">
        <v>235</v>
      </c>
      <c r="Q209" s="356" t="s">
        <v>236</v>
      </c>
      <c r="R209" s="356" t="s">
        <v>237</v>
      </c>
      <c r="S209" s="357" t="s">
        <v>61</v>
      </c>
    </row>
    <row r="210" spans="1:19" ht="19" x14ac:dyDescent="0.25">
      <c r="B210" s="340"/>
      <c r="C210" s="340"/>
      <c r="D210" s="340"/>
      <c r="E210" s="340"/>
      <c r="F210" s="340"/>
      <c r="G210" s="993"/>
      <c r="H210" s="994"/>
      <c r="I210" s="340"/>
      <c r="J210" s="987"/>
      <c r="K210" s="988"/>
      <c r="L210" s="340"/>
      <c r="M210" s="340"/>
      <c r="N210" s="358" t="s">
        <v>214</v>
      </c>
      <c r="O210" s="359" t="s">
        <v>176</v>
      </c>
      <c r="P210" s="359" t="s">
        <v>229</v>
      </c>
      <c r="Q210" s="359" t="s">
        <v>230</v>
      </c>
      <c r="R210" s="360"/>
      <c r="S210" s="361"/>
    </row>
    <row r="211" spans="1:19" ht="19" x14ac:dyDescent="0.25">
      <c r="B211" s="340"/>
      <c r="C211" s="340"/>
      <c r="D211" s="340"/>
      <c r="E211" s="340"/>
      <c r="F211" s="340"/>
      <c r="G211" s="993"/>
      <c r="H211" s="994"/>
      <c r="I211" s="340"/>
      <c r="J211" s="987"/>
      <c r="K211" s="988"/>
      <c r="L211" s="340"/>
      <c r="M211" s="340"/>
      <c r="N211" s="340"/>
      <c r="O211" s="340"/>
      <c r="P211" s="340"/>
      <c r="Q211" s="340"/>
      <c r="R211" s="340"/>
      <c r="S211" s="340"/>
    </row>
    <row r="212" spans="1:19" ht="20" thickBot="1" x14ac:dyDescent="0.3">
      <c r="B212" s="340"/>
      <c r="C212" s="340"/>
      <c r="D212" s="340"/>
      <c r="E212" s="340"/>
      <c r="F212" s="340"/>
      <c r="G212" s="995"/>
      <c r="H212" s="996"/>
      <c r="I212" s="340"/>
      <c r="J212" s="989"/>
      <c r="K212" s="990"/>
      <c r="L212" s="340"/>
      <c r="M212" s="340"/>
      <c r="N212" s="340"/>
      <c r="O212" s="340"/>
      <c r="P212" s="340"/>
      <c r="Q212" s="340"/>
      <c r="R212" s="340"/>
      <c r="S212" s="340"/>
    </row>
    <row r="215" spans="1:19" ht="27" customHeight="1" x14ac:dyDescent="0.2"/>
    <row r="216" spans="1:19" x14ac:dyDescent="0.2">
      <c r="B216" s="970" t="s">
        <v>1498</v>
      </c>
      <c r="C216" s="971"/>
      <c r="D216" s="971"/>
      <c r="E216" s="971"/>
      <c r="F216" s="971"/>
      <c r="G216" s="971"/>
      <c r="H216" s="971"/>
      <c r="I216" s="971"/>
      <c r="J216" s="971"/>
      <c r="K216" s="971"/>
      <c r="L216" s="971"/>
      <c r="M216" s="971"/>
      <c r="N216" s="971"/>
      <c r="O216" s="971"/>
      <c r="P216" s="971"/>
      <c r="Q216" s="971"/>
      <c r="R216" s="971"/>
      <c r="S216" s="972"/>
    </row>
    <row r="217" spans="1:19" x14ac:dyDescent="0.2">
      <c r="B217" s="973"/>
      <c r="C217" s="974"/>
      <c r="D217" s="974"/>
      <c r="E217" s="974"/>
      <c r="F217" s="974"/>
      <c r="G217" s="974"/>
      <c r="H217" s="974"/>
      <c r="I217" s="974"/>
      <c r="J217" s="974"/>
      <c r="K217" s="974"/>
      <c r="L217" s="974"/>
      <c r="M217" s="974"/>
      <c r="N217" s="974"/>
      <c r="O217" s="974"/>
      <c r="P217" s="974"/>
      <c r="Q217" s="974"/>
      <c r="R217" s="974"/>
      <c r="S217" s="975"/>
    </row>
    <row r="218" spans="1:19" x14ac:dyDescent="0.2">
      <c r="B218" s="976"/>
      <c r="C218" s="977"/>
      <c r="D218" s="977"/>
      <c r="E218" s="977"/>
      <c r="F218" s="977"/>
      <c r="G218" s="977"/>
      <c r="H218" s="977"/>
      <c r="I218" s="977"/>
      <c r="J218" s="977"/>
      <c r="K218" s="977"/>
      <c r="L218" s="977"/>
      <c r="M218" s="977"/>
      <c r="N218" s="977"/>
      <c r="O218" s="977"/>
      <c r="P218" s="977"/>
      <c r="Q218" s="977"/>
      <c r="R218" s="977"/>
      <c r="S218" s="978"/>
    </row>
    <row r="219" spans="1:19" x14ac:dyDescent="0.2">
      <c r="B219" s="702"/>
      <c r="C219" s="702"/>
      <c r="D219" s="702"/>
      <c r="E219" s="702"/>
      <c r="F219" s="702"/>
      <c r="G219" s="702"/>
      <c r="H219" s="702"/>
      <c r="I219" s="702"/>
      <c r="J219" s="702"/>
      <c r="K219" s="702"/>
      <c r="L219" s="702"/>
      <c r="M219" s="702"/>
      <c r="N219" s="702"/>
      <c r="O219" s="702"/>
      <c r="P219" s="702"/>
      <c r="Q219" s="702"/>
      <c r="R219" s="702"/>
      <c r="S219" s="702"/>
    </row>
    <row r="220" spans="1:19" x14ac:dyDescent="0.2">
      <c r="B220" s="702"/>
      <c r="C220" s="702"/>
      <c r="D220" s="702"/>
      <c r="E220" s="702"/>
      <c r="F220" s="702"/>
      <c r="G220" s="702"/>
      <c r="H220" s="702"/>
      <c r="I220" s="702"/>
      <c r="J220" s="702"/>
      <c r="K220" s="702"/>
      <c r="L220" s="702"/>
      <c r="M220" s="702"/>
      <c r="N220" s="702"/>
      <c r="O220" s="702"/>
      <c r="P220" s="702"/>
      <c r="Q220" s="702"/>
      <c r="R220" s="702"/>
      <c r="S220" s="702"/>
    </row>
    <row r="222" spans="1:19" x14ac:dyDescent="0.2">
      <c r="B222" t="s">
        <v>1499</v>
      </c>
    </row>
    <row r="223" spans="1:19" x14ac:dyDescent="0.2">
      <c r="A223" s="703" t="s">
        <v>1476</v>
      </c>
      <c r="B223" s="279" t="s">
        <v>1475</v>
      </c>
    </row>
  </sheetData>
  <mergeCells count="26">
    <mergeCell ref="B60:D60"/>
    <mergeCell ref="C150:C155"/>
    <mergeCell ref="D184:E190"/>
    <mergeCell ref="D195:E201"/>
    <mergeCell ref="C173:D179"/>
    <mergeCell ref="F173:F179"/>
    <mergeCell ref="J195:K201"/>
    <mergeCell ref="M195:N201"/>
    <mergeCell ref="J184:K190"/>
    <mergeCell ref="G184:H190"/>
    <mergeCell ref="B57:E58"/>
    <mergeCell ref="B146:E147"/>
    <mergeCell ref="B170:E170"/>
    <mergeCell ref="B216:S218"/>
    <mergeCell ref="B2:E3"/>
    <mergeCell ref="B6:F6"/>
    <mergeCell ref="M71:R73"/>
    <mergeCell ref="K71:L71"/>
    <mergeCell ref="H60:J60"/>
    <mergeCell ref="H81:J81"/>
    <mergeCell ref="H117:J117"/>
    <mergeCell ref="J206:K212"/>
    <mergeCell ref="J173:K179"/>
    <mergeCell ref="G206:H212"/>
    <mergeCell ref="M173:N179"/>
    <mergeCell ref="G195:H201"/>
  </mergeCells>
  <hyperlinks>
    <hyperlink ref="H135" r:id="rId1" xr:uid="{060EA6BE-4FDC-2346-909D-29FA7A81154B}"/>
  </hyperlinks>
  <pageMargins left="0.7" right="0.7" top="0.75" bottom="0.75" header="0.3" footer="0.3"/>
  <pageSetup paperSize="9" orientation="portrait" horizontalDpi="0" verticalDpi="0"/>
  <drawing r:id="rId2"/>
  <legacyDrawing r:id="rId3"/>
  <oleObjects>
    <mc:AlternateContent xmlns:mc="http://schemas.openxmlformats.org/markup-compatibility/2006">
      <mc:Choice Requires="x14">
        <oleObject progId="Documento" shapeId="4099" r:id="rId4">
          <objectPr defaultSize="0" r:id="rId5">
            <anchor moveWithCells="1">
              <from>
                <xdr:col>1</xdr:col>
                <xdr:colOff>25400</xdr:colOff>
                <xdr:row>224</xdr:row>
                <xdr:rowOff>25400</xdr:rowOff>
              </from>
              <to>
                <xdr:col>4</xdr:col>
                <xdr:colOff>1155700</xdr:colOff>
                <xdr:row>267</xdr:row>
                <xdr:rowOff>63500</xdr:rowOff>
              </to>
            </anchor>
          </objectPr>
        </oleObject>
      </mc:Choice>
      <mc:Fallback>
        <oleObject progId="Documento" shapeId="4099" r:id="rId4"/>
      </mc:Fallback>
    </mc:AlternateContent>
  </oleObjects>
  <tableParts count="2">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0B9C-D8AF-6440-A30E-88071A32655A}">
  <sheetPr>
    <tabColor theme="8" tint="0.59999389629810485"/>
  </sheetPr>
  <dimension ref="A1:BS559"/>
  <sheetViews>
    <sheetView showGridLines="0" workbookViewId="0">
      <selection activeCell="S359" sqref="S359:W359"/>
    </sheetView>
  </sheetViews>
  <sheetFormatPr baseColWidth="10" defaultRowHeight="16" x14ac:dyDescent="0.2"/>
  <cols>
    <col min="1" max="1" width="0.5" style="363" customWidth="1"/>
    <col min="2" max="2" width="0.33203125" style="363" customWidth="1"/>
    <col min="3" max="3" width="1.5" style="363" customWidth="1"/>
    <col min="4" max="4" width="0.33203125" style="363" customWidth="1"/>
    <col min="5" max="5" width="0.5" style="363" customWidth="1"/>
    <col min="6" max="8" width="2" style="363" customWidth="1"/>
    <col min="9" max="9" width="0.1640625" style="363" customWidth="1"/>
    <col min="10" max="10" width="2" style="363" customWidth="1"/>
    <col min="11" max="13" width="0.1640625" style="363" customWidth="1"/>
    <col min="14" max="14" width="13.1640625" style="363" customWidth="1"/>
    <col min="15" max="15" width="3" style="363" customWidth="1"/>
    <col min="16" max="16" width="11" style="363" customWidth="1"/>
    <col min="17" max="17" width="1" style="363" customWidth="1"/>
    <col min="18" max="18" width="2.1640625" style="363" customWidth="1"/>
    <col min="19" max="19" width="2.33203125" style="363" customWidth="1"/>
    <col min="20" max="20" width="0.83203125" style="363" customWidth="1"/>
    <col min="21" max="21" width="3.1640625" style="363" customWidth="1"/>
    <col min="22" max="22" width="3.5" style="363" customWidth="1"/>
    <col min="23" max="23" width="3.1640625" style="363" customWidth="1"/>
    <col min="24" max="24" width="2.33203125" style="363" customWidth="1"/>
    <col min="25" max="25" width="0.83203125" style="363" customWidth="1"/>
    <col min="26" max="26" width="2.5" style="363" customWidth="1"/>
    <col min="27" max="27" width="6.6640625" style="363" customWidth="1"/>
    <col min="28" max="28" width="0.33203125" style="363" customWidth="1"/>
    <col min="29" max="29" width="0.1640625" style="363" customWidth="1"/>
    <col min="30" max="30" width="2.33203125" style="363" customWidth="1"/>
    <col min="31" max="31" width="0.83203125" style="363" customWidth="1"/>
    <col min="32" max="32" width="2.6640625" style="363" customWidth="1"/>
    <col min="33" max="33" width="1" style="363" customWidth="1"/>
    <col min="34" max="34" width="4.33203125" style="363" customWidth="1"/>
    <col min="35" max="35" width="1.6640625" style="363" customWidth="1"/>
    <col min="36" max="36" width="1.33203125" style="363" customWidth="1"/>
    <col min="37" max="37" width="1" style="363" customWidth="1"/>
    <col min="38" max="38" width="0.83203125" style="363" customWidth="1"/>
    <col min="39" max="39" width="1.5" style="363" customWidth="1"/>
    <col min="40" max="40" width="1" style="363" customWidth="1"/>
    <col min="41" max="41" width="2.5" style="363" customWidth="1"/>
    <col min="42" max="42" width="3.6640625" style="363" customWidth="1"/>
    <col min="43" max="45" width="0.1640625" style="363" customWidth="1"/>
    <col min="46" max="46" width="0.33203125" style="363" customWidth="1"/>
    <col min="47" max="47" width="2.33203125" style="363" customWidth="1"/>
    <col min="48" max="48" width="0.1640625" style="363" customWidth="1"/>
    <col min="49" max="49" width="0.6640625" style="363" customWidth="1"/>
    <col min="50" max="50" width="0.33203125" style="363" customWidth="1"/>
    <col min="51" max="51" width="0.5" style="363" customWidth="1"/>
    <col min="52" max="52" width="7.1640625" style="363" customWidth="1"/>
    <col min="53" max="53" width="1.1640625" style="363" customWidth="1"/>
    <col min="54" max="54" width="0.33203125" style="363" customWidth="1"/>
    <col min="55" max="55" width="2.33203125" style="363" customWidth="1"/>
    <col min="56" max="56" width="0.83203125" style="363" customWidth="1"/>
    <col min="57" max="57" width="2.33203125" style="363" customWidth="1"/>
    <col min="58" max="58" width="7.33203125" style="363" customWidth="1"/>
    <col min="59" max="59" width="2.33203125" style="363" customWidth="1"/>
    <col min="60" max="60" width="0.83203125" style="363" customWidth="1"/>
    <col min="61" max="61" width="1.1640625" style="363" customWidth="1"/>
    <col min="62" max="62" width="8.5" style="363" customWidth="1"/>
    <col min="63" max="63" width="2.33203125" style="363" customWidth="1"/>
    <col min="64" max="64" width="0.83203125" style="363" customWidth="1"/>
    <col min="65" max="65" width="1" style="363" customWidth="1"/>
    <col min="66" max="66" width="7.5" style="363" customWidth="1"/>
    <col min="67" max="67" width="1.1640625" style="363" customWidth="1"/>
    <col min="68" max="256" width="10.83203125" style="5"/>
    <col min="257" max="257" width="0.5" style="5" customWidth="1"/>
    <col min="258" max="258" width="0.33203125" style="5" customWidth="1"/>
    <col min="259" max="259" width="1.5" style="5" customWidth="1"/>
    <col min="260" max="260" width="0.33203125" style="5" customWidth="1"/>
    <col min="261" max="261" width="0.5" style="5" customWidth="1"/>
    <col min="262" max="264" width="2" style="5" customWidth="1"/>
    <col min="265" max="265" width="0.1640625" style="5" customWidth="1"/>
    <col min="266" max="266" width="2" style="5" customWidth="1"/>
    <col min="267" max="269" width="0.1640625" style="5" customWidth="1"/>
    <col min="270" max="270" width="13.1640625" style="5" customWidth="1"/>
    <col min="271" max="271" width="3" style="5" customWidth="1"/>
    <col min="272" max="272" width="11" style="5" customWidth="1"/>
    <col min="273" max="273" width="1" style="5" customWidth="1"/>
    <col min="274" max="274" width="2.1640625" style="5" customWidth="1"/>
    <col min="275" max="275" width="2.33203125" style="5" customWidth="1"/>
    <col min="276" max="276" width="0.83203125" style="5" customWidth="1"/>
    <col min="277" max="277" width="3.1640625" style="5" customWidth="1"/>
    <col min="278" max="278" width="3.5" style="5" customWidth="1"/>
    <col min="279" max="279" width="3.1640625" style="5" customWidth="1"/>
    <col min="280" max="280" width="2.33203125" style="5" customWidth="1"/>
    <col min="281" max="281" width="0.83203125" style="5" customWidth="1"/>
    <col min="282" max="282" width="2.5" style="5" customWidth="1"/>
    <col min="283" max="283" width="6.6640625" style="5" customWidth="1"/>
    <col min="284" max="284" width="0.33203125" style="5" customWidth="1"/>
    <col min="285" max="285" width="0.1640625" style="5" customWidth="1"/>
    <col min="286" max="286" width="2.33203125" style="5" customWidth="1"/>
    <col min="287" max="287" width="0.83203125" style="5" customWidth="1"/>
    <col min="288" max="288" width="2.6640625" style="5" customWidth="1"/>
    <col min="289" max="289" width="1" style="5" customWidth="1"/>
    <col min="290" max="290" width="4.33203125" style="5" customWidth="1"/>
    <col min="291" max="291" width="1.6640625" style="5" customWidth="1"/>
    <col min="292" max="292" width="1.33203125" style="5" customWidth="1"/>
    <col min="293" max="293" width="1" style="5" customWidth="1"/>
    <col min="294" max="294" width="0.83203125" style="5" customWidth="1"/>
    <col min="295" max="295" width="1.5" style="5" customWidth="1"/>
    <col min="296" max="296" width="1" style="5" customWidth="1"/>
    <col min="297" max="297" width="2.5" style="5" customWidth="1"/>
    <col min="298" max="298" width="3.6640625" style="5" customWidth="1"/>
    <col min="299" max="301" width="0.1640625" style="5" customWidth="1"/>
    <col min="302" max="302" width="0.33203125" style="5" customWidth="1"/>
    <col min="303" max="303" width="2.33203125" style="5" customWidth="1"/>
    <col min="304" max="304" width="0.1640625" style="5" customWidth="1"/>
    <col min="305" max="305" width="0.6640625" style="5" customWidth="1"/>
    <col min="306" max="306" width="0.33203125" style="5" customWidth="1"/>
    <col min="307" max="307" width="0.5" style="5" customWidth="1"/>
    <col min="308" max="308" width="7.1640625" style="5" customWidth="1"/>
    <col min="309" max="309" width="1.1640625" style="5" customWidth="1"/>
    <col min="310" max="310" width="0.33203125" style="5" customWidth="1"/>
    <col min="311" max="311" width="2.33203125" style="5" customWidth="1"/>
    <col min="312" max="312" width="0.83203125" style="5" customWidth="1"/>
    <col min="313" max="313" width="2.33203125" style="5" customWidth="1"/>
    <col min="314" max="314" width="7.33203125" style="5" customWidth="1"/>
    <col min="315" max="315" width="2.33203125" style="5" customWidth="1"/>
    <col min="316" max="316" width="0.83203125" style="5" customWidth="1"/>
    <col min="317" max="317" width="1.1640625" style="5" customWidth="1"/>
    <col min="318" max="318" width="8.5" style="5" customWidth="1"/>
    <col min="319" max="319" width="2.33203125" style="5" customWidth="1"/>
    <col min="320" max="320" width="0.83203125" style="5" customWidth="1"/>
    <col min="321" max="321" width="1" style="5" customWidth="1"/>
    <col min="322" max="322" width="7.5" style="5" customWidth="1"/>
    <col min="323" max="323" width="1.1640625" style="5" customWidth="1"/>
    <col min="324" max="512" width="10.83203125" style="5"/>
    <col min="513" max="513" width="0.5" style="5" customWidth="1"/>
    <col min="514" max="514" width="0.33203125" style="5" customWidth="1"/>
    <col min="515" max="515" width="1.5" style="5" customWidth="1"/>
    <col min="516" max="516" width="0.33203125" style="5" customWidth="1"/>
    <col min="517" max="517" width="0.5" style="5" customWidth="1"/>
    <col min="518" max="520" width="2" style="5" customWidth="1"/>
    <col min="521" max="521" width="0.1640625" style="5" customWidth="1"/>
    <col min="522" max="522" width="2" style="5" customWidth="1"/>
    <col min="523" max="525" width="0.1640625" style="5" customWidth="1"/>
    <col min="526" max="526" width="13.1640625" style="5" customWidth="1"/>
    <col min="527" max="527" width="3" style="5" customWidth="1"/>
    <col min="528" max="528" width="11" style="5" customWidth="1"/>
    <col min="529" max="529" width="1" style="5" customWidth="1"/>
    <col min="530" max="530" width="2.1640625" style="5" customWidth="1"/>
    <col min="531" max="531" width="2.33203125" style="5" customWidth="1"/>
    <col min="532" max="532" width="0.83203125" style="5" customWidth="1"/>
    <col min="533" max="533" width="3.1640625" style="5" customWidth="1"/>
    <col min="534" max="534" width="3.5" style="5" customWidth="1"/>
    <col min="535" max="535" width="3.1640625" style="5" customWidth="1"/>
    <col min="536" max="536" width="2.33203125" style="5" customWidth="1"/>
    <col min="537" max="537" width="0.83203125" style="5" customWidth="1"/>
    <col min="538" max="538" width="2.5" style="5" customWidth="1"/>
    <col min="539" max="539" width="6.6640625" style="5" customWidth="1"/>
    <col min="540" max="540" width="0.33203125" style="5" customWidth="1"/>
    <col min="541" max="541" width="0.1640625" style="5" customWidth="1"/>
    <col min="542" max="542" width="2.33203125" style="5" customWidth="1"/>
    <col min="543" max="543" width="0.83203125" style="5" customWidth="1"/>
    <col min="544" max="544" width="2.6640625" style="5" customWidth="1"/>
    <col min="545" max="545" width="1" style="5" customWidth="1"/>
    <col min="546" max="546" width="4.33203125" style="5" customWidth="1"/>
    <col min="547" max="547" width="1.6640625" style="5" customWidth="1"/>
    <col min="548" max="548" width="1.33203125" style="5" customWidth="1"/>
    <col min="549" max="549" width="1" style="5" customWidth="1"/>
    <col min="550" max="550" width="0.83203125" style="5" customWidth="1"/>
    <col min="551" max="551" width="1.5" style="5" customWidth="1"/>
    <col min="552" max="552" width="1" style="5" customWidth="1"/>
    <col min="553" max="553" width="2.5" style="5" customWidth="1"/>
    <col min="554" max="554" width="3.6640625" style="5" customWidth="1"/>
    <col min="555" max="557" width="0.1640625" style="5" customWidth="1"/>
    <col min="558" max="558" width="0.33203125" style="5" customWidth="1"/>
    <col min="559" max="559" width="2.33203125" style="5" customWidth="1"/>
    <col min="560" max="560" width="0.1640625" style="5" customWidth="1"/>
    <col min="561" max="561" width="0.6640625" style="5" customWidth="1"/>
    <col min="562" max="562" width="0.33203125" style="5" customWidth="1"/>
    <col min="563" max="563" width="0.5" style="5" customWidth="1"/>
    <col min="564" max="564" width="7.1640625" style="5" customWidth="1"/>
    <col min="565" max="565" width="1.1640625" style="5" customWidth="1"/>
    <col min="566" max="566" width="0.33203125" style="5" customWidth="1"/>
    <col min="567" max="567" width="2.33203125" style="5" customWidth="1"/>
    <col min="568" max="568" width="0.83203125" style="5" customWidth="1"/>
    <col min="569" max="569" width="2.33203125" style="5" customWidth="1"/>
    <col min="570" max="570" width="7.33203125" style="5" customWidth="1"/>
    <col min="571" max="571" width="2.33203125" style="5" customWidth="1"/>
    <col min="572" max="572" width="0.83203125" style="5" customWidth="1"/>
    <col min="573" max="573" width="1.1640625" style="5" customWidth="1"/>
    <col min="574" max="574" width="8.5" style="5" customWidth="1"/>
    <col min="575" max="575" width="2.33203125" style="5" customWidth="1"/>
    <col min="576" max="576" width="0.83203125" style="5" customWidth="1"/>
    <col min="577" max="577" width="1" style="5" customWidth="1"/>
    <col min="578" max="578" width="7.5" style="5" customWidth="1"/>
    <col min="579" max="579" width="1.1640625" style="5" customWidth="1"/>
    <col min="580" max="768" width="10.83203125" style="5"/>
    <col min="769" max="769" width="0.5" style="5" customWidth="1"/>
    <col min="770" max="770" width="0.33203125" style="5" customWidth="1"/>
    <col min="771" max="771" width="1.5" style="5" customWidth="1"/>
    <col min="772" max="772" width="0.33203125" style="5" customWidth="1"/>
    <col min="773" max="773" width="0.5" style="5" customWidth="1"/>
    <col min="774" max="776" width="2" style="5" customWidth="1"/>
    <col min="777" max="777" width="0.1640625" style="5" customWidth="1"/>
    <col min="778" max="778" width="2" style="5" customWidth="1"/>
    <col min="779" max="781" width="0.1640625" style="5" customWidth="1"/>
    <col min="782" max="782" width="13.1640625" style="5" customWidth="1"/>
    <col min="783" max="783" width="3" style="5" customWidth="1"/>
    <col min="784" max="784" width="11" style="5" customWidth="1"/>
    <col min="785" max="785" width="1" style="5" customWidth="1"/>
    <col min="786" max="786" width="2.1640625" style="5" customWidth="1"/>
    <col min="787" max="787" width="2.33203125" style="5" customWidth="1"/>
    <col min="788" max="788" width="0.83203125" style="5" customWidth="1"/>
    <col min="789" max="789" width="3.1640625" style="5" customWidth="1"/>
    <col min="790" max="790" width="3.5" style="5" customWidth="1"/>
    <col min="791" max="791" width="3.1640625" style="5" customWidth="1"/>
    <col min="792" max="792" width="2.33203125" style="5" customWidth="1"/>
    <col min="793" max="793" width="0.83203125" style="5" customWidth="1"/>
    <col min="794" max="794" width="2.5" style="5" customWidth="1"/>
    <col min="795" max="795" width="6.6640625" style="5" customWidth="1"/>
    <col min="796" max="796" width="0.33203125" style="5" customWidth="1"/>
    <col min="797" max="797" width="0.1640625" style="5" customWidth="1"/>
    <col min="798" max="798" width="2.33203125" style="5" customWidth="1"/>
    <col min="799" max="799" width="0.83203125" style="5" customWidth="1"/>
    <col min="800" max="800" width="2.6640625" style="5" customWidth="1"/>
    <col min="801" max="801" width="1" style="5" customWidth="1"/>
    <col min="802" max="802" width="4.33203125" style="5" customWidth="1"/>
    <col min="803" max="803" width="1.6640625" style="5" customWidth="1"/>
    <col min="804" max="804" width="1.33203125" style="5" customWidth="1"/>
    <col min="805" max="805" width="1" style="5" customWidth="1"/>
    <col min="806" max="806" width="0.83203125" style="5" customWidth="1"/>
    <col min="807" max="807" width="1.5" style="5" customWidth="1"/>
    <col min="808" max="808" width="1" style="5" customWidth="1"/>
    <col min="809" max="809" width="2.5" style="5" customWidth="1"/>
    <col min="810" max="810" width="3.6640625" style="5" customWidth="1"/>
    <col min="811" max="813" width="0.1640625" style="5" customWidth="1"/>
    <col min="814" max="814" width="0.33203125" style="5" customWidth="1"/>
    <col min="815" max="815" width="2.33203125" style="5" customWidth="1"/>
    <col min="816" max="816" width="0.1640625" style="5" customWidth="1"/>
    <col min="817" max="817" width="0.6640625" style="5" customWidth="1"/>
    <col min="818" max="818" width="0.33203125" style="5" customWidth="1"/>
    <col min="819" max="819" width="0.5" style="5" customWidth="1"/>
    <col min="820" max="820" width="7.1640625" style="5" customWidth="1"/>
    <col min="821" max="821" width="1.1640625" style="5" customWidth="1"/>
    <col min="822" max="822" width="0.33203125" style="5" customWidth="1"/>
    <col min="823" max="823" width="2.33203125" style="5" customWidth="1"/>
    <col min="824" max="824" width="0.83203125" style="5" customWidth="1"/>
    <col min="825" max="825" width="2.33203125" style="5" customWidth="1"/>
    <col min="826" max="826" width="7.33203125" style="5" customWidth="1"/>
    <col min="827" max="827" width="2.33203125" style="5" customWidth="1"/>
    <col min="828" max="828" width="0.83203125" style="5" customWidth="1"/>
    <col min="829" max="829" width="1.1640625" style="5" customWidth="1"/>
    <col min="830" max="830" width="8.5" style="5" customWidth="1"/>
    <col min="831" max="831" width="2.33203125" style="5" customWidth="1"/>
    <col min="832" max="832" width="0.83203125" style="5" customWidth="1"/>
    <col min="833" max="833" width="1" style="5" customWidth="1"/>
    <col min="834" max="834" width="7.5" style="5" customWidth="1"/>
    <col min="835" max="835" width="1.1640625" style="5" customWidth="1"/>
    <col min="836" max="1024" width="10.83203125" style="5"/>
    <col min="1025" max="1025" width="0.5" style="5" customWidth="1"/>
    <col min="1026" max="1026" width="0.33203125" style="5" customWidth="1"/>
    <col min="1027" max="1027" width="1.5" style="5" customWidth="1"/>
    <col min="1028" max="1028" width="0.33203125" style="5" customWidth="1"/>
    <col min="1029" max="1029" width="0.5" style="5" customWidth="1"/>
    <col min="1030" max="1032" width="2" style="5" customWidth="1"/>
    <col min="1033" max="1033" width="0.1640625" style="5" customWidth="1"/>
    <col min="1034" max="1034" width="2" style="5" customWidth="1"/>
    <col min="1035" max="1037" width="0.1640625" style="5" customWidth="1"/>
    <col min="1038" max="1038" width="13.1640625" style="5" customWidth="1"/>
    <col min="1039" max="1039" width="3" style="5" customWidth="1"/>
    <col min="1040" max="1040" width="11" style="5" customWidth="1"/>
    <col min="1041" max="1041" width="1" style="5" customWidth="1"/>
    <col min="1042" max="1042" width="2.1640625" style="5" customWidth="1"/>
    <col min="1043" max="1043" width="2.33203125" style="5" customWidth="1"/>
    <col min="1044" max="1044" width="0.83203125" style="5" customWidth="1"/>
    <col min="1045" max="1045" width="3.1640625" style="5" customWidth="1"/>
    <col min="1046" max="1046" width="3.5" style="5" customWidth="1"/>
    <col min="1047" max="1047" width="3.1640625" style="5" customWidth="1"/>
    <col min="1048" max="1048" width="2.33203125" style="5" customWidth="1"/>
    <col min="1049" max="1049" width="0.83203125" style="5" customWidth="1"/>
    <col min="1050" max="1050" width="2.5" style="5" customWidth="1"/>
    <col min="1051" max="1051" width="6.6640625" style="5" customWidth="1"/>
    <col min="1052" max="1052" width="0.33203125" style="5" customWidth="1"/>
    <col min="1053" max="1053" width="0.1640625" style="5" customWidth="1"/>
    <col min="1054" max="1054" width="2.33203125" style="5" customWidth="1"/>
    <col min="1055" max="1055" width="0.83203125" style="5" customWidth="1"/>
    <col min="1056" max="1056" width="2.6640625" style="5" customWidth="1"/>
    <col min="1057" max="1057" width="1" style="5" customWidth="1"/>
    <col min="1058" max="1058" width="4.33203125" style="5" customWidth="1"/>
    <col min="1059" max="1059" width="1.6640625" style="5" customWidth="1"/>
    <col min="1060" max="1060" width="1.33203125" style="5" customWidth="1"/>
    <col min="1061" max="1061" width="1" style="5" customWidth="1"/>
    <col min="1062" max="1062" width="0.83203125" style="5" customWidth="1"/>
    <col min="1063" max="1063" width="1.5" style="5" customWidth="1"/>
    <col min="1064" max="1064" width="1" style="5" customWidth="1"/>
    <col min="1065" max="1065" width="2.5" style="5" customWidth="1"/>
    <col min="1066" max="1066" width="3.6640625" style="5" customWidth="1"/>
    <col min="1067" max="1069" width="0.1640625" style="5" customWidth="1"/>
    <col min="1070" max="1070" width="0.33203125" style="5" customWidth="1"/>
    <col min="1071" max="1071" width="2.33203125" style="5" customWidth="1"/>
    <col min="1072" max="1072" width="0.1640625" style="5" customWidth="1"/>
    <col min="1073" max="1073" width="0.6640625" style="5" customWidth="1"/>
    <col min="1074" max="1074" width="0.33203125" style="5" customWidth="1"/>
    <col min="1075" max="1075" width="0.5" style="5" customWidth="1"/>
    <col min="1076" max="1076" width="7.1640625" style="5" customWidth="1"/>
    <col min="1077" max="1077" width="1.1640625" style="5" customWidth="1"/>
    <col min="1078" max="1078" width="0.33203125" style="5" customWidth="1"/>
    <col min="1079" max="1079" width="2.33203125" style="5" customWidth="1"/>
    <col min="1080" max="1080" width="0.83203125" style="5" customWidth="1"/>
    <col min="1081" max="1081" width="2.33203125" style="5" customWidth="1"/>
    <col min="1082" max="1082" width="7.33203125" style="5" customWidth="1"/>
    <col min="1083" max="1083" width="2.33203125" style="5" customWidth="1"/>
    <col min="1084" max="1084" width="0.83203125" style="5" customWidth="1"/>
    <col min="1085" max="1085" width="1.1640625" style="5" customWidth="1"/>
    <col min="1086" max="1086" width="8.5" style="5" customWidth="1"/>
    <col min="1087" max="1087" width="2.33203125" style="5" customWidth="1"/>
    <col min="1088" max="1088" width="0.83203125" style="5" customWidth="1"/>
    <col min="1089" max="1089" width="1" style="5" customWidth="1"/>
    <col min="1090" max="1090" width="7.5" style="5" customWidth="1"/>
    <col min="1091" max="1091" width="1.1640625" style="5" customWidth="1"/>
    <col min="1092" max="1280" width="10.83203125" style="5"/>
    <col min="1281" max="1281" width="0.5" style="5" customWidth="1"/>
    <col min="1282" max="1282" width="0.33203125" style="5" customWidth="1"/>
    <col min="1283" max="1283" width="1.5" style="5" customWidth="1"/>
    <col min="1284" max="1284" width="0.33203125" style="5" customWidth="1"/>
    <col min="1285" max="1285" width="0.5" style="5" customWidth="1"/>
    <col min="1286" max="1288" width="2" style="5" customWidth="1"/>
    <col min="1289" max="1289" width="0.1640625" style="5" customWidth="1"/>
    <col min="1290" max="1290" width="2" style="5" customWidth="1"/>
    <col min="1291" max="1293" width="0.1640625" style="5" customWidth="1"/>
    <col min="1294" max="1294" width="13.1640625" style="5" customWidth="1"/>
    <col min="1295" max="1295" width="3" style="5" customWidth="1"/>
    <col min="1296" max="1296" width="11" style="5" customWidth="1"/>
    <col min="1297" max="1297" width="1" style="5" customWidth="1"/>
    <col min="1298" max="1298" width="2.1640625" style="5" customWidth="1"/>
    <col min="1299" max="1299" width="2.33203125" style="5" customWidth="1"/>
    <col min="1300" max="1300" width="0.83203125" style="5" customWidth="1"/>
    <col min="1301" max="1301" width="3.1640625" style="5" customWidth="1"/>
    <col min="1302" max="1302" width="3.5" style="5" customWidth="1"/>
    <col min="1303" max="1303" width="3.1640625" style="5" customWidth="1"/>
    <col min="1304" max="1304" width="2.33203125" style="5" customWidth="1"/>
    <col min="1305" max="1305" width="0.83203125" style="5" customWidth="1"/>
    <col min="1306" max="1306" width="2.5" style="5" customWidth="1"/>
    <col min="1307" max="1307" width="6.6640625" style="5" customWidth="1"/>
    <col min="1308" max="1308" width="0.33203125" style="5" customWidth="1"/>
    <col min="1309" max="1309" width="0.1640625" style="5" customWidth="1"/>
    <col min="1310" max="1310" width="2.33203125" style="5" customWidth="1"/>
    <col min="1311" max="1311" width="0.83203125" style="5" customWidth="1"/>
    <col min="1312" max="1312" width="2.6640625" style="5" customWidth="1"/>
    <col min="1313" max="1313" width="1" style="5" customWidth="1"/>
    <col min="1314" max="1314" width="4.33203125" style="5" customWidth="1"/>
    <col min="1315" max="1315" width="1.6640625" style="5" customWidth="1"/>
    <col min="1316" max="1316" width="1.33203125" style="5" customWidth="1"/>
    <col min="1317" max="1317" width="1" style="5" customWidth="1"/>
    <col min="1318" max="1318" width="0.83203125" style="5" customWidth="1"/>
    <col min="1319" max="1319" width="1.5" style="5" customWidth="1"/>
    <col min="1320" max="1320" width="1" style="5" customWidth="1"/>
    <col min="1321" max="1321" width="2.5" style="5" customWidth="1"/>
    <col min="1322" max="1322" width="3.6640625" style="5" customWidth="1"/>
    <col min="1323" max="1325" width="0.1640625" style="5" customWidth="1"/>
    <col min="1326" max="1326" width="0.33203125" style="5" customWidth="1"/>
    <col min="1327" max="1327" width="2.33203125" style="5" customWidth="1"/>
    <col min="1328" max="1328" width="0.1640625" style="5" customWidth="1"/>
    <col min="1329" max="1329" width="0.6640625" style="5" customWidth="1"/>
    <col min="1330" max="1330" width="0.33203125" style="5" customWidth="1"/>
    <col min="1331" max="1331" width="0.5" style="5" customWidth="1"/>
    <col min="1332" max="1332" width="7.1640625" style="5" customWidth="1"/>
    <col min="1333" max="1333" width="1.1640625" style="5" customWidth="1"/>
    <col min="1334" max="1334" width="0.33203125" style="5" customWidth="1"/>
    <col min="1335" max="1335" width="2.33203125" style="5" customWidth="1"/>
    <col min="1336" max="1336" width="0.83203125" style="5" customWidth="1"/>
    <col min="1337" max="1337" width="2.33203125" style="5" customWidth="1"/>
    <col min="1338" max="1338" width="7.33203125" style="5" customWidth="1"/>
    <col min="1339" max="1339" width="2.33203125" style="5" customWidth="1"/>
    <col min="1340" max="1340" width="0.83203125" style="5" customWidth="1"/>
    <col min="1341" max="1341" width="1.1640625" style="5" customWidth="1"/>
    <col min="1342" max="1342" width="8.5" style="5" customWidth="1"/>
    <col min="1343" max="1343" width="2.33203125" style="5" customWidth="1"/>
    <col min="1344" max="1344" width="0.83203125" style="5" customWidth="1"/>
    <col min="1345" max="1345" width="1" style="5" customWidth="1"/>
    <col min="1346" max="1346" width="7.5" style="5" customWidth="1"/>
    <col min="1347" max="1347" width="1.1640625" style="5" customWidth="1"/>
    <col min="1348" max="1536" width="10.83203125" style="5"/>
    <col min="1537" max="1537" width="0.5" style="5" customWidth="1"/>
    <col min="1538" max="1538" width="0.33203125" style="5" customWidth="1"/>
    <col min="1539" max="1539" width="1.5" style="5" customWidth="1"/>
    <col min="1540" max="1540" width="0.33203125" style="5" customWidth="1"/>
    <col min="1541" max="1541" width="0.5" style="5" customWidth="1"/>
    <col min="1542" max="1544" width="2" style="5" customWidth="1"/>
    <col min="1545" max="1545" width="0.1640625" style="5" customWidth="1"/>
    <col min="1546" max="1546" width="2" style="5" customWidth="1"/>
    <col min="1547" max="1549" width="0.1640625" style="5" customWidth="1"/>
    <col min="1550" max="1550" width="13.1640625" style="5" customWidth="1"/>
    <col min="1551" max="1551" width="3" style="5" customWidth="1"/>
    <col min="1552" max="1552" width="11" style="5" customWidth="1"/>
    <col min="1553" max="1553" width="1" style="5" customWidth="1"/>
    <col min="1554" max="1554" width="2.1640625" style="5" customWidth="1"/>
    <col min="1555" max="1555" width="2.33203125" style="5" customWidth="1"/>
    <col min="1556" max="1556" width="0.83203125" style="5" customWidth="1"/>
    <col min="1557" max="1557" width="3.1640625" style="5" customWidth="1"/>
    <col min="1558" max="1558" width="3.5" style="5" customWidth="1"/>
    <col min="1559" max="1559" width="3.1640625" style="5" customWidth="1"/>
    <col min="1560" max="1560" width="2.33203125" style="5" customWidth="1"/>
    <col min="1561" max="1561" width="0.83203125" style="5" customWidth="1"/>
    <col min="1562" max="1562" width="2.5" style="5" customWidth="1"/>
    <col min="1563" max="1563" width="6.6640625" style="5" customWidth="1"/>
    <col min="1564" max="1564" width="0.33203125" style="5" customWidth="1"/>
    <col min="1565" max="1565" width="0.1640625" style="5" customWidth="1"/>
    <col min="1566" max="1566" width="2.33203125" style="5" customWidth="1"/>
    <col min="1567" max="1567" width="0.83203125" style="5" customWidth="1"/>
    <col min="1568" max="1568" width="2.6640625" style="5" customWidth="1"/>
    <col min="1569" max="1569" width="1" style="5" customWidth="1"/>
    <col min="1570" max="1570" width="4.33203125" style="5" customWidth="1"/>
    <col min="1571" max="1571" width="1.6640625" style="5" customWidth="1"/>
    <col min="1572" max="1572" width="1.33203125" style="5" customWidth="1"/>
    <col min="1573" max="1573" width="1" style="5" customWidth="1"/>
    <col min="1574" max="1574" width="0.83203125" style="5" customWidth="1"/>
    <col min="1575" max="1575" width="1.5" style="5" customWidth="1"/>
    <col min="1576" max="1576" width="1" style="5" customWidth="1"/>
    <col min="1577" max="1577" width="2.5" style="5" customWidth="1"/>
    <col min="1578" max="1578" width="3.6640625" style="5" customWidth="1"/>
    <col min="1579" max="1581" width="0.1640625" style="5" customWidth="1"/>
    <col min="1582" max="1582" width="0.33203125" style="5" customWidth="1"/>
    <col min="1583" max="1583" width="2.33203125" style="5" customWidth="1"/>
    <col min="1584" max="1584" width="0.1640625" style="5" customWidth="1"/>
    <col min="1585" max="1585" width="0.6640625" style="5" customWidth="1"/>
    <col min="1586" max="1586" width="0.33203125" style="5" customWidth="1"/>
    <col min="1587" max="1587" width="0.5" style="5" customWidth="1"/>
    <col min="1588" max="1588" width="7.1640625" style="5" customWidth="1"/>
    <col min="1589" max="1589" width="1.1640625" style="5" customWidth="1"/>
    <col min="1590" max="1590" width="0.33203125" style="5" customWidth="1"/>
    <col min="1591" max="1591" width="2.33203125" style="5" customWidth="1"/>
    <col min="1592" max="1592" width="0.83203125" style="5" customWidth="1"/>
    <col min="1593" max="1593" width="2.33203125" style="5" customWidth="1"/>
    <col min="1594" max="1594" width="7.33203125" style="5" customWidth="1"/>
    <col min="1595" max="1595" width="2.33203125" style="5" customWidth="1"/>
    <col min="1596" max="1596" width="0.83203125" style="5" customWidth="1"/>
    <col min="1597" max="1597" width="1.1640625" style="5" customWidth="1"/>
    <col min="1598" max="1598" width="8.5" style="5" customWidth="1"/>
    <col min="1599" max="1599" width="2.33203125" style="5" customWidth="1"/>
    <col min="1600" max="1600" width="0.83203125" style="5" customWidth="1"/>
    <col min="1601" max="1601" width="1" style="5" customWidth="1"/>
    <col min="1602" max="1602" width="7.5" style="5" customWidth="1"/>
    <col min="1603" max="1603" width="1.1640625" style="5" customWidth="1"/>
    <col min="1604" max="1792" width="10.83203125" style="5"/>
    <col min="1793" max="1793" width="0.5" style="5" customWidth="1"/>
    <col min="1794" max="1794" width="0.33203125" style="5" customWidth="1"/>
    <col min="1795" max="1795" width="1.5" style="5" customWidth="1"/>
    <col min="1796" max="1796" width="0.33203125" style="5" customWidth="1"/>
    <col min="1797" max="1797" width="0.5" style="5" customWidth="1"/>
    <col min="1798" max="1800" width="2" style="5" customWidth="1"/>
    <col min="1801" max="1801" width="0.1640625" style="5" customWidth="1"/>
    <col min="1802" max="1802" width="2" style="5" customWidth="1"/>
    <col min="1803" max="1805" width="0.1640625" style="5" customWidth="1"/>
    <col min="1806" max="1806" width="13.1640625" style="5" customWidth="1"/>
    <col min="1807" max="1807" width="3" style="5" customWidth="1"/>
    <col min="1808" max="1808" width="11" style="5" customWidth="1"/>
    <col min="1809" max="1809" width="1" style="5" customWidth="1"/>
    <col min="1810" max="1810" width="2.1640625" style="5" customWidth="1"/>
    <col min="1811" max="1811" width="2.33203125" style="5" customWidth="1"/>
    <col min="1812" max="1812" width="0.83203125" style="5" customWidth="1"/>
    <col min="1813" max="1813" width="3.1640625" style="5" customWidth="1"/>
    <col min="1814" max="1814" width="3.5" style="5" customWidth="1"/>
    <col min="1815" max="1815" width="3.1640625" style="5" customWidth="1"/>
    <col min="1816" max="1816" width="2.33203125" style="5" customWidth="1"/>
    <col min="1817" max="1817" width="0.83203125" style="5" customWidth="1"/>
    <col min="1818" max="1818" width="2.5" style="5" customWidth="1"/>
    <col min="1819" max="1819" width="6.6640625" style="5" customWidth="1"/>
    <col min="1820" max="1820" width="0.33203125" style="5" customWidth="1"/>
    <col min="1821" max="1821" width="0.1640625" style="5" customWidth="1"/>
    <col min="1822" max="1822" width="2.33203125" style="5" customWidth="1"/>
    <col min="1823" max="1823" width="0.83203125" style="5" customWidth="1"/>
    <col min="1824" max="1824" width="2.6640625" style="5" customWidth="1"/>
    <col min="1825" max="1825" width="1" style="5" customWidth="1"/>
    <col min="1826" max="1826" width="4.33203125" style="5" customWidth="1"/>
    <col min="1827" max="1827" width="1.6640625" style="5" customWidth="1"/>
    <col min="1828" max="1828" width="1.33203125" style="5" customWidth="1"/>
    <col min="1829" max="1829" width="1" style="5" customWidth="1"/>
    <col min="1830" max="1830" width="0.83203125" style="5" customWidth="1"/>
    <col min="1831" max="1831" width="1.5" style="5" customWidth="1"/>
    <col min="1832" max="1832" width="1" style="5" customWidth="1"/>
    <col min="1833" max="1833" width="2.5" style="5" customWidth="1"/>
    <col min="1834" max="1834" width="3.6640625" style="5" customWidth="1"/>
    <col min="1835" max="1837" width="0.1640625" style="5" customWidth="1"/>
    <col min="1838" max="1838" width="0.33203125" style="5" customWidth="1"/>
    <col min="1839" max="1839" width="2.33203125" style="5" customWidth="1"/>
    <col min="1840" max="1840" width="0.1640625" style="5" customWidth="1"/>
    <col min="1841" max="1841" width="0.6640625" style="5" customWidth="1"/>
    <col min="1842" max="1842" width="0.33203125" style="5" customWidth="1"/>
    <col min="1843" max="1843" width="0.5" style="5" customWidth="1"/>
    <col min="1844" max="1844" width="7.1640625" style="5" customWidth="1"/>
    <col min="1845" max="1845" width="1.1640625" style="5" customWidth="1"/>
    <col min="1846" max="1846" width="0.33203125" style="5" customWidth="1"/>
    <col min="1847" max="1847" width="2.33203125" style="5" customWidth="1"/>
    <col min="1848" max="1848" width="0.83203125" style="5" customWidth="1"/>
    <col min="1849" max="1849" width="2.33203125" style="5" customWidth="1"/>
    <col min="1850" max="1850" width="7.33203125" style="5" customWidth="1"/>
    <col min="1851" max="1851" width="2.33203125" style="5" customWidth="1"/>
    <col min="1852" max="1852" width="0.83203125" style="5" customWidth="1"/>
    <col min="1853" max="1853" width="1.1640625" style="5" customWidth="1"/>
    <col min="1854" max="1854" width="8.5" style="5" customWidth="1"/>
    <col min="1855" max="1855" width="2.33203125" style="5" customWidth="1"/>
    <col min="1856" max="1856" width="0.83203125" style="5" customWidth="1"/>
    <col min="1857" max="1857" width="1" style="5" customWidth="1"/>
    <col min="1858" max="1858" width="7.5" style="5" customWidth="1"/>
    <col min="1859" max="1859" width="1.1640625" style="5" customWidth="1"/>
    <col min="1860" max="2048" width="10.83203125" style="5"/>
    <col min="2049" max="2049" width="0.5" style="5" customWidth="1"/>
    <col min="2050" max="2050" width="0.33203125" style="5" customWidth="1"/>
    <col min="2051" max="2051" width="1.5" style="5" customWidth="1"/>
    <col min="2052" max="2052" width="0.33203125" style="5" customWidth="1"/>
    <col min="2053" max="2053" width="0.5" style="5" customWidth="1"/>
    <col min="2054" max="2056" width="2" style="5" customWidth="1"/>
    <col min="2057" max="2057" width="0.1640625" style="5" customWidth="1"/>
    <col min="2058" max="2058" width="2" style="5" customWidth="1"/>
    <col min="2059" max="2061" width="0.1640625" style="5" customWidth="1"/>
    <col min="2062" max="2062" width="13.1640625" style="5" customWidth="1"/>
    <col min="2063" max="2063" width="3" style="5" customWidth="1"/>
    <col min="2064" max="2064" width="11" style="5" customWidth="1"/>
    <col min="2065" max="2065" width="1" style="5" customWidth="1"/>
    <col min="2066" max="2066" width="2.1640625" style="5" customWidth="1"/>
    <col min="2067" max="2067" width="2.33203125" style="5" customWidth="1"/>
    <col min="2068" max="2068" width="0.83203125" style="5" customWidth="1"/>
    <col min="2069" max="2069" width="3.1640625" style="5" customWidth="1"/>
    <col min="2070" max="2070" width="3.5" style="5" customWidth="1"/>
    <col min="2071" max="2071" width="3.1640625" style="5" customWidth="1"/>
    <col min="2072" max="2072" width="2.33203125" style="5" customWidth="1"/>
    <col min="2073" max="2073" width="0.83203125" style="5" customWidth="1"/>
    <col min="2074" max="2074" width="2.5" style="5" customWidth="1"/>
    <col min="2075" max="2075" width="6.6640625" style="5" customWidth="1"/>
    <col min="2076" max="2076" width="0.33203125" style="5" customWidth="1"/>
    <col min="2077" max="2077" width="0.1640625" style="5" customWidth="1"/>
    <col min="2078" max="2078" width="2.33203125" style="5" customWidth="1"/>
    <col min="2079" max="2079" width="0.83203125" style="5" customWidth="1"/>
    <col min="2080" max="2080" width="2.6640625" style="5" customWidth="1"/>
    <col min="2081" max="2081" width="1" style="5" customWidth="1"/>
    <col min="2082" max="2082" width="4.33203125" style="5" customWidth="1"/>
    <col min="2083" max="2083" width="1.6640625" style="5" customWidth="1"/>
    <col min="2084" max="2084" width="1.33203125" style="5" customWidth="1"/>
    <col min="2085" max="2085" width="1" style="5" customWidth="1"/>
    <col min="2086" max="2086" width="0.83203125" style="5" customWidth="1"/>
    <col min="2087" max="2087" width="1.5" style="5" customWidth="1"/>
    <col min="2088" max="2088" width="1" style="5" customWidth="1"/>
    <col min="2089" max="2089" width="2.5" style="5" customWidth="1"/>
    <col min="2090" max="2090" width="3.6640625" style="5" customWidth="1"/>
    <col min="2091" max="2093" width="0.1640625" style="5" customWidth="1"/>
    <col min="2094" max="2094" width="0.33203125" style="5" customWidth="1"/>
    <col min="2095" max="2095" width="2.33203125" style="5" customWidth="1"/>
    <col min="2096" max="2096" width="0.1640625" style="5" customWidth="1"/>
    <col min="2097" max="2097" width="0.6640625" style="5" customWidth="1"/>
    <col min="2098" max="2098" width="0.33203125" style="5" customWidth="1"/>
    <col min="2099" max="2099" width="0.5" style="5" customWidth="1"/>
    <col min="2100" max="2100" width="7.1640625" style="5" customWidth="1"/>
    <col min="2101" max="2101" width="1.1640625" style="5" customWidth="1"/>
    <col min="2102" max="2102" width="0.33203125" style="5" customWidth="1"/>
    <col min="2103" max="2103" width="2.33203125" style="5" customWidth="1"/>
    <col min="2104" max="2104" width="0.83203125" style="5" customWidth="1"/>
    <col min="2105" max="2105" width="2.33203125" style="5" customWidth="1"/>
    <col min="2106" max="2106" width="7.33203125" style="5" customWidth="1"/>
    <col min="2107" max="2107" width="2.33203125" style="5" customWidth="1"/>
    <col min="2108" max="2108" width="0.83203125" style="5" customWidth="1"/>
    <col min="2109" max="2109" width="1.1640625" style="5" customWidth="1"/>
    <col min="2110" max="2110" width="8.5" style="5" customWidth="1"/>
    <col min="2111" max="2111" width="2.33203125" style="5" customWidth="1"/>
    <col min="2112" max="2112" width="0.83203125" style="5" customWidth="1"/>
    <col min="2113" max="2113" width="1" style="5" customWidth="1"/>
    <col min="2114" max="2114" width="7.5" style="5" customWidth="1"/>
    <col min="2115" max="2115" width="1.1640625" style="5" customWidth="1"/>
    <col min="2116" max="2304" width="10.83203125" style="5"/>
    <col min="2305" max="2305" width="0.5" style="5" customWidth="1"/>
    <col min="2306" max="2306" width="0.33203125" style="5" customWidth="1"/>
    <col min="2307" max="2307" width="1.5" style="5" customWidth="1"/>
    <col min="2308" max="2308" width="0.33203125" style="5" customWidth="1"/>
    <col min="2309" max="2309" width="0.5" style="5" customWidth="1"/>
    <col min="2310" max="2312" width="2" style="5" customWidth="1"/>
    <col min="2313" max="2313" width="0.1640625" style="5" customWidth="1"/>
    <col min="2314" max="2314" width="2" style="5" customWidth="1"/>
    <col min="2315" max="2317" width="0.1640625" style="5" customWidth="1"/>
    <col min="2318" max="2318" width="13.1640625" style="5" customWidth="1"/>
    <col min="2319" max="2319" width="3" style="5" customWidth="1"/>
    <col min="2320" max="2320" width="11" style="5" customWidth="1"/>
    <col min="2321" max="2321" width="1" style="5" customWidth="1"/>
    <col min="2322" max="2322" width="2.1640625" style="5" customWidth="1"/>
    <col min="2323" max="2323" width="2.33203125" style="5" customWidth="1"/>
    <col min="2324" max="2324" width="0.83203125" style="5" customWidth="1"/>
    <col min="2325" max="2325" width="3.1640625" style="5" customWidth="1"/>
    <col min="2326" max="2326" width="3.5" style="5" customWidth="1"/>
    <col min="2327" max="2327" width="3.1640625" style="5" customWidth="1"/>
    <col min="2328" max="2328" width="2.33203125" style="5" customWidth="1"/>
    <col min="2329" max="2329" width="0.83203125" style="5" customWidth="1"/>
    <col min="2330" max="2330" width="2.5" style="5" customWidth="1"/>
    <col min="2331" max="2331" width="6.6640625" style="5" customWidth="1"/>
    <col min="2332" max="2332" width="0.33203125" style="5" customWidth="1"/>
    <col min="2333" max="2333" width="0.1640625" style="5" customWidth="1"/>
    <col min="2334" max="2334" width="2.33203125" style="5" customWidth="1"/>
    <col min="2335" max="2335" width="0.83203125" style="5" customWidth="1"/>
    <col min="2336" max="2336" width="2.6640625" style="5" customWidth="1"/>
    <col min="2337" max="2337" width="1" style="5" customWidth="1"/>
    <col min="2338" max="2338" width="4.33203125" style="5" customWidth="1"/>
    <col min="2339" max="2339" width="1.6640625" style="5" customWidth="1"/>
    <col min="2340" max="2340" width="1.33203125" style="5" customWidth="1"/>
    <col min="2341" max="2341" width="1" style="5" customWidth="1"/>
    <col min="2342" max="2342" width="0.83203125" style="5" customWidth="1"/>
    <col min="2343" max="2343" width="1.5" style="5" customWidth="1"/>
    <col min="2344" max="2344" width="1" style="5" customWidth="1"/>
    <col min="2345" max="2345" width="2.5" style="5" customWidth="1"/>
    <col min="2346" max="2346" width="3.6640625" style="5" customWidth="1"/>
    <col min="2347" max="2349" width="0.1640625" style="5" customWidth="1"/>
    <col min="2350" max="2350" width="0.33203125" style="5" customWidth="1"/>
    <col min="2351" max="2351" width="2.33203125" style="5" customWidth="1"/>
    <col min="2352" max="2352" width="0.1640625" style="5" customWidth="1"/>
    <col min="2353" max="2353" width="0.6640625" style="5" customWidth="1"/>
    <col min="2354" max="2354" width="0.33203125" style="5" customWidth="1"/>
    <col min="2355" max="2355" width="0.5" style="5" customWidth="1"/>
    <col min="2356" max="2356" width="7.1640625" style="5" customWidth="1"/>
    <col min="2357" max="2357" width="1.1640625" style="5" customWidth="1"/>
    <col min="2358" max="2358" width="0.33203125" style="5" customWidth="1"/>
    <col min="2359" max="2359" width="2.33203125" style="5" customWidth="1"/>
    <col min="2360" max="2360" width="0.83203125" style="5" customWidth="1"/>
    <col min="2361" max="2361" width="2.33203125" style="5" customWidth="1"/>
    <col min="2362" max="2362" width="7.33203125" style="5" customWidth="1"/>
    <col min="2363" max="2363" width="2.33203125" style="5" customWidth="1"/>
    <col min="2364" max="2364" width="0.83203125" style="5" customWidth="1"/>
    <col min="2365" max="2365" width="1.1640625" style="5" customWidth="1"/>
    <col min="2366" max="2366" width="8.5" style="5" customWidth="1"/>
    <col min="2367" max="2367" width="2.33203125" style="5" customWidth="1"/>
    <col min="2368" max="2368" width="0.83203125" style="5" customWidth="1"/>
    <col min="2369" max="2369" width="1" style="5" customWidth="1"/>
    <col min="2370" max="2370" width="7.5" style="5" customWidth="1"/>
    <col min="2371" max="2371" width="1.1640625" style="5" customWidth="1"/>
    <col min="2372" max="2560" width="10.83203125" style="5"/>
    <col min="2561" max="2561" width="0.5" style="5" customWidth="1"/>
    <col min="2562" max="2562" width="0.33203125" style="5" customWidth="1"/>
    <col min="2563" max="2563" width="1.5" style="5" customWidth="1"/>
    <col min="2564" max="2564" width="0.33203125" style="5" customWidth="1"/>
    <col min="2565" max="2565" width="0.5" style="5" customWidth="1"/>
    <col min="2566" max="2568" width="2" style="5" customWidth="1"/>
    <col min="2569" max="2569" width="0.1640625" style="5" customWidth="1"/>
    <col min="2570" max="2570" width="2" style="5" customWidth="1"/>
    <col min="2571" max="2573" width="0.1640625" style="5" customWidth="1"/>
    <col min="2574" max="2574" width="13.1640625" style="5" customWidth="1"/>
    <col min="2575" max="2575" width="3" style="5" customWidth="1"/>
    <col min="2576" max="2576" width="11" style="5" customWidth="1"/>
    <col min="2577" max="2577" width="1" style="5" customWidth="1"/>
    <col min="2578" max="2578" width="2.1640625" style="5" customWidth="1"/>
    <col min="2579" max="2579" width="2.33203125" style="5" customWidth="1"/>
    <col min="2580" max="2580" width="0.83203125" style="5" customWidth="1"/>
    <col min="2581" max="2581" width="3.1640625" style="5" customWidth="1"/>
    <col min="2582" max="2582" width="3.5" style="5" customWidth="1"/>
    <col min="2583" max="2583" width="3.1640625" style="5" customWidth="1"/>
    <col min="2584" max="2584" width="2.33203125" style="5" customWidth="1"/>
    <col min="2585" max="2585" width="0.83203125" style="5" customWidth="1"/>
    <col min="2586" max="2586" width="2.5" style="5" customWidth="1"/>
    <col min="2587" max="2587" width="6.6640625" style="5" customWidth="1"/>
    <col min="2588" max="2588" width="0.33203125" style="5" customWidth="1"/>
    <col min="2589" max="2589" width="0.1640625" style="5" customWidth="1"/>
    <col min="2590" max="2590" width="2.33203125" style="5" customWidth="1"/>
    <col min="2591" max="2591" width="0.83203125" style="5" customWidth="1"/>
    <col min="2592" max="2592" width="2.6640625" style="5" customWidth="1"/>
    <col min="2593" max="2593" width="1" style="5" customWidth="1"/>
    <col min="2594" max="2594" width="4.33203125" style="5" customWidth="1"/>
    <col min="2595" max="2595" width="1.6640625" style="5" customWidth="1"/>
    <col min="2596" max="2596" width="1.33203125" style="5" customWidth="1"/>
    <col min="2597" max="2597" width="1" style="5" customWidth="1"/>
    <col min="2598" max="2598" width="0.83203125" style="5" customWidth="1"/>
    <col min="2599" max="2599" width="1.5" style="5" customWidth="1"/>
    <col min="2600" max="2600" width="1" style="5" customWidth="1"/>
    <col min="2601" max="2601" width="2.5" style="5" customWidth="1"/>
    <col min="2602" max="2602" width="3.6640625" style="5" customWidth="1"/>
    <col min="2603" max="2605" width="0.1640625" style="5" customWidth="1"/>
    <col min="2606" max="2606" width="0.33203125" style="5" customWidth="1"/>
    <col min="2607" max="2607" width="2.33203125" style="5" customWidth="1"/>
    <col min="2608" max="2608" width="0.1640625" style="5" customWidth="1"/>
    <col min="2609" max="2609" width="0.6640625" style="5" customWidth="1"/>
    <col min="2610" max="2610" width="0.33203125" style="5" customWidth="1"/>
    <col min="2611" max="2611" width="0.5" style="5" customWidth="1"/>
    <col min="2612" max="2612" width="7.1640625" style="5" customWidth="1"/>
    <col min="2613" max="2613" width="1.1640625" style="5" customWidth="1"/>
    <col min="2614" max="2614" width="0.33203125" style="5" customWidth="1"/>
    <col min="2615" max="2615" width="2.33203125" style="5" customWidth="1"/>
    <col min="2616" max="2616" width="0.83203125" style="5" customWidth="1"/>
    <col min="2617" max="2617" width="2.33203125" style="5" customWidth="1"/>
    <col min="2618" max="2618" width="7.33203125" style="5" customWidth="1"/>
    <col min="2619" max="2619" width="2.33203125" style="5" customWidth="1"/>
    <col min="2620" max="2620" width="0.83203125" style="5" customWidth="1"/>
    <col min="2621" max="2621" width="1.1640625" style="5" customWidth="1"/>
    <col min="2622" max="2622" width="8.5" style="5" customWidth="1"/>
    <col min="2623" max="2623" width="2.33203125" style="5" customWidth="1"/>
    <col min="2624" max="2624" width="0.83203125" style="5" customWidth="1"/>
    <col min="2625" max="2625" width="1" style="5" customWidth="1"/>
    <col min="2626" max="2626" width="7.5" style="5" customWidth="1"/>
    <col min="2627" max="2627" width="1.1640625" style="5" customWidth="1"/>
    <col min="2628" max="2816" width="10.83203125" style="5"/>
    <col min="2817" max="2817" width="0.5" style="5" customWidth="1"/>
    <col min="2818" max="2818" width="0.33203125" style="5" customWidth="1"/>
    <col min="2819" max="2819" width="1.5" style="5" customWidth="1"/>
    <col min="2820" max="2820" width="0.33203125" style="5" customWidth="1"/>
    <col min="2821" max="2821" width="0.5" style="5" customWidth="1"/>
    <col min="2822" max="2824" width="2" style="5" customWidth="1"/>
    <col min="2825" max="2825" width="0.1640625" style="5" customWidth="1"/>
    <col min="2826" max="2826" width="2" style="5" customWidth="1"/>
    <col min="2827" max="2829" width="0.1640625" style="5" customWidth="1"/>
    <col min="2830" max="2830" width="13.1640625" style="5" customWidth="1"/>
    <col min="2831" max="2831" width="3" style="5" customWidth="1"/>
    <col min="2832" max="2832" width="11" style="5" customWidth="1"/>
    <col min="2833" max="2833" width="1" style="5" customWidth="1"/>
    <col min="2834" max="2834" width="2.1640625" style="5" customWidth="1"/>
    <col min="2835" max="2835" width="2.33203125" style="5" customWidth="1"/>
    <col min="2836" max="2836" width="0.83203125" style="5" customWidth="1"/>
    <col min="2837" max="2837" width="3.1640625" style="5" customWidth="1"/>
    <col min="2838" max="2838" width="3.5" style="5" customWidth="1"/>
    <col min="2839" max="2839" width="3.1640625" style="5" customWidth="1"/>
    <col min="2840" max="2840" width="2.33203125" style="5" customWidth="1"/>
    <col min="2841" max="2841" width="0.83203125" style="5" customWidth="1"/>
    <col min="2842" max="2842" width="2.5" style="5" customWidth="1"/>
    <col min="2843" max="2843" width="6.6640625" style="5" customWidth="1"/>
    <col min="2844" max="2844" width="0.33203125" style="5" customWidth="1"/>
    <col min="2845" max="2845" width="0.1640625" style="5" customWidth="1"/>
    <col min="2846" max="2846" width="2.33203125" style="5" customWidth="1"/>
    <col min="2847" max="2847" width="0.83203125" style="5" customWidth="1"/>
    <col min="2848" max="2848" width="2.6640625" style="5" customWidth="1"/>
    <col min="2849" max="2849" width="1" style="5" customWidth="1"/>
    <col min="2850" max="2850" width="4.33203125" style="5" customWidth="1"/>
    <col min="2851" max="2851" width="1.6640625" style="5" customWidth="1"/>
    <col min="2852" max="2852" width="1.33203125" style="5" customWidth="1"/>
    <col min="2853" max="2853" width="1" style="5" customWidth="1"/>
    <col min="2854" max="2854" width="0.83203125" style="5" customWidth="1"/>
    <col min="2855" max="2855" width="1.5" style="5" customWidth="1"/>
    <col min="2856" max="2856" width="1" style="5" customWidth="1"/>
    <col min="2857" max="2857" width="2.5" style="5" customWidth="1"/>
    <col min="2858" max="2858" width="3.6640625" style="5" customWidth="1"/>
    <col min="2859" max="2861" width="0.1640625" style="5" customWidth="1"/>
    <col min="2862" max="2862" width="0.33203125" style="5" customWidth="1"/>
    <col min="2863" max="2863" width="2.33203125" style="5" customWidth="1"/>
    <col min="2864" max="2864" width="0.1640625" style="5" customWidth="1"/>
    <col min="2865" max="2865" width="0.6640625" style="5" customWidth="1"/>
    <col min="2866" max="2866" width="0.33203125" style="5" customWidth="1"/>
    <col min="2867" max="2867" width="0.5" style="5" customWidth="1"/>
    <col min="2868" max="2868" width="7.1640625" style="5" customWidth="1"/>
    <col min="2869" max="2869" width="1.1640625" style="5" customWidth="1"/>
    <col min="2870" max="2870" width="0.33203125" style="5" customWidth="1"/>
    <col min="2871" max="2871" width="2.33203125" style="5" customWidth="1"/>
    <col min="2872" max="2872" width="0.83203125" style="5" customWidth="1"/>
    <col min="2873" max="2873" width="2.33203125" style="5" customWidth="1"/>
    <col min="2874" max="2874" width="7.33203125" style="5" customWidth="1"/>
    <col min="2875" max="2875" width="2.33203125" style="5" customWidth="1"/>
    <col min="2876" max="2876" width="0.83203125" style="5" customWidth="1"/>
    <col min="2877" max="2877" width="1.1640625" style="5" customWidth="1"/>
    <col min="2878" max="2878" width="8.5" style="5" customWidth="1"/>
    <col min="2879" max="2879" width="2.33203125" style="5" customWidth="1"/>
    <col min="2880" max="2880" width="0.83203125" style="5" customWidth="1"/>
    <col min="2881" max="2881" width="1" style="5" customWidth="1"/>
    <col min="2882" max="2882" width="7.5" style="5" customWidth="1"/>
    <col min="2883" max="2883" width="1.1640625" style="5" customWidth="1"/>
    <col min="2884" max="3072" width="10.83203125" style="5"/>
    <col min="3073" max="3073" width="0.5" style="5" customWidth="1"/>
    <col min="3074" max="3074" width="0.33203125" style="5" customWidth="1"/>
    <col min="3075" max="3075" width="1.5" style="5" customWidth="1"/>
    <col min="3076" max="3076" width="0.33203125" style="5" customWidth="1"/>
    <col min="3077" max="3077" width="0.5" style="5" customWidth="1"/>
    <col min="3078" max="3080" width="2" style="5" customWidth="1"/>
    <col min="3081" max="3081" width="0.1640625" style="5" customWidth="1"/>
    <col min="3082" max="3082" width="2" style="5" customWidth="1"/>
    <col min="3083" max="3085" width="0.1640625" style="5" customWidth="1"/>
    <col min="3086" max="3086" width="13.1640625" style="5" customWidth="1"/>
    <col min="3087" max="3087" width="3" style="5" customWidth="1"/>
    <col min="3088" max="3088" width="11" style="5" customWidth="1"/>
    <col min="3089" max="3089" width="1" style="5" customWidth="1"/>
    <col min="3090" max="3090" width="2.1640625" style="5" customWidth="1"/>
    <col min="3091" max="3091" width="2.33203125" style="5" customWidth="1"/>
    <col min="3092" max="3092" width="0.83203125" style="5" customWidth="1"/>
    <col min="3093" max="3093" width="3.1640625" style="5" customWidth="1"/>
    <col min="3094" max="3094" width="3.5" style="5" customWidth="1"/>
    <col min="3095" max="3095" width="3.1640625" style="5" customWidth="1"/>
    <col min="3096" max="3096" width="2.33203125" style="5" customWidth="1"/>
    <col min="3097" max="3097" width="0.83203125" style="5" customWidth="1"/>
    <col min="3098" max="3098" width="2.5" style="5" customWidth="1"/>
    <col min="3099" max="3099" width="6.6640625" style="5" customWidth="1"/>
    <col min="3100" max="3100" width="0.33203125" style="5" customWidth="1"/>
    <col min="3101" max="3101" width="0.1640625" style="5" customWidth="1"/>
    <col min="3102" max="3102" width="2.33203125" style="5" customWidth="1"/>
    <col min="3103" max="3103" width="0.83203125" style="5" customWidth="1"/>
    <col min="3104" max="3104" width="2.6640625" style="5" customWidth="1"/>
    <col min="3105" max="3105" width="1" style="5" customWidth="1"/>
    <col min="3106" max="3106" width="4.33203125" style="5" customWidth="1"/>
    <col min="3107" max="3107" width="1.6640625" style="5" customWidth="1"/>
    <col min="3108" max="3108" width="1.33203125" style="5" customWidth="1"/>
    <col min="3109" max="3109" width="1" style="5" customWidth="1"/>
    <col min="3110" max="3110" width="0.83203125" style="5" customWidth="1"/>
    <col min="3111" max="3111" width="1.5" style="5" customWidth="1"/>
    <col min="3112" max="3112" width="1" style="5" customWidth="1"/>
    <col min="3113" max="3113" width="2.5" style="5" customWidth="1"/>
    <col min="3114" max="3114" width="3.6640625" style="5" customWidth="1"/>
    <col min="3115" max="3117" width="0.1640625" style="5" customWidth="1"/>
    <col min="3118" max="3118" width="0.33203125" style="5" customWidth="1"/>
    <col min="3119" max="3119" width="2.33203125" style="5" customWidth="1"/>
    <col min="3120" max="3120" width="0.1640625" style="5" customWidth="1"/>
    <col min="3121" max="3121" width="0.6640625" style="5" customWidth="1"/>
    <col min="3122" max="3122" width="0.33203125" style="5" customWidth="1"/>
    <col min="3123" max="3123" width="0.5" style="5" customWidth="1"/>
    <col min="3124" max="3124" width="7.1640625" style="5" customWidth="1"/>
    <col min="3125" max="3125" width="1.1640625" style="5" customWidth="1"/>
    <col min="3126" max="3126" width="0.33203125" style="5" customWidth="1"/>
    <col min="3127" max="3127" width="2.33203125" style="5" customWidth="1"/>
    <col min="3128" max="3128" width="0.83203125" style="5" customWidth="1"/>
    <col min="3129" max="3129" width="2.33203125" style="5" customWidth="1"/>
    <col min="3130" max="3130" width="7.33203125" style="5" customWidth="1"/>
    <col min="3131" max="3131" width="2.33203125" style="5" customWidth="1"/>
    <col min="3132" max="3132" width="0.83203125" style="5" customWidth="1"/>
    <col min="3133" max="3133" width="1.1640625" style="5" customWidth="1"/>
    <col min="3134" max="3134" width="8.5" style="5" customWidth="1"/>
    <col min="3135" max="3135" width="2.33203125" style="5" customWidth="1"/>
    <col min="3136" max="3136" width="0.83203125" style="5" customWidth="1"/>
    <col min="3137" max="3137" width="1" style="5" customWidth="1"/>
    <col min="3138" max="3138" width="7.5" style="5" customWidth="1"/>
    <col min="3139" max="3139" width="1.1640625" style="5" customWidth="1"/>
    <col min="3140" max="3328" width="10.83203125" style="5"/>
    <col min="3329" max="3329" width="0.5" style="5" customWidth="1"/>
    <col min="3330" max="3330" width="0.33203125" style="5" customWidth="1"/>
    <col min="3331" max="3331" width="1.5" style="5" customWidth="1"/>
    <col min="3332" max="3332" width="0.33203125" style="5" customWidth="1"/>
    <col min="3333" max="3333" width="0.5" style="5" customWidth="1"/>
    <col min="3334" max="3336" width="2" style="5" customWidth="1"/>
    <col min="3337" max="3337" width="0.1640625" style="5" customWidth="1"/>
    <col min="3338" max="3338" width="2" style="5" customWidth="1"/>
    <col min="3339" max="3341" width="0.1640625" style="5" customWidth="1"/>
    <col min="3342" max="3342" width="13.1640625" style="5" customWidth="1"/>
    <col min="3343" max="3343" width="3" style="5" customWidth="1"/>
    <col min="3344" max="3344" width="11" style="5" customWidth="1"/>
    <col min="3345" max="3345" width="1" style="5" customWidth="1"/>
    <col min="3346" max="3346" width="2.1640625" style="5" customWidth="1"/>
    <col min="3347" max="3347" width="2.33203125" style="5" customWidth="1"/>
    <col min="3348" max="3348" width="0.83203125" style="5" customWidth="1"/>
    <col min="3349" max="3349" width="3.1640625" style="5" customWidth="1"/>
    <col min="3350" max="3350" width="3.5" style="5" customWidth="1"/>
    <col min="3351" max="3351" width="3.1640625" style="5" customWidth="1"/>
    <col min="3352" max="3352" width="2.33203125" style="5" customWidth="1"/>
    <col min="3353" max="3353" width="0.83203125" style="5" customWidth="1"/>
    <col min="3354" max="3354" width="2.5" style="5" customWidth="1"/>
    <col min="3355" max="3355" width="6.6640625" style="5" customWidth="1"/>
    <col min="3356" max="3356" width="0.33203125" style="5" customWidth="1"/>
    <col min="3357" max="3357" width="0.1640625" style="5" customWidth="1"/>
    <col min="3358" max="3358" width="2.33203125" style="5" customWidth="1"/>
    <col min="3359" max="3359" width="0.83203125" style="5" customWidth="1"/>
    <col min="3360" max="3360" width="2.6640625" style="5" customWidth="1"/>
    <col min="3361" max="3361" width="1" style="5" customWidth="1"/>
    <col min="3362" max="3362" width="4.33203125" style="5" customWidth="1"/>
    <col min="3363" max="3363" width="1.6640625" style="5" customWidth="1"/>
    <col min="3364" max="3364" width="1.33203125" style="5" customWidth="1"/>
    <col min="3365" max="3365" width="1" style="5" customWidth="1"/>
    <col min="3366" max="3366" width="0.83203125" style="5" customWidth="1"/>
    <col min="3367" max="3367" width="1.5" style="5" customWidth="1"/>
    <col min="3368" max="3368" width="1" style="5" customWidth="1"/>
    <col min="3369" max="3369" width="2.5" style="5" customWidth="1"/>
    <col min="3370" max="3370" width="3.6640625" style="5" customWidth="1"/>
    <col min="3371" max="3373" width="0.1640625" style="5" customWidth="1"/>
    <col min="3374" max="3374" width="0.33203125" style="5" customWidth="1"/>
    <col min="3375" max="3375" width="2.33203125" style="5" customWidth="1"/>
    <col min="3376" max="3376" width="0.1640625" style="5" customWidth="1"/>
    <col min="3377" max="3377" width="0.6640625" style="5" customWidth="1"/>
    <col min="3378" max="3378" width="0.33203125" style="5" customWidth="1"/>
    <col min="3379" max="3379" width="0.5" style="5" customWidth="1"/>
    <col min="3380" max="3380" width="7.1640625" style="5" customWidth="1"/>
    <col min="3381" max="3381" width="1.1640625" style="5" customWidth="1"/>
    <col min="3382" max="3382" width="0.33203125" style="5" customWidth="1"/>
    <col min="3383" max="3383" width="2.33203125" style="5" customWidth="1"/>
    <col min="3384" max="3384" width="0.83203125" style="5" customWidth="1"/>
    <col min="3385" max="3385" width="2.33203125" style="5" customWidth="1"/>
    <col min="3386" max="3386" width="7.33203125" style="5" customWidth="1"/>
    <col min="3387" max="3387" width="2.33203125" style="5" customWidth="1"/>
    <col min="3388" max="3388" width="0.83203125" style="5" customWidth="1"/>
    <col min="3389" max="3389" width="1.1640625" style="5" customWidth="1"/>
    <col min="3390" max="3390" width="8.5" style="5" customWidth="1"/>
    <col min="3391" max="3391" width="2.33203125" style="5" customWidth="1"/>
    <col min="3392" max="3392" width="0.83203125" style="5" customWidth="1"/>
    <col min="3393" max="3393" width="1" style="5" customWidth="1"/>
    <col min="3394" max="3394" width="7.5" style="5" customWidth="1"/>
    <col min="3395" max="3395" width="1.1640625" style="5" customWidth="1"/>
    <col min="3396" max="3584" width="10.83203125" style="5"/>
    <col min="3585" max="3585" width="0.5" style="5" customWidth="1"/>
    <col min="3586" max="3586" width="0.33203125" style="5" customWidth="1"/>
    <col min="3587" max="3587" width="1.5" style="5" customWidth="1"/>
    <col min="3588" max="3588" width="0.33203125" style="5" customWidth="1"/>
    <col min="3589" max="3589" width="0.5" style="5" customWidth="1"/>
    <col min="3590" max="3592" width="2" style="5" customWidth="1"/>
    <col min="3593" max="3593" width="0.1640625" style="5" customWidth="1"/>
    <col min="3594" max="3594" width="2" style="5" customWidth="1"/>
    <col min="3595" max="3597" width="0.1640625" style="5" customWidth="1"/>
    <col min="3598" max="3598" width="13.1640625" style="5" customWidth="1"/>
    <col min="3599" max="3599" width="3" style="5" customWidth="1"/>
    <col min="3600" max="3600" width="11" style="5" customWidth="1"/>
    <col min="3601" max="3601" width="1" style="5" customWidth="1"/>
    <col min="3602" max="3602" width="2.1640625" style="5" customWidth="1"/>
    <col min="3603" max="3603" width="2.33203125" style="5" customWidth="1"/>
    <col min="3604" max="3604" width="0.83203125" style="5" customWidth="1"/>
    <col min="3605" max="3605" width="3.1640625" style="5" customWidth="1"/>
    <col min="3606" max="3606" width="3.5" style="5" customWidth="1"/>
    <col min="3607" max="3607" width="3.1640625" style="5" customWidth="1"/>
    <col min="3608" max="3608" width="2.33203125" style="5" customWidth="1"/>
    <col min="3609" max="3609" width="0.83203125" style="5" customWidth="1"/>
    <col min="3610" max="3610" width="2.5" style="5" customWidth="1"/>
    <col min="3611" max="3611" width="6.6640625" style="5" customWidth="1"/>
    <col min="3612" max="3612" width="0.33203125" style="5" customWidth="1"/>
    <col min="3613" max="3613" width="0.1640625" style="5" customWidth="1"/>
    <col min="3614" max="3614" width="2.33203125" style="5" customWidth="1"/>
    <col min="3615" max="3615" width="0.83203125" style="5" customWidth="1"/>
    <col min="3616" max="3616" width="2.6640625" style="5" customWidth="1"/>
    <col min="3617" max="3617" width="1" style="5" customWidth="1"/>
    <col min="3618" max="3618" width="4.33203125" style="5" customWidth="1"/>
    <col min="3619" max="3619" width="1.6640625" style="5" customWidth="1"/>
    <col min="3620" max="3620" width="1.33203125" style="5" customWidth="1"/>
    <col min="3621" max="3621" width="1" style="5" customWidth="1"/>
    <col min="3622" max="3622" width="0.83203125" style="5" customWidth="1"/>
    <col min="3623" max="3623" width="1.5" style="5" customWidth="1"/>
    <col min="3624" max="3624" width="1" style="5" customWidth="1"/>
    <col min="3625" max="3625" width="2.5" style="5" customWidth="1"/>
    <col min="3626" max="3626" width="3.6640625" style="5" customWidth="1"/>
    <col min="3627" max="3629" width="0.1640625" style="5" customWidth="1"/>
    <col min="3630" max="3630" width="0.33203125" style="5" customWidth="1"/>
    <col min="3631" max="3631" width="2.33203125" style="5" customWidth="1"/>
    <col min="3632" max="3632" width="0.1640625" style="5" customWidth="1"/>
    <col min="3633" max="3633" width="0.6640625" style="5" customWidth="1"/>
    <col min="3634" max="3634" width="0.33203125" style="5" customWidth="1"/>
    <col min="3635" max="3635" width="0.5" style="5" customWidth="1"/>
    <col min="3636" max="3636" width="7.1640625" style="5" customWidth="1"/>
    <col min="3637" max="3637" width="1.1640625" style="5" customWidth="1"/>
    <col min="3638" max="3638" width="0.33203125" style="5" customWidth="1"/>
    <col min="3639" max="3639" width="2.33203125" style="5" customWidth="1"/>
    <col min="3640" max="3640" width="0.83203125" style="5" customWidth="1"/>
    <col min="3641" max="3641" width="2.33203125" style="5" customWidth="1"/>
    <col min="3642" max="3642" width="7.33203125" style="5" customWidth="1"/>
    <col min="3643" max="3643" width="2.33203125" style="5" customWidth="1"/>
    <col min="3644" max="3644" width="0.83203125" style="5" customWidth="1"/>
    <col min="3645" max="3645" width="1.1640625" style="5" customWidth="1"/>
    <col min="3646" max="3646" width="8.5" style="5" customWidth="1"/>
    <col min="3647" max="3647" width="2.33203125" style="5" customWidth="1"/>
    <col min="3648" max="3648" width="0.83203125" style="5" customWidth="1"/>
    <col min="3649" max="3649" width="1" style="5" customWidth="1"/>
    <col min="3650" max="3650" width="7.5" style="5" customWidth="1"/>
    <col min="3651" max="3651" width="1.1640625" style="5" customWidth="1"/>
    <col min="3652" max="3840" width="10.83203125" style="5"/>
    <col min="3841" max="3841" width="0.5" style="5" customWidth="1"/>
    <col min="3842" max="3842" width="0.33203125" style="5" customWidth="1"/>
    <col min="3843" max="3843" width="1.5" style="5" customWidth="1"/>
    <col min="3844" max="3844" width="0.33203125" style="5" customWidth="1"/>
    <col min="3845" max="3845" width="0.5" style="5" customWidth="1"/>
    <col min="3846" max="3848" width="2" style="5" customWidth="1"/>
    <col min="3849" max="3849" width="0.1640625" style="5" customWidth="1"/>
    <col min="3850" max="3850" width="2" style="5" customWidth="1"/>
    <col min="3851" max="3853" width="0.1640625" style="5" customWidth="1"/>
    <col min="3854" max="3854" width="13.1640625" style="5" customWidth="1"/>
    <col min="3855" max="3855" width="3" style="5" customWidth="1"/>
    <col min="3856" max="3856" width="11" style="5" customWidth="1"/>
    <col min="3857" max="3857" width="1" style="5" customWidth="1"/>
    <col min="3858" max="3858" width="2.1640625" style="5" customWidth="1"/>
    <col min="3859" max="3859" width="2.33203125" style="5" customWidth="1"/>
    <col min="3860" max="3860" width="0.83203125" style="5" customWidth="1"/>
    <col min="3861" max="3861" width="3.1640625" style="5" customWidth="1"/>
    <col min="3862" max="3862" width="3.5" style="5" customWidth="1"/>
    <col min="3863" max="3863" width="3.1640625" style="5" customWidth="1"/>
    <col min="3864" max="3864" width="2.33203125" style="5" customWidth="1"/>
    <col min="3865" max="3865" width="0.83203125" style="5" customWidth="1"/>
    <col min="3866" max="3866" width="2.5" style="5" customWidth="1"/>
    <col min="3867" max="3867" width="6.6640625" style="5" customWidth="1"/>
    <col min="3868" max="3868" width="0.33203125" style="5" customWidth="1"/>
    <col min="3869" max="3869" width="0.1640625" style="5" customWidth="1"/>
    <col min="3870" max="3870" width="2.33203125" style="5" customWidth="1"/>
    <col min="3871" max="3871" width="0.83203125" style="5" customWidth="1"/>
    <col min="3872" max="3872" width="2.6640625" style="5" customWidth="1"/>
    <col min="3873" max="3873" width="1" style="5" customWidth="1"/>
    <col min="3874" max="3874" width="4.33203125" style="5" customWidth="1"/>
    <col min="3875" max="3875" width="1.6640625" style="5" customWidth="1"/>
    <col min="3876" max="3876" width="1.33203125" style="5" customWidth="1"/>
    <col min="3877" max="3877" width="1" style="5" customWidth="1"/>
    <col min="3878" max="3878" width="0.83203125" style="5" customWidth="1"/>
    <col min="3879" max="3879" width="1.5" style="5" customWidth="1"/>
    <col min="3880" max="3880" width="1" style="5" customWidth="1"/>
    <col min="3881" max="3881" width="2.5" style="5" customWidth="1"/>
    <col min="3882" max="3882" width="3.6640625" style="5" customWidth="1"/>
    <col min="3883" max="3885" width="0.1640625" style="5" customWidth="1"/>
    <col min="3886" max="3886" width="0.33203125" style="5" customWidth="1"/>
    <col min="3887" max="3887" width="2.33203125" style="5" customWidth="1"/>
    <col min="3888" max="3888" width="0.1640625" style="5" customWidth="1"/>
    <col min="3889" max="3889" width="0.6640625" style="5" customWidth="1"/>
    <col min="3890" max="3890" width="0.33203125" style="5" customWidth="1"/>
    <col min="3891" max="3891" width="0.5" style="5" customWidth="1"/>
    <col min="3892" max="3892" width="7.1640625" style="5" customWidth="1"/>
    <col min="3893" max="3893" width="1.1640625" style="5" customWidth="1"/>
    <col min="3894" max="3894" width="0.33203125" style="5" customWidth="1"/>
    <col min="3895" max="3895" width="2.33203125" style="5" customWidth="1"/>
    <col min="3896" max="3896" width="0.83203125" style="5" customWidth="1"/>
    <col min="3897" max="3897" width="2.33203125" style="5" customWidth="1"/>
    <col min="3898" max="3898" width="7.33203125" style="5" customWidth="1"/>
    <col min="3899" max="3899" width="2.33203125" style="5" customWidth="1"/>
    <col min="3900" max="3900" width="0.83203125" style="5" customWidth="1"/>
    <col min="3901" max="3901" width="1.1640625" style="5" customWidth="1"/>
    <col min="3902" max="3902" width="8.5" style="5" customWidth="1"/>
    <col min="3903" max="3903" width="2.33203125" style="5" customWidth="1"/>
    <col min="3904" max="3904" width="0.83203125" style="5" customWidth="1"/>
    <col min="3905" max="3905" width="1" style="5" customWidth="1"/>
    <col min="3906" max="3906" width="7.5" style="5" customWidth="1"/>
    <col min="3907" max="3907" width="1.1640625" style="5" customWidth="1"/>
    <col min="3908" max="4096" width="10.83203125" style="5"/>
    <col min="4097" max="4097" width="0.5" style="5" customWidth="1"/>
    <col min="4098" max="4098" width="0.33203125" style="5" customWidth="1"/>
    <col min="4099" max="4099" width="1.5" style="5" customWidth="1"/>
    <col min="4100" max="4100" width="0.33203125" style="5" customWidth="1"/>
    <col min="4101" max="4101" width="0.5" style="5" customWidth="1"/>
    <col min="4102" max="4104" width="2" style="5" customWidth="1"/>
    <col min="4105" max="4105" width="0.1640625" style="5" customWidth="1"/>
    <col min="4106" max="4106" width="2" style="5" customWidth="1"/>
    <col min="4107" max="4109" width="0.1640625" style="5" customWidth="1"/>
    <col min="4110" max="4110" width="13.1640625" style="5" customWidth="1"/>
    <col min="4111" max="4111" width="3" style="5" customWidth="1"/>
    <col min="4112" max="4112" width="11" style="5" customWidth="1"/>
    <col min="4113" max="4113" width="1" style="5" customWidth="1"/>
    <col min="4114" max="4114" width="2.1640625" style="5" customWidth="1"/>
    <col min="4115" max="4115" width="2.33203125" style="5" customWidth="1"/>
    <col min="4116" max="4116" width="0.83203125" style="5" customWidth="1"/>
    <col min="4117" max="4117" width="3.1640625" style="5" customWidth="1"/>
    <col min="4118" max="4118" width="3.5" style="5" customWidth="1"/>
    <col min="4119" max="4119" width="3.1640625" style="5" customWidth="1"/>
    <col min="4120" max="4120" width="2.33203125" style="5" customWidth="1"/>
    <col min="4121" max="4121" width="0.83203125" style="5" customWidth="1"/>
    <col min="4122" max="4122" width="2.5" style="5" customWidth="1"/>
    <col min="4123" max="4123" width="6.6640625" style="5" customWidth="1"/>
    <col min="4124" max="4124" width="0.33203125" style="5" customWidth="1"/>
    <col min="4125" max="4125" width="0.1640625" style="5" customWidth="1"/>
    <col min="4126" max="4126" width="2.33203125" style="5" customWidth="1"/>
    <col min="4127" max="4127" width="0.83203125" style="5" customWidth="1"/>
    <col min="4128" max="4128" width="2.6640625" style="5" customWidth="1"/>
    <col min="4129" max="4129" width="1" style="5" customWidth="1"/>
    <col min="4130" max="4130" width="4.33203125" style="5" customWidth="1"/>
    <col min="4131" max="4131" width="1.6640625" style="5" customWidth="1"/>
    <col min="4132" max="4132" width="1.33203125" style="5" customWidth="1"/>
    <col min="4133" max="4133" width="1" style="5" customWidth="1"/>
    <col min="4134" max="4134" width="0.83203125" style="5" customWidth="1"/>
    <col min="4135" max="4135" width="1.5" style="5" customWidth="1"/>
    <col min="4136" max="4136" width="1" style="5" customWidth="1"/>
    <col min="4137" max="4137" width="2.5" style="5" customWidth="1"/>
    <col min="4138" max="4138" width="3.6640625" style="5" customWidth="1"/>
    <col min="4139" max="4141" width="0.1640625" style="5" customWidth="1"/>
    <col min="4142" max="4142" width="0.33203125" style="5" customWidth="1"/>
    <col min="4143" max="4143" width="2.33203125" style="5" customWidth="1"/>
    <col min="4144" max="4144" width="0.1640625" style="5" customWidth="1"/>
    <col min="4145" max="4145" width="0.6640625" style="5" customWidth="1"/>
    <col min="4146" max="4146" width="0.33203125" style="5" customWidth="1"/>
    <col min="4147" max="4147" width="0.5" style="5" customWidth="1"/>
    <col min="4148" max="4148" width="7.1640625" style="5" customWidth="1"/>
    <col min="4149" max="4149" width="1.1640625" style="5" customWidth="1"/>
    <col min="4150" max="4150" width="0.33203125" style="5" customWidth="1"/>
    <col min="4151" max="4151" width="2.33203125" style="5" customWidth="1"/>
    <col min="4152" max="4152" width="0.83203125" style="5" customWidth="1"/>
    <col min="4153" max="4153" width="2.33203125" style="5" customWidth="1"/>
    <col min="4154" max="4154" width="7.33203125" style="5" customWidth="1"/>
    <col min="4155" max="4155" width="2.33203125" style="5" customWidth="1"/>
    <col min="4156" max="4156" width="0.83203125" style="5" customWidth="1"/>
    <col min="4157" max="4157" width="1.1640625" style="5" customWidth="1"/>
    <col min="4158" max="4158" width="8.5" style="5" customWidth="1"/>
    <col min="4159" max="4159" width="2.33203125" style="5" customWidth="1"/>
    <col min="4160" max="4160" width="0.83203125" style="5" customWidth="1"/>
    <col min="4161" max="4161" width="1" style="5" customWidth="1"/>
    <col min="4162" max="4162" width="7.5" style="5" customWidth="1"/>
    <col min="4163" max="4163" width="1.1640625" style="5" customWidth="1"/>
    <col min="4164" max="4352" width="10.83203125" style="5"/>
    <col min="4353" max="4353" width="0.5" style="5" customWidth="1"/>
    <col min="4354" max="4354" width="0.33203125" style="5" customWidth="1"/>
    <col min="4355" max="4355" width="1.5" style="5" customWidth="1"/>
    <col min="4356" max="4356" width="0.33203125" style="5" customWidth="1"/>
    <col min="4357" max="4357" width="0.5" style="5" customWidth="1"/>
    <col min="4358" max="4360" width="2" style="5" customWidth="1"/>
    <col min="4361" max="4361" width="0.1640625" style="5" customWidth="1"/>
    <col min="4362" max="4362" width="2" style="5" customWidth="1"/>
    <col min="4363" max="4365" width="0.1640625" style="5" customWidth="1"/>
    <col min="4366" max="4366" width="13.1640625" style="5" customWidth="1"/>
    <col min="4367" max="4367" width="3" style="5" customWidth="1"/>
    <col min="4368" max="4368" width="11" style="5" customWidth="1"/>
    <col min="4369" max="4369" width="1" style="5" customWidth="1"/>
    <col min="4370" max="4370" width="2.1640625" style="5" customWidth="1"/>
    <col min="4371" max="4371" width="2.33203125" style="5" customWidth="1"/>
    <col min="4372" max="4372" width="0.83203125" style="5" customWidth="1"/>
    <col min="4373" max="4373" width="3.1640625" style="5" customWidth="1"/>
    <col min="4374" max="4374" width="3.5" style="5" customWidth="1"/>
    <col min="4375" max="4375" width="3.1640625" style="5" customWidth="1"/>
    <col min="4376" max="4376" width="2.33203125" style="5" customWidth="1"/>
    <col min="4377" max="4377" width="0.83203125" style="5" customWidth="1"/>
    <col min="4378" max="4378" width="2.5" style="5" customWidth="1"/>
    <col min="4379" max="4379" width="6.6640625" style="5" customWidth="1"/>
    <col min="4380" max="4380" width="0.33203125" style="5" customWidth="1"/>
    <col min="4381" max="4381" width="0.1640625" style="5" customWidth="1"/>
    <col min="4382" max="4382" width="2.33203125" style="5" customWidth="1"/>
    <col min="4383" max="4383" width="0.83203125" style="5" customWidth="1"/>
    <col min="4384" max="4384" width="2.6640625" style="5" customWidth="1"/>
    <col min="4385" max="4385" width="1" style="5" customWidth="1"/>
    <col min="4386" max="4386" width="4.33203125" style="5" customWidth="1"/>
    <col min="4387" max="4387" width="1.6640625" style="5" customWidth="1"/>
    <col min="4388" max="4388" width="1.33203125" style="5" customWidth="1"/>
    <col min="4389" max="4389" width="1" style="5" customWidth="1"/>
    <col min="4390" max="4390" width="0.83203125" style="5" customWidth="1"/>
    <col min="4391" max="4391" width="1.5" style="5" customWidth="1"/>
    <col min="4392" max="4392" width="1" style="5" customWidth="1"/>
    <col min="4393" max="4393" width="2.5" style="5" customWidth="1"/>
    <col min="4394" max="4394" width="3.6640625" style="5" customWidth="1"/>
    <col min="4395" max="4397" width="0.1640625" style="5" customWidth="1"/>
    <col min="4398" max="4398" width="0.33203125" style="5" customWidth="1"/>
    <col min="4399" max="4399" width="2.33203125" style="5" customWidth="1"/>
    <col min="4400" max="4400" width="0.1640625" style="5" customWidth="1"/>
    <col min="4401" max="4401" width="0.6640625" style="5" customWidth="1"/>
    <col min="4402" max="4402" width="0.33203125" style="5" customWidth="1"/>
    <col min="4403" max="4403" width="0.5" style="5" customWidth="1"/>
    <col min="4404" max="4404" width="7.1640625" style="5" customWidth="1"/>
    <col min="4405" max="4405" width="1.1640625" style="5" customWidth="1"/>
    <col min="4406" max="4406" width="0.33203125" style="5" customWidth="1"/>
    <col min="4407" max="4407" width="2.33203125" style="5" customWidth="1"/>
    <col min="4408" max="4408" width="0.83203125" style="5" customWidth="1"/>
    <col min="4409" max="4409" width="2.33203125" style="5" customWidth="1"/>
    <col min="4410" max="4410" width="7.33203125" style="5" customWidth="1"/>
    <col min="4411" max="4411" width="2.33203125" style="5" customWidth="1"/>
    <col min="4412" max="4412" width="0.83203125" style="5" customWidth="1"/>
    <col min="4413" max="4413" width="1.1640625" style="5" customWidth="1"/>
    <col min="4414" max="4414" width="8.5" style="5" customWidth="1"/>
    <col min="4415" max="4415" width="2.33203125" style="5" customWidth="1"/>
    <col min="4416" max="4416" width="0.83203125" style="5" customWidth="1"/>
    <col min="4417" max="4417" width="1" style="5" customWidth="1"/>
    <col min="4418" max="4418" width="7.5" style="5" customWidth="1"/>
    <col min="4419" max="4419" width="1.1640625" style="5" customWidth="1"/>
    <col min="4420" max="4608" width="10.83203125" style="5"/>
    <col min="4609" max="4609" width="0.5" style="5" customWidth="1"/>
    <col min="4610" max="4610" width="0.33203125" style="5" customWidth="1"/>
    <col min="4611" max="4611" width="1.5" style="5" customWidth="1"/>
    <col min="4612" max="4612" width="0.33203125" style="5" customWidth="1"/>
    <col min="4613" max="4613" width="0.5" style="5" customWidth="1"/>
    <col min="4614" max="4616" width="2" style="5" customWidth="1"/>
    <col min="4617" max="4617" width="0.1640625" style="5" customWidth="1"/>
    <col min="4618" max="4618" width="2" style="5" customWidth="1"/>
    <col min="4619" max="4621" width="0.1640625" style="5" customWidth="1"/>
    <col min="4622" max="4622" width="13.1640625" style="5" customWidth="1"/>
    <col min="4623" max="4623" width="3" style="5" customWidth="1"/>
    <col min="4624" max="4624" width="11" style="5" customWidth="1"/>
    <col min="4625" max="4625" width="1" style="5" customWidth="1"/>
    <col min="4626" max="4626" width="2.1640625" style="5" customWidth="1"/>
    <col min="4627" max="4627" width="2.33203125" style="5" customWidth="1"/>
    <col min="4628" max="4628" width="0.83203125" style="5" customWidth="1"/>
    <col min="4629" max="4629" width="3.1640625" style="5" customWidth="1"/>
    <col min="4630" max="4630" width="3.5" style="5" customWidth="1"/>
    <col min="4631" max="4631" width="3.1640625" style="5" customWidth="1"/>
    <col min="4632" max="4632" width="2.33203125" style="5" customWidth="1"/>
    <col min="4633" max="4633" width="0.83203125" style="5" customWidth="1"/>
    <col min="4634" max="4634" width="2.5" style="5" customWidth="1"/>
    <col min="4635" max="4635" width="6.6640625" style="5" customWidth="1"/>
    <col min="4636" max="4636" width="0.33203125" style="5" customWidth="1"/>
    <col min="4637" max="4637" width="0.1640625" style="5" customWidth="1"/>
    <col min="4638" max="4638" width="2.33203125" style="5" customWidth="1"/>
    <col min="4639" max="4639" width="0.83203125" style="5" customWidth="1"/>
    <col min="4640" max="4640" width="2.6640625" style="5" customWidth="1"/>
    <col min="4641" max="4641" width="1" style="5" customWidth="1"/>
    <col min="4642" max="4642" width="4.33203125" style="5" customWidth="1"/>
    <col min="4643" max="4643" width="1.6640625" style="5" customWidth="1"/>
    <col min="4644" max="4644" width="1.33203125" style="5" customWidth="1"/>
    <col min="4645" max="4645" width="1" style="5" customWidth="1"/>
    <col min="4646" max="4646" width="0.83203125" style="5" customWidth="1"/>
    <col min="4647" max="4647" width="1.5" style="5" customWidth="1"/>
    <col min="4648" max="4648" width="1" style="5" customWidth="1"/>
    <col min="4649" max="4649" width="2.5" style="5" customWidth="1"/>
    <col min="4650" max="4650" width="3.6640625" style="5" customWidth="1"/>
    <col min="4651" max="4653" width="0.1640625" style="5" customWidth="1"/>
    <col min="4654" max="4654" width="0.33203125" style="5" customWidth="1"/>
    <col min="4655" max="4655" width="2.33203125" style="5" customWidth="1"/>
    <col min="4656" max="4656" width="0.1640625" style="5" customWidth="1"/>
    <col min="4657" max="4657" width="0.6640625" style="5" customWidth="1"/>
    <col min="4658" max="4658" width="0.33203125" style="5" customWidth="1"/>
    <col min="4659" max="4659" width="0.5" style="5" customWidth="1"/>
    <col min="4660" max="4660" width="7.1640625" style="5" customWidth="1"/>
    <col min="4661" max="4661" width="1.1640625" style="5" customWidth="1"/>
    <col min="4662" max="4662" width="0.33203125" style="5" customWidth="1"/>
    <col min="4663" max="4663" width="2.33203125" style="5" customWidth="1"/>
    <col min="4664" max="4664" width="0.83203125" style="5" customWidth="1"/>
    <col min="4665" max="4665" width="2.33203125" style="5" customWidth="1"/>
    <col min="4666" max="4666" width="7.33203125" style="5" customWidth="1"/>
    <col min="4667" max="4667" width="2.33203125" style="5" customWidth="1"/>
    <col min="4668" max="4668" width="0.83203125" style="5" customWidth="1"/>
    <col min="4669" max="4669" width="1.1640625" style="5" customWidth="1"/>
    <col min="4670" max="4670" width="8.5" style="5" customWidth="1"/>
    <col min="4671" max="4671" width="2.33203125" style="5" customWidth="1"/>
    <col min="4672" max="4672" width="0.83203125" style="5" customWidth="1"/>
    <col min="4673" max="4673" width="1" style="5" customWidth="1"/>
    <col min="4674" max="4674" width="7.5" style="5" customWidth="1"/>
    <col min="4675" max="4675" width="1.1640625" style="5" customWidth="1"/>
    <col min="4676" max="4864" width="10.83203125" style="5"/>
    <col min="4865" max="4865" width="0.5" style="5" customWidth="1"/>
    <col min="4866" max="4866" width="0.33203125" style="5" customWidth="1"/>
    <col min="4867" max="4867" width="1.5" style="5" customWidth="1"/>
    <col min="4868" max="4868" width="0.33203125" style="5" customWidth="1"/>
    <col min="4869" max="4869" width="0.5" style="5" customWidth="1"/>
    <col min="4870" max="4872" width="2" style="5" customWidth="1"/>
    <col min="4873" max="4873" width="0.1640625" style="5" customWidth="1"/>
    <col min="4874" max="4874" width="2" style="5" customWidth="1"/>
    <col min="4875" max="4877" width="0.1640625" style="5" customWidth="1"/>
    <col min="4878" max="4878" width="13.1640625" style="5" customWidth="1"/>
    <col min="4879" max="4879" width="3" style="5" customWidth="1"/>
    <col min="4880" max="4880" width="11" style="5" customWidth="1"/>
    <col min="4881" max="4881" width="1" style="5" customWidth="1"/>
    <col min="4882" max="4882" width="2.1640625" style="5" customWidth="1"/>
    <col min="4883" max="4883" width="2.33203125" style="5" customWidth="1"/>
    <col min="4884" max="4884" width="0.83203125" style="5" customWidth="1"/>
    <col min="4885" max="4885" width="3.1640625" style="5" customWidth="1"/>
    <col min="4886" max="4886" width="3.5" style="5" customWidth="1"/>
    <col min="4887" max="4887" width="3.1640625" style="5" customWidth="1"/>
    <col min="4888" max="4888" width="2.33203125" style="5" customWidth="1"/>
    <col min="4889" max="4889" width="0.83203125" style="5" customWidth="1"/>
    <col min="4890" max="4890" width="2.5" style="5" customWidth="1"/>
    <col min="4891" max="4891" width="6.6640625" style="5" customWidth="1"/>
    <col min="4892" max="4892" width="0.33203125" style="5" customWidth="1"/>
    <col min="4893" max="4893" width="0.1640625" style="5" customWidth="1"/>
    <col min="4894" max="4894" width="2.33203125" style="5" customWidth="1"/>
    <col min="4895" max="4895" width="0.83203125" style="5" customWidth="1"/>
    <col min="4896" max="4896" width="2.6640625" style="5" customWidth="1"/>
    <col min="4897" max="4897" width="1" style="5" customWidth="1"/>
    <col min="4898" max="4898" width="4.33203125" style="5" customWidth="1"/>
    <col min="4899" max="4899" width="1.6640625" style="5" customWidth="1"/>
    <col min="4900" max="4900" width="1.33203125" style="5" customWidth="1"/>
    <col min="4901" max="4901" width="1" style="5" customWidth="1"/>
    <col min="4902" max="4902" width="0.83203125" style="5" customWidth="1"/>
    <col min="4903" max="4903" width="1.5" style="5" customWidth="1"/>
    <col min="4904" max="4904" width="1" style="5" customWidth="1"/>
    <col min="4905" max="4905" width="2.5" style="5" customWidth="1"/>
    <col min="4906" max="4906" width="3.6640625" style="5" customWidth="1"/>
    <col min="4907" max="4909" width="0.1640625" style="5" customWidth="1"/>
    <col min="4910" max="4910" width="0.33203125" style="5" customWidth="1"/>
    <col min="4911" max="4911" width="2.33203125" style="5" customWidth="1"/>
    <col min="4912" max="4912" width="0.1640625" style="5" customWidth="1"/>
    <col min="4913" max="4913" width="0.6640625" style="5" customWidth="1"/>
    <col min="4914" max="4914" width="0.33203125" style="5" customWidth="1"/>
    <col min="4915" max="4915" width="0.5" style="5" customWidth="1"/>
    <col min="4916" max="4916" width="7.1640625" style="5" customWidth="1"/>
    <col min="4917" max="4917" width="1.1640625" style="5" customWidth="1"/>
    <col min="4918" max="4918" width="0.33203125" style="5" customWidth="1"/>
    <col min="4919" max="4919" width="2.33203125" style="5" customWidth="1"/>
    <col min="4920" max="4920" width="0.83203125" style="5" customWidth="1"/>
    <col min="4921" max="4921" width="2.33203125" style="5" customWidth="1"/>
    <col min="4922" max="4922" width="7.33203125" style="5" customWidth="1"/>
    <col min="4923" max="4923" width="2.33203125" style="5" customWidth="1"/>
    <col min="4924" max="4924" width="0.83203125" style="5" customWidth="1"/>
    <col min="4925" max="4925" width="1.1640625" style="5" customWidth="1"/>
    <col min="4926" max="4926" width="8.5" style="5" customWidth="1"/>
    <col min="4927" max="4927" width="2.33203125" style="5" customWidth="1"/>
    <col min="4928" max="4928" width="0.83203125" style="5" customWidth="1"/>
    <col min="4929" max="4929" width="1" style="5" customWidth="1"/>
    <col min="4930" max="4930" width="7.5" style="5" customWidth="1"/>
    <col min="4931" max="4931" width="1.1640625" style="5" customWidth="1"/>
    <col min="4932" max="5120" width="10.83203125" style="5"/>
    <col min="5121" max="5121" width="0.5" style="5" customWidth="1"/>
    <col min="5122" max="5122" width="0.33203125" style="5" customWidth="1"/>
    <col min="5123" max="5123" width="1.5" style="5" customWidth="1"/>
    <col min="5124" max="5124" width="0.33203125" style="5" customWidth="1"/>
    <col min="5125" max="5125" width="0.5" style="5" customWidth="1"/>
    <col min="5126" max="5128" width="2" style="5" customWidth="1"/>
    <col min="5129" max="5129" width="0.1640625" style="5" customWidth="1"/>
    <col min="5130" max="5130" width="2" style="5" customWidth="1"/>
    <col min="5131" max="5133" width="0.1640625" style="5" customWidth="1"/>
    <col min="5134" max="5134" width="13.1640625" style="5" customWidth="1"/>
    <col min="5135" max="5135" width="3" style="5" customWidth="1"/>
    <col min="5136" max="5136" width="11" style="5" customWidth="1"/>
    <col min="5137" max="5137" width="1" style="5" customWidth="1"/>
    <col min="5138" max="5138" width="2.1640625" style="5" customWidth="1"/>
    <col min="5139" max="5139" width="2.33203125" style="5" customWidth="1"/>
    <col min="5140" max="5140" width="0.83203125" style="5" customWidth="1"/>
    <col min="5141" max="5141" width="3.1640625" style="5" customWidth="1"/>
    <col min="5142" max="5142" width="3.5" style="5" customWidth="1"/>
    <col min="5143" max="5143" width="3.1640625" style="5" customWidth="1"/>
    <col min="5144" max="5144" width="2.33203125" style="5" customWidth="1"/>
    <col min="5145" max="5145" width="0.83203125" style="5" customWidth="1"/>
    <col min="5146" max="5146" width="2.5" style="5" customWidth="1"/>
    <col min="5147" max="5147" width="6.6640625" style="5" customWidth="1"/>
    <col min="5148" max="5148" width="0.33203125" style="5" customWidth="1"/>
    <col min="5149" max="5149" width="0.1640625" style="5" customWidth="1"/>
    <col min="5150" max="5150" width="2.33203125" style="5" customWidth="1"/>
    <col min="5151" max="5151" width="0.83203125" style="5" customWidth="1"/>
    <col min="5152" max="5152" width="2.6640625" style="5" customWidth="1"/>
    <col min="5153" max="5153" width="1" style="5" customWidth="1"/>
    <col min="5154" max="5154" width="4.33203125" style="5" customWidth="1"/>
    <col min="5155" max="5155" width="1.6640625" style="5" customWidth="1"/>
    <col min="5156" max="5156" width="1.33203125" style="5" customWidth="1"/>
    <col min="5157" max="5157" width="1" style="5" customWidth="1"/>
    <col min="5158" max="5158" width="0.83203125" style="5" customWidth="1"/>
    <col min="5159" max="5159" width="1.5" style="5" customWidth="1"/>
    <col min="5160" max="5160" width="1" style="5" customWidth="1"/>
    <col min="5161" max="5161" width="2.5" style="5" customWidth="1"/>
    <col min="5162" max="5162" width="3.6640625" style="5" customWidth="1"/>
    <col min="5163" max="5165" width="0.1640625" style="5" customWidth="1"/>
    <col min="5166" max="5166" width="0.33203125" style="5" customWidth="1"/>
    <col min="5167" max="5167" width="2.33203125" style="5" customWidth="1"/>
    <col min="5168" max="5168" width="0.1640625" style="5" customWidth="1"/>
    <col min="5169" max="5169" width="0.6640625" style="5" customWidth="1"/>
    <col min="5170" max="5170" width="0.33203125" style="5" customWidth="1"/>
    <col min="5171" max="5171" width="0.5" style="5" customWidth="1"/>
    <col min="5172" max="5172" width="7.1640625" style="5" customWidth="1"/>
    <col min="5173" max="5173" width="1.1640625" style="5" customWidth="1"/>
    <col min="5174" max="5174" width="0.33203125" style="5" customWidth="1"/>
    <col min="5175" max="5175" width="2.33203125" style="5" customWidth="1"/>
    <col min="5176" max="5176" width="0.83203125" style="5" customWidth="1"/>
    <col min="5177" max="5177" width="2.33203125" style="5" customWidth="1"/>
    <col min="5178" max="5178" width="7.33203125" style="5" customWidth="1"/>
    <col min="5179" max="5179" width="2.33203125" style="5" customWidth="1"/>
    <col min="5180" max="5180" width="0.83203125" style="5" customWidth="1"/>
    <col min="5181" max="5181" width="1.1640625" style="5" customWidth="1"/>
    <col min="5182" max="5182" width="8.5" style="5" customWidth="1"/>
    <col min="5183" max="5183" width="2.33203125" style="5" customWidth="1"/>
    <col min="5184" max="5184" width="0.83203125" style="5" customWidth="1"/>
    <col min="5185" max="5185" width="1" style="5" customWidth="1"/>
    <col min="5186" max="5186" width="7.5" style="5" customWidth="1"/>
    <col min="5187" max="5187" width="1.1640625" style="5" customWidth="1"/>
    <col min="5188" max="5376" width="10.83203125" style="5"/>
    <col min="5377" max="5377" width="0.5" style="5" customWidth="1"/>
    <col min="5378" max="5378" width="0.33203125" style="5" customWidth="1"/>
    <col min="5379" max="5379" width="1.5" style="5" customWidth="1"/>
    <col min="5380" max="5380" width="0.33203125" style="5" customWidth="1"/>
    <col min="5381" max="5381" width="0.5" style="5" customWidth="1"/>
    <col min="5382" max="5384" width="2" style="5" customWidth="1"/>
    <col min="5385" max="5385" width="0.1640625" style="5" customWidth="1"/>
    <col min="5386" max="5386" width="2" style="5" customWidth="1"/>
    <col min="5387" max="5389" width="0.1640625" style="5" customWidth="1"/>
    <col min="5390" max="5390" width="13.1640625" style="5" customWidth="1"/>
    <col min="5391" max="5391" width="3" style="5" customWidth="1"/>
    <col min="5392" max="5392" width="11" style="5" customWidth="1"/>
    <col min="5393" max="5393" width="1" style="5" customWidth="1"/>
    <col min="5394" max="5394" width="2.1640625" style="5" customWidth="1"/>
    <col min="5395" max="5395" width="2.33203125" style="5" customWidth="1"/>
    <col min="5396" max="5396" width="0.83203125" style="5" customWidth="1"/>
    <col min="5397" max="5397" width="3.1640625" style="5" customWidth="1"/>
    <col min="5398" max="5398" width="3.5" style="5" customWidth="1"/>
    <col min="5399" max="5399" width="3.1640625" style="5" customWidth="1"/>
    <col min="5400" max="5400" width="2.33203125" style="5" customWidth="1"/>
    <col min="5401" max="5401" width="0.83203125" style="5" customWidth="1"/>
    <col min="5402" max="5402" width="2.5" style="5" customWidth="1"/>
    <col min="5403" max="5403" width="6.6640625" style="5" customWidth="1"/>
    <col min="5404" max="5404" width="0.33203125" style="5" customWidth="1"/>
    <col min="5405" max="5405" width="0.1640625" style="5" customWidth="1"/>
    <col min="5406" max="5406" width="2.33203125" style="5" customWidth="1"/>
    <col min="5407" max="5407" width="0.83203125" style="5" customWidth="1"/>
    <col min="5408" max="5408" width="2.6640625" style="5" customWidth="1"/>
    <col min="5409" max="5409" width="1" style="5" customWidth="1"/>
    <col min="5410" max="5410" width="4.33203125" style="5" customWidth="1"/>
    <col min="5411" max="5411" width="1.6640625" style="5" customWidth="1"/>
    <col min="5412" max="5412" width="1.33203125" style="5" customWidth="1"/>
    <col min="5413" max="5413" width="1" style="5" customWidth="1"/>
    <col min="5414" max="5414" width="0.83203125" style="5" customWidth="1"/>
    <col min="5415" max="5415" width="1.5" style="5" customWidth="1"/>
    <col min="5416" max="5416" width="1" style="5" customWidth="1"/>
    <col min="5417" max="5417" width="2.5" style="5" customWidth="1"/>
    <col min="5418" max="5418" width="3.6640625" style="5" customWidth="1"/>
    <col min="5419" max="5421" width="0.1640625" style="5" customWidth="1"/>
    <col min="5422" max="5422" width="0.33203125" style="5" customWidth="1"/>
    <col min="5423" max="5423" width="2.33203125" style="5" customWidth="1"/>
    <col min="5424" max="5424" width="0.1640625" style="5" customWidth="1"/>
    <col min="5425" max="5425" width="0.6640625" style="5" customWidth="1"/>
    <col min="5426" max="5426" width="0.33203125" style="5" customWidth="1"/>
    <col min="5427" max="5427" width="0.5" style="5" customWidth="1"/>
    <col min="5428" max="5428" width="7.1640625" style="5" customWidth="1"/>
    <col min="5429" max="5429" width="1.1640625" style="5" customWidth="1"/>
    <col min="5430" max="5430" width="0.33203125" style="5" customWidth="1"/>
    <col min="5431" max="5431" width="2.33203125" style="5" customWidth="1"/>
    <col min="5432" max="5432" width="0.83203125" style="5" customWidth="1"/>
    <col min="5433" max="5433" width="2.33203125" style="5" customWidth="1"/>
    <col min="5434" max="5434" width="7.33203125" style="5" customWidth="1"/>
    <col min="5435" max="5435" width="2.33203125" style="5" customWidth="1"/>
    <col min="5436" max="5436" width="0.83203125" style="5" customWidth="1"/>
    <col min="5437" max="5437" width="1.1640625" style="5" customWidth="1"/>
    <col min="5438" max="5438" width="8.5" style="5" customWidth="1"/>
    <col min="5439" max="5439" width="2.33203125" style="5" customWidth="1"/>
    <col min="5440" max="5440" width="0.83203125" style="5" customWidth="1"/>
    <col min="5441" max="5441" width="1" style="5" customWidth="1"/>
    <col min="5442" max="5442" width="7.5" style="5" customWidth="1"/>
    <col min="5443" max="5443" width="1.1640625" style="5" customWidth="1"/>
    <col min="5444" max="5632" width="10.83203125" style="5"/>
    <col min="5633" max="5633" width="0.5" style="5" customWidth="1"/>
    <col min="5634" max="5634" width="0.33203125" style="5" customWidth="1"/>
    <col min="5635" max="5635" width="1.5" style="5" customWidth="1"/>
    <col min="5636" max="5636" width="0.33203125" style="5" customWidth="1"/>
    <col min="5637" max="5637" width="0.5" style="5" customWidth="1"/>
    <col min="5638" max="5640" width="2" style="5" customWidth="1"/>
    <col min="5641" max="5641" width="0.1640625" style="5" customWidth="1"/>
    <col min="5642" max="5642" width="2" style="5" customWidth="1"/>
    <col min="5643" max="5645" width="0.1640625" style="5" customWidth="1"/>
    <col min="5646" max="5646" width="13.1640625" style="5" customWidth="1"/>
    <col min="5647" max="5647" width="3" style="5" customWidth="1"/>
    <col min="5648" max="5648" width="11" style="5" customWidth="1"/>
    <col min="5649" max="5649" width="1" style="5" customWidth="1"/>
    <col min="5650" max="5650" width="2.1640625" style="5" customWidth="1"/>
    <col min="5651" max="5651" width="2.33203125" style="5" customWidth="1"/>
    <col min="5652" max="5652" width="0.83203125" style="5" customWidth="1"/>
    <col min="5653" max="5653" width="3.1640625" style="5" customWidth="1"/>
    <col min="5654" max="5654" width="3.5" style="5" customWidth="1"/>
    <col min="5655" max="5655" width="3.1640625" style="5" customWidth="1"/>
    <col min="5656" max="5656" width="2.33203125" style="5" customWidth="1"/>
    <col min="5657" max="5657" width="0.83203125" style="5" customWidth="1"/>
    <col min="5658" max="5658" width="2.5" style="5" customWidth="1"/>
    <col min="5659" max="5659" width="6.6640625" style="5" customWidth="1"/>
    <col min="5660" max="5660" width="0.33203125" style="5" customWidth="1"/>
    <col min="5661" max="5661" width="0.1640625" style="5" customWidth="1"/>
    <col min="5662" max="5662" width="2.33203125" style="5" customWidth="1"/>
    <col min="5663" max="5663" width="0.83203125" style="5" customWidth="1"/>
    <col min="5664" max="5664" width="2.6640625" style="5" customWidth="1"/>
    <col min="5665" max="5665" width="1" style="5" customWidth="1"/>
    <col min="5666" max="5666" width="4.33203125" style="5" customWidth="1"/>
    <col min="5667" max="5667" width="1.6640625" style="5" customWidth="1"/>
    <col min="5668" max="5668" width="1.33203125" style="5" customWidth="1"/>
    <col min="5669" max="5669" width="1" style="5" customWidth="1"/>
    <col min="5670" max="5670" width="0.83203125" style="5" customWidth="1"/>
    <col min="5671" max="5671" width="1.5" style="5" customWidth="1"/>
    <col min="5672" max="5672" width="1" style="5" customWidth="1"/>
    <col min="5673" max="5673" width="2.5" style="5" customWidth="1"/>
    <col min="5674" max="5674" width="3.6640625" style="5" customWidth="1"/>
    <col min="5675" max="5677" width="0.1640625" style="5" customWidth="1"/>
    <col min="5678" max="5678" width="0.33203125" style="5" customWidth="1"/>
    <col min="5679" max="5679" width="2.33203125" style="5" customWidth="1"/>
    <col min="5680" max="5680" width="0.1640625" style="5" customWidth="1"/>
    <col min="5681" max="5681" width="0.6640625" style="5" customWidth="1"/>
    <col min="5682" max="5682" width="0.33203125" style="5" customWidth="1"/>
    <col min="5683" max="5683" width="0.5" style="5" customWidth="1"/>
    <col min="5684" max="5684" width="7.1640625" style="5" customWidth="1"/>
    <col min="5685" max="5685" width="1.1640625" style="5" customWidth="1"/>
    <col min="5686" max="5686" width="0.33203125" style="5" customWidth="1"/>
    <col min="5687" max="5687" width="2.33203125" style="5" customWidth="1"/>
    <col min="5688" max="5688" width="0.83203125" style="5" customWidth="1"/>
    <col min="5689" max="5689" width="2.33203125" style="5" customWidth="1"/>
    <col min="5690" max="5690" width="7.33203125" style="5" customWidth="1"/>
    <col min="5691" max="5691" width="2.33203125" style="5" customWidth="1"/>
    <col min="5692" max="5692" width="0.83203125" style="5" customWidth="1"/>
    <col min="5693" max="5693" width="1.1640625" style="5" customWidth="1"/>
    <col min="5694" max="5694" width="8.5" style="5" customWidth="1"/>
    <col min="5695" max="5695" width="2.33203125" style="5" customWidth="1"/>
    <col min="5696" max="5696" width="0.83203125" style="5" customWidth="1"/>
    <col min="5697" max="5697" width="1" style="5" customWidth="1"/>
    <col min="5698" max="5698" width="7.5" style="5" customWidth="1"/>
    <col min="5699" max="5699" width="1.1640625" style="5" customWidth="1"/>
    <col min="5700" max="5888" width="10.83203125" style="5"/>
    <col min="5889" max="5889" width="0.5" style="5" customWidth="1"/>
    <col min="5890" max="5890" width="0.33203125" style="5" customWidth="1"/>
    <col min="5891" max="5891" width="1.5" style="5" customWidth="1"/>
    <col min="5892" max="5892" width="0.33203125" style="5" customWidth="1"/>
    <col min="5893" max="5893" width="0.5" style="5" customWidth="1"/>
    <col min="5894" max="5896" width="2" style="5" customWidth="1"/>
    <col min="5897" max="5897" width="0.1640625" style="5" customWidth="1"/>
    <col min="5898" max="5898" width="2" style="5" customWidth="1"/>
    <col min="5899" max="5901" width="0.1640625" style="5" customWidth="1"/>
    <col min="5902" max="5902" width="13.1640625" style="5" customWidth="1"/>
    <col min="5903" max="5903" width="3" style="5" customWidth="1"/>
    <col min="5904" max="5904" width="11" style="5" customWidth="1"/>
    <col min="5905" max="5905" width="1" style="5" customWidth="1"/>
    <col min="5906" max="5906" width="2.1640625" style="5" customWidth="1"/>
    <col min="5907" max="5907" width="2.33203125" style="5" customWidth="1"/>
    <col min="5908" max="5908" width="0.83203125" style="5" customWidth="1"/>
    <col min="5909" max="5909" width="3.1640625" style="5" customWidth="1"/>
    <col min="5910" max="5910" width="3.5" style="5" customWidth="1"/>
    <col min="5911" max="5911" width="3.1640625" style="5" customWidth="1"/>
    <col min="5912" max="5912" width="2.33203125" style="5" customWidth="1"/>
    <col min="5913" max="5913" width="0.83203125" style="5" customWidth="1"/>
    <col min="5914" max="5914" width="2.5" style="5" customWidth="1"/>
    <col min="5915" max="5915" width="6.6640625" style="5" customWidth="1"/>
    <col min="5916" max="5916" width="0.33203125" style="5" customWidth="1"/>
    <col min="5917" max="5917" width="0.1640625" style="5" customWidth="1"/>
    <col min="5918" max="5918" width="2.33203125" style="5" customWidth="1"/>
    <col min="5919" max="5919" width="0.83203125" style="5" customWidth="1"/>
    <col min="5920" max="5920" width="2.6640625" style="5" customWidth="1"/>
    <col min="5921" max="5921" width="1" style="5" customWidth="1"/>
    <col min="5922" max="5922" width="4.33203125" style="5" customWidth="1"/>
    <col min="5923" max="5923" width="1.6640625" style="5" customWidth="1"/>
    <col min="5924" max="5924" width="1.33203125" style="5" customWidth="1"/>
    <col min="5925" max="5925" width="1" style="5" customWidth="1"/>
    <col min="5926" max="5926" width="0.83203125" style="5" customWidth="1"/>
    <col min="5927" max="5927" width="1.5" style="5" customWidth="1"/>
    <col min="5928" max="5928" width="1" style="5" customWidth="1"/>
    <col min="5929" max="5929" width="2.5" style="5" customWidth="1"/>
    <col min="5930" max="5930" width="3.6640625" style="5" customWidth="1"/>
    <col min="5931" max="5933" width="0.1640625" style="5" customWidth="1"/>
    <col min="5934" max="5934" width="0.33203125" style="5" customWidth="1"/>
    <col min="5935" max="5935" width="2.33203125" style="5" customWidth="1"/>
    <col min="5936" max="5936" width="0.1640625" style="5" customWidth="1"/>
    <col min="5937" max="5937" width="0.6640625" style="5" customWidth="1"/>
    <col min="5938" max="5938" width="0.33203125" style="5" customWidth="1"/>
    <col min="5939" max="5939" width="0.5" style="5" customWidth="1"/>
    <col min="5940" max="5940" width="7.1640625" style="5" customWidth="1"/>
    <col min="5941" max="5941" width="1.1640625" style="5" customWidth="1"/>
    <col min="5942" max="5942" width="0.33203125" style="5" customWidth="1"/>
    <col min="5943" max="5943" width="2.33203125" style="5" customWidth="1"/>
    <col min="5944" max="5944" width="0.83203125" style="5" customWidth="1"/>
    <col min="5945" max="5945" width="2.33203125" style="5" customWidth="1"/>
    <col min="5946" max="5946" width="7.33203125" style="5" customWidth="1"/>
    <col min="5947" max="5947" width="2.33203125" style="5" customWidth="1"/>
    <col min="5948" max="5948" width="0.83203125" style="5" customWidth="1"/>
    <col min="5949" max="5949" width="1.1640625" style="5" customWidth="1"/>
    <col min="5950" max="5950" width="8.5" style="5" customWidth="1"/>
    <col min="5951" max="5951" width="2.33203125" style="5" customWidth="1"/>
    <col min="5952" max="5952" width="0.83203125" style="5" customWidth="1"/>
    <col min="5953" max="5953" width="1" style="5" customWidth="1"/>
    <col min="5954" max="5954" width="7.5" style="5" customWidth="1"/>
    <col min="5955" max="5955" width="1.1640625" style="5" customWidth="1"/>
    <col min="5956" max="6144" width="10.83203125" style="5"/>
    <col min="6145" max="6145" width="0.5" style="5" customWidth="1"/>
    <col min="6146" max="6146" width="0.33203125" style="5" customWidth="1"/>
    <col min="6147" max="6147" width="1.5" style="5" customWidth="1"/>
    <col min="6148" max="6148" width="0.33203125" style="5" customWidth="1"/>
    <col min="6149" max="6149" width="0.5" style="5" customWidth="1"/>
    <col min="6150" max="6152" width="2" style="5" customWidth="1"/>
    <col min="6153" max="6153" width="0.1640625" style="5" customWidth="1"/>
    <col min="6154" max="6154" width="2" style="5" customWidth="1"/>
    <col min="6155" max="6157" width="0.1640625" style="5" customWidth="1"/>
    <col min="6158" max="6158" width="13.1640625" style="5" customWidth="1"/>
    <col min="6159" max="6159" width="3" style="5" customWidth="1"/>
    <col min="6160" max="6160" width="11" style="5" customWidth="1"/>
    <col min="6161" max="6161" width="1" style="5" customWidth="1"/>
    <col min="6162" max="6162" width="2.1640625" style="5" customWidth="1"/>
    <col min="6163" max="6163" width="2.33203125" style="5" customWidth="1"/>
    <col min="6164" max="6164" width="0.83203125" style="5" customWidth="1"/>
    <col min="6165" max="6165" width="3.1640625" style="5" customWidth="1"/>
    <col min="6166" max="6166" width="3.5" style="5" customWidth="1"/>
    <col min="6167" max="6167" width="3.1640625" style="5" customWidth="1"/>
    <col min="6168" max="6168" width="2.33203125" style="5" customWidth="1"/>
    <col min="6169" max="6169" width="0.83203125" style="5" customWidth="1"/>
    <col min="6170" max="6170" width="2.5" style="5" customWidth="1"/>
    <col min="6171" max="6171" width="6.6640625" style="5" customWidth="1"/>
    <col min="6172" max="6172" width="0.33203125" style="5" customWidth="1"/>
    <col min="6173" max="6173" width="0.1640625" style="5" customWidth="1"/>
    <col min="6174" max="6174" width="2.33203125" style="5" customWidth="1"/>
    <col min="6175" max="6175" width="0.83203125" style="5" customWidth="1"/>
    <col min="6176" max="6176" width="2.6640625" style="5" customWidth="1"/>
    <col min="6177" max="6177" width="1" style="5" customWidth="1"/>
    <col min="6178" max="6178" width="4.33203125" style="5" customWidth="1"/>
    <col min="6179" max="6179" width="1.6640625" style="5" customWidth="1"/>
    <col min="6180" max="6180" width="1.33203125" style="5" customWidth="1"/>
    <col min="6181" max="6181" width="1" style="5" customWidth="1"/>
    <col min="6182" max="6182" width="0.83203125" style="5" customWidth="1"/>
    <col min="6183" max="6183" width="1.5" style="5" customWidth="1"/>
    <col min="6184" max="6184" width="1" style="5" customWidth="1"/>
    <col min="6185" max="6185" width="2.5" style="5" customWidth="1"/>
    <col min="6186" max="6186" width="3.6640625" style="5" customWidth="1"/>
    <col min="6187" max="6189" width="0.1640625" style="5" customWidth="1"/>
    <col min="6190" max="6190" width="0.33203125" style="5" customWidth="1"/>
    <col min="6191" max="6191" width="2.33203125" style="5" customWidth="1"/>
    <col min="6192" max="6192" width="0.1640625" style="5" customWidth="1"/>
    <col min="6193" max="6193" width="0.6640625" style="5" customWidth="1"/>
    <col min="6194" max="6194" width="0.33203125" style="5" customWidth="1"/>
    <col min="6195" max="6195" width="0.5" style="5" customWidth="1"/>
    <col min="6196" max="6196" width="7.1640625" style="5" customWidth="1"/>
    <col min="6197" max="6197" width="1.1640625" style="5" customWidth="1"/>
    <col min="6198" max="6198" width="0.33203125" style="5" customWidth="1"/>
    <col min="6199" max="6199" width="2.33203125" style="5" customWidth="1"/>
    <col min="6200" max="6200" width="0.83203125" style="5" customWidth="1"/>
    <col min="6201" max="6201" width="2.33203125" style="5" customWidth="1"/>
    <col min="6202" max="6202" width="7.33203125" style="5" customWidth="1"/>
    <col min="6203" max="6203" width="2.33203125" style="5" customWidth="1"/>
    <col min="6204" max="6204" width="0.83203125" style="5" customWidth="1"/>
    <col min="6205" max="6205" width="1.1640625" style="5" customWidth="1"/>
    <col min="6206" max="6206" width="8.5" style="5" customWidth="1"/>
    <col min="6207" max="6207" width="2.33203125" style="5" customWidth="1"/>
    <col min="6208" max="6208" width="0.83203125" style="5" customWidth="1"/>
    <col min="6209" max="6209" width="1" style="5" customWidth="1"/>
    <col min="6210" max="6210" width="7.5" style="5" customWidth="1"/>
    <col min="6211" max="6211" width="1.1640625" style="5" customWidth="1"/>
    <col min="6212" max="6400" width="10.83203125" style="5"/>
    <col min="6401" max="6401" width="0.5" style="5" customWidth="1"/>
    <col min="6402" max="6402" width="0.33203125" style="5" customWidth="1"/>
    <col min="6403" max="6403" width="1.5" style="5" customWidth="1"/>
    <col min="6404" max="6404" width="0.33203125" style="5" customWidth="1"/>
    <col min="6405" max="6405" width="0.5" style="5" customWidth="1"/>
    <col min="6406" max="6408" width="2" style="5" customWidth="1"/>
    <col min="6409" max="6409" width="0.1640625" style="5" customWidth="1"/>
    <col min="6410" max="6410" width="2" style="5" customWidth="1"/>
    <col min="6411" max="6413" width="0.1640625" style="5" customWidth="1"/>
    <col min="6414" max="6414" width="13.1640625" style="5" customWidth="1"/>
    <col min="6415" max="6415" width="3" style="5" customWidth="1"/>
    <col min="6416" max="6416" width="11" style="5" customWidth="1"/>
    <col min="6417" max="6417" width="1" style="5" customWidth="1"/>
    <col min="6418" max="6418" width="2.1640625" style="5" customWidth="1"/>
    <col min="6419" max="6419" width="2.33203125" style="5" customWidth="1"/>
    <col min="6420" max="6420" width="0.83203125" style="5" customWidth="1"/>
    <col min="6421" max="6421" width="3.1640625" style="5" customWidth="1"/>
    <col min="6422" max="6422" width="3.5" style="5" customWidth="1"/>
    <col min="6423" max="6423" width="3.1640625" style="5" customWidth="1"/>
    <col min="6424" max="6424" width="2.33203125" style="5" customWidth="1"/>
    <col min="6425" max="6425" width="0.83203125" style="5" customWidth="1"/>
    <col min="6426" max="6426" width="2.5" style="5" customWidth="1"/>
    <col min="6427" max="6427" width="6.6640625" style="5" customWidth="1"/>
    <col min="6428" max="6428" width="0.33203125" style="5" customWidth="1"/>
    <col min="6429" max="6429" width="0.1640625" style="5" customWidth="1"/>
    <col min="6430" max="6430" width="2.33203125" style="5" customWidth="1"/>
    <col min="6431" max="6431" width="0.83203125" style="5" customWidth="1"/>
    <col min="6432" max="6432" width="2.6640625" style="5" customWidth="1"/>
    <col min="6433" max="6433" width="1" style="5" customWidth="1"/>
    <col min="6434" max="6434" width="4.33203125" style="5" customWidth="1"/>
    <col min="6435" max="6435" width="1.6640625" style="5" customWidth="1"/>
    <col min="6436" max="6436" width="1.33203125" style="5" customWidth="1"/>
    <col min="6437" max="6437" width="1" style="5" customWidth="1"/>
    <col min="6438" max="6438" width="0.83203125" style="5" customWidth="1"/>
    <col min="6439" max="6439" width="1.5" style="5" customWidth="1"/>
    <col min="6440" max="6440" width="1" style="5" customWidth="1"/>
    <col min="6441" max="6441" width="2.5" style="5" customWidth="1"/>
    <col min="6442" max="6442" width="3.6640625" style="5" customWidth="1"/>
    <col min="6443" max="6445" width="0.1640625" style="5" customWidth="1"/>
    <col min="6446" max="6446" width="0.33203125" style="5" customWidth="1"/>
    <col min="6447" max="6447" width="2.33203125" style="5" customWidth="1"/>
    <col min="6448" max="6448" width="0.1640625" style="5" customWidth="1"/>
    <col min="6449" max="6449" width="0.6640625" style="5" customWidth="1"/>
    <col min="6450" max="6450" width="0.33203125" style="5" customWidth="1"/>
    <col min="6451" max="6451" width="0.5" style="5" customWidth="1"/>
    <col min="6452" max="6452" width="7.1640625" style="5" customWidth="1"/>
    <col min="6453" max="6453" width="1.1640625" style="5" customWidth="1"/>
    <col min="6454" max="6454" width="0.33203125" style="5" customWidth="1"/>
    <col min="6455" max="6455" width="2.33203125" style="5" customWidth="1"/>
    <col min="6456" max="6456" width="0.83203125" style="5" customWidth="1"/>
    <col min="6457" max="6457" width="2.33203125" style="5" customWidth="1"/>
    <col min="6458" max="6458" width="7.33203125" style="5" customWidth="1"/>
    <col min="6459" max="6459" width="2.33203125" style="5" customWidth="1"/>
    <col min="6460" max="6460" width="0.83203125" style="5" customWidth="1"/>
    <col min="6461" max="6461" width="1.1640625" style="5" customWidth="1"/>
    <col min="6462" max="6462" width="8.5" style="5" customWidth="1"/>
    <col min="6463" max="6463" width="2.33203125" style="5" customWidth="1"/>
    <col min="6464" max="6464" width="0.83203125" style="5" customWidth="1"/>
    <col min="6465" max="6465" width="1" style="5" customWidth="1"/>
    <col min="6466" max="6466" width="7.5" style="5" customWidth="1"/>
    <col min="6467" max="6467" width="1.1640625" style="5" customWidth="1"/>
    <col min="6468" max="6656" width="10.83203125" style="5"/>
    <col min="6657" max="6657" width="0.5" style="5" customWidth="1"/>
    <col min="6658" max="6658" width="0.33203125" style="5" customWidth="1"/>
    <col min="6659" max="6659" width="1.5" style="5" customWidth="1"/>
    <col min="6660" max="6660" width="0.33203125" style="5" customWidth="1"/>
    <col min="6661" max="6661" width="0.5" style="5" customWidth="1"/>
    <col min="6662" max="6664" width="2" style="5" customWidth="1"/>
    <col min="6665" max="6665" width="0.1640625" style="5" customWidth="1"/>
    <col min="6666" max="6666" width="2" style="5" customWidth="1"/>
    <col min="6667" max="6669" width="0.1640625" style="5" customWidth="1"/>
    <col min="6670" max="6670" width="13.1640625" style="5" customWidth="1"/>
    <col min="6671" max="6671" width="3" style="5" customWidth="1"/>
    <col min="6672" max="6672" width="11" style="5" customWidth="1"/>
    <col min="6673" max="6673" width="1" style="5" customWidth="1"/>
    <col min="6674" max="6674" width="2.1640625" style="5" customWidth="1"/>
    <col min="6675" max="6675" width="2.33203125" style="5" customWidth="1"/>
    <col min="6676" max="6676" width="0.83203125" style="5" customWidth="1"/>
    <col min="6677" max="6677" width="3.1640625" style="5" customWidth="1"/>
    <col min="6678" max="6678" width="3.5" style="5" customWidth="1"/>
    <col min="6679" max="6679" width="3.1640625" style="5" customWidth="1"/>
    <col min="6680" max="6680" width="2.33203125" style="5" customWidth="1"/>
    <col min="6681" max="6681" width="0.83203125" style="5" customWidth="1"/>
    <col min="6682" max="6682" width="2.5" style="5" customWidth="1"/>
    <col min="6683" max="6683" width="6.6640625" style="5" customWidth="1"/>
    <col min="6684" max="6684" width="0.33203125" style="5" customWidth="1"/>
    <col min="6685" max="6685" width="0.1640625" style="5" customWidth="1"/>
    <col min="6686" max="6686" width="2.33203125" style="5" customWidth="1"/>
    <col min="6687" max="6687" width="0.83203125" style="5" customWidth="1"/>
    <col min="6688" max="6688" width="2.6640625" style="5" customWidth="1"/>
    <col min="6689" max="6689" width="1" style="5" customWidth="1"/>
    <col min="6690" max="6690" width="4.33203125" style="5" customWidth="1"/>
    <col min="6691" max="6691" width="1.6640625" style="5" customWidth="1"/>
    <col min="6692" max="6692" width="1.33203125" style="5" customWidth="1"/>
    <col min="6693" max="6693" width="1" style="5" customWidth="1"/>
    <col min="6694" max="6694" width="0.83203125" style="5" customWidth="1"/>
    <col min="6695" max="6695" width="1.5" style="5" customWidth="1"/>
    <col min="6696" max="6696" width="1" style="5" customWidth="1"/>
    <col min="6697" max="6697" width="2.5" style="5" customWidth="1"/>
    <col min="6698" max="6698" width="3.6640625" style="5" customWidth="1"/>
    <col min="6699" max="6701" width="0.1640625" style="5" customWidth="1"/>
    <col min="6702" max="6702" width="0.33203125" style="5" customWidth="1"/>
    <col min="6703" max="6703" width="2.33203125" style="5" customWidth="1"/>
    <col min="6704" max="6704" width="0.1640625" style="5" customWidth="1"/>
    <col min="6705" max="6705" width="0.6640625" style="5" customWidth="1"/>
    <col min="6706" max="6706" width="0.33203125" style="5" customWidth="1"/>
    <col min="6707" max="6707" width="0.5" style="5" customWidth="1"/>
    <col min="6708" max="6708" width="7.1640625" style="5" customWidth="1"/>
    <col min="6709" max="6709" width="1.1640625" style="5" customWidth="1"/>
    <col min="6710" max="6710" width="0.33203125" style="5" customWidth="1"/>
    <col min="6711" max="6711" width="2.33203125" style="5" customWidth="1"/>
    <col min="6712" max="6712" width="0.83203125" style="5" customWidth="1"/>
    <col min="6713" max="6713" width="2.33203125" style="5" customWidth="1"/>
    <col min="6714" max="6714" width="7.33203125" style="5" customWidth="1"/>
    <col min="6715" max="6715" width="2.33203125" style="5" customWidth="1"/>
    <col min="6716" max="6716" width="0.83203125" style="5" customWidth="1"/>
    <col min="6717" max="6717" width="1.1640625" style="5" customWidth="1"/>
    <col min="6718" max="6718" width="8.5" style="5" customWidth="1"/>
    <col min="6719" max="6719" width="2.33203125" style="5" customWidth="1"/>
    <col min="6720" max="6720" width="0.83203125" style="5" customWidth="1"/>
    <col min="6721" max="6721" width="1" style="5" customWidth="1"/>
    <col min="6722" max="6722" width="7.5" style="5" customWidth="1"/>
    <col min="6723" max="6723" width="1.1640625" style="5" customWidth="1"/>
    <col min="6724" max="6912" width="10.83203125" style="5"/>
    <col min="6913" max="6913" width="0.5" style="5" customWidth="1"/>
    <col min="6914" max="6914" width="0.33203125" style="5" customWidth="1"/>
    <col min="6915" max="6915" width="1.5" style="5" customWidth="1"/>
    <col min="6916" max="6916" width="0.33203125" style="5" customWidth="1"/>
    <col min="6917" max="6917" width="0.5" style="5" customWidth="1"/>
    <col min="6918" max="6920" width="2" style="5" customWidth="1"/>
    <col min="6921" max="6921" width="0.1640625" style="5" customWidth="1"/>
    <col min="6922" max="6922" width="2" style="5" customWidth="1"/>
    <col min="6923" max="6925" width="0.1640625" style="5" customWidth="1"/>
    <col min="6926" max="6926" width="13.1640625" style="5" customWidth="1"/>
    <col min="6927" max="6927" width="3" style="5" customWidth="1"/>
    <col min="6928" max="6928" width="11" style="5" customWidth="1"/>
    <col min="6929" max="6929" width="1" style="5" customWidth="1"/>
    <col min="6930" max="6930" width="2.1640625" style="5" customWidth="1"/>
    <col min="6931" max="6931" width="2.33203125" style="5" customWidth="1"/>
    <col min="6932" max="6932" width="0.83203125" style="5" customWidth="1"/>
    <col min="6933" max="6933" width="3.1640625" style="5" customWidth="1"/>
    <col min="6934" max="6934" width="3.5" style="5" customWidth="1"/>
    <col min="6935" max="6935" width="3.1640625" style="5" customWidth="1"/>
    <col min="6936" max="6936" width="2.33203125" style="5" customWidth="1"/>
    <col min="6937" max="6937" width="0.83203125" style="5" customWidth="1"/>
    <col min="6938" max="6938" width="2.5" style="5" customWidth="1"/>
    <col min="6939" max="6939" width="6.6640625" style="5" customWidth="1"/>
    <col min="6940" max="6940" width="0.33203125" style="5" customWidth="1"/>
    <col min="6941" max="6941" width="0.1640625" style="5" customWidth="1"/>
    <col min="6942" max="6942" width="2.33203125" style="5" customWidth="1"/>
    <col min="6943" max="6943" width="0.83203125" style="5" customWidth="1"/>
    <col min="6944" max="6944" width="2.6640625" style="5" customWidth="1"/>
    <col min="6945" max="6945" width="1" style="5" customWidth="1"/>
    <col min="6946" max="6946" width="4.33203125" style="5" customWidth="1"/>
    <col min="6947" max="6947" width="1.6640625" style="5" customWidth="1"/>
    <col min="6948" max="6948" width="1.33203125" style="5" customWidth="1"/>
    <col min="6949" max="6949" width="1" style="5" customWidth="1"/>
    <col min="6950" max="6950" width="0.83203125" style="5" customWidth="1"/>
    <col min="6951" max="6951" width="1.5" style="5" customWidth="1"/>
    <col min="6952" max="6952" width="1" style="5" customWidth="1"/>
    <col min="6953" max="6953" width="2.5" style="5" customWidth="1"/>
    <col min="6954" max="6954" width="3.6640625" style="5" customWidth="1"/>
    <col min="6955" max="6957" width="0.1640625" style="5" customWidth="1"/>
    <col min="6958" max="6958" width="0.33203125" style="5" customWidth="1"/>
    <col min="6959" max="6959" width="2.33203125" style="5" customWidth="1"/>
    <col min="6960" max="6960" width="0.1640625" style="5" customWidth="1"/>
    <col min="6961" max="6961" width="0.6640625" style="5" customWidth="1"/>
    <col min="6962" max="6962" width="0.33203125" style="5" customWidth="1"/>
    <col min="6963" max="6963" width="0.5" style="5" customWidth="1"/>
    <col min="6964" max="6964" width="7.1640625" style="5" customWidth="1"/>
    <col min="6965" max="6965" width="1.1640625" style="5" customWidth="1"/>
    <col min="6966" max="6966" width="0.33203125" style="5" customWidth="1"/>
    <col min="6967" max="6967" width="2.33203125" style="5" customWidth="1"/>
    <col min="6968" max="6968" width="0.83203125" style="5" customWidth="1"/>
    <col min="6969" max="6969" width="2.33203125" style="5" customWidth="1"/>
    <col min="6970" max="6970" width="7.33203125" style="5" customWidth="1"/>
    <col min="6971" max="6971" width="2.33203125" style="5" customWidth="1"/>
    <col min="6972" max="6972" width="0.83203125" style="5" customWidth="1"/>
    <col min="6973" max="6973" width="1.1640625" style="5" customWidth="1"/>
    <col min="6974" max="6974" width="8.5" style="5" customWidth="1"/>
    <col min="6975" max="6975" width="2.33203125" style="5" customWidth="1"/>
    <col min="6976" max="6976" width="0.83203125" style="5" customWidth="1"/>
    <col min="6977" max="6977" width="1" style="5" customWidth="1"/>
    <col min="6978" max="6978" width="7.5" style="5" customWidth="1"/>
    <col min="6979" max="6979" width="1.1640625" style="5" customWidth="1"/>
    <col min="6980" max="7168" width="10.83203125" style="5"/>
    <col min="7169" max="7169" width="0.5" style="5" customWidth="1"/>
    <col min="7170" max="7170" width="0.33203125" style="5" customWidth="1"/>
    <col min="7171" max="7171" width="1.5" style="5" customWidth="1"/>
    <col min="7172" max="7172" width="0.33203125" style="5" customWidth="1"/>
    <col min="7173" max="7173" width="0.5" style="5" customWidth="1"/>
    <col min="7174" max="7176" width="2" style="5" customWidth="1"/>
    <col min="7177" max="7177" width="0.1640625" style="5" customWidth="1"/>
    <col min="7178" max="7178" width="2" style="5" customWidth="1"/>
    <col min="7179" max="7181" width="0.1640625" style="5" customWidth="1"/>
    <col min="7182" max="7182" width="13.1640625" style="5" customWidth="1"/>
    <col min="7183" max="7183" width="3" style="5" customWidth="1"/>
    <col min="7184" max="7184" width="11" style="5" customWidth="1"/>
    <col min="7185" max="7185" width="1" style="5" customWidth="1"/>
    <col min="7186" max="7186" width="2.1640625" style="5" customWidth="1"/>
    <col min="7187" max="7187" width="2.33203125" style="5" customWidth="1"/>
    <col min="7188" max="7188" width="0.83203125" style="5" customWidth="1"/>
    <col min="7189" max="7189" width="3.1640625" style="5" customWidth="1"/>
    <col min="7190" max="7190" width="3.5" style="5" customWidth="1"/>
    <col min="7191" max="7191" width="3.1640625" style="5" customWidth="1"/>
    <col min="7192" max="7192" width="2.33203125" style="5" customWidth="1"/>
    <col min="7193" max="7193" width="0.83203125" style="5" customWidth="1"/>
    <col min="7194" max="7194" width="2.5" style="5" customWidth="1"/>
    <col min="7195" max="7195" width="6.6640625" style="5" customWidth="1"/>
    <col min="7196" max="7196" width="0.33203125" style="5" customWidth="1"/>
    <col min="7197" max="7197" width="0.1640625" style="5" customWidth="1"/>
    <col min="7198" max="7198" width="2.33203125" style="5" customWidth="1"/>
    <col min="7199" max="7199" width="0.83203125" style="5" customWidth="1"/>
    <col min="7200" max="7200" width="2.6640625" style="5" customWidth="1"/>
    <col min="7201" max="7201" width="1" style="5" customWidth="1"/>
    <col min="7202" max="7202" width="4.33203125" style="5" customWidth="1"/>
    <col min="7203" max="7203" width="1.6640625" style="5" customWidth="1"/>
    <col min="7204" max="7204" width="1.33203125" style="5" customWidth="1"/>
    <col min="7205" max="7205" width="1" style="5" customWidth="1"/>
    <col min="7206" max="7206" width="0.83203125" style="5" customWidth="1"/>
    <col min="7207" max="7207" width="1.5" style="5" customWidth="1"/>
    <col min="7208" max="7208" width="1" style="5" customWidth="1"/>
    <col min="7209" max="7209" width="2.5" style="5" customWidth="1"/>
    <col min="7210" max="7210" width="3.6640625" style="5" customWidth="1"/>
    <col min="7211" max="7213" width="0.1640625" style="5" customWidth="1"/>
    <col min="7214" max="7214" width="0.33203125" style="5" customWidth="1"/>
    <col min="7215" max="7215" width="2.33203125" style="5" customWidth="1"/>
    <col min="7216" max="7216" width="0.1640625" style="5" customWidth="1"/>
    <col min="7217" max="7217" width="0.6640625" style="5" customWidth="1"/>
    <col min="7218" max="7218" width="0.33203125" style="5" customWidth="1"/>
    <col min="7219" max="7219" width="0.5" style="5" customWidth="1"/>
    <col min="7220" max="7220" width="7.1640625" style="5" customWidth="1"/>
    <col min="7221" max="7221" width="1.1640625" style="5" customWidth="1"/>
    <col min="7222" max="7222" width="0.33203125" style="5" customWidth="1"/>
    <col min="7223" max="7223" width="2.33203125" style="5" customWidth="1"/>
    <col min="7224" max="7224" width="0.83203125" style="5" customWidth="1"/>
    <col min="7225" max="7225" width="2.33203125" style="5" customWidth="1"/>
    <col min="7226" max="7226" width="7.33203125" style="5" customWidth="1"/>
    <col min="7227" max="7227" width="2.33203125" style="5" customWidth="1"/>
    <col min="7228" max="7228" width="0.83203125" style="5" customWidth="1"/>
    <col min="7229" max="7229" width="1.1640625" style="5" customWidth="1"/>
    <col min="7230" max="7230" width="8.5" style="5" customWidth="1"/>
    <col min="7231" max="7231" width="2.33203125" style="5" customWidth="1"/>
    <col min="7232" max="7232" width="0.83203125" style="5" customWidth="1"/>
    <col min="7233" max="7233" width="1" style="5" customWidth="1"/>
    <col min="7234" max="7234" width="7.5" style="5" customWidth="1"/>
    <col min="7235" max="7235" width="1.1640625" style="5" customWidth="1"/>
    <col min="7236" max="7424" width="10.83203125" style="5"/>
    <col min="7425" max="7425" width="0.5" style="5" customWidth="1"/>
    <col min="7426" max="7426" width="0.33203125" style="5" customWidth="1"/>
    <col min="7427" max="7427" width="1.5" style="5" customWidth="1"/>
    <col min="7428" max="7428" width="0.33203125" style="5" customWidth="1"/>
    <col min="7429" max="7429" width="0.5" style="5" customWidth="1"/>
    <col min="7430" max="7432" width="2" style="5" customWidth="1"/>
    <col min="7433" max="7433" width="0.1640625" style="5" customWidth="1"/>
    <col min="7434" max="7434" width="2" style="5" customWidth="1"/>
    <col min="7435" max="7437" width="0.1640625" style="5" customWidth="1"/>
    <col min="7438" max="7438" width="13.1640625" style="5" customWidth="1"/>
    <col min="7439" max="7439" width="3" style="5" customWidth="1"/>
    <col min="7440" max="7440" width="11" style="5" customWidth="1"/>
    <col min="7441" max="7441" width="1" style="5" customWidth="1"/>
    <col min="7442" max="7442" width="2.1640625" style="5" customWidth="1"/>
    <col min="7443" max="7443" width="2.33203125" style="5" customWidth="1"/>
    <col min="7444" max="7444" width="0.83203125" style="5" customWidth="1"/>
    <col min="7445" max="7445" width="3.1640625" style="5" customWidth="1"/>
    <col min="7446" max="7446" width="3.5" style="5" customWidth="1"/>
    <col min="7447" max="7447" width="3.1640625" style="5" customWidth="1"/>
    <col min="7448" max="7448" width="2.33203125" style="5" customWidth="1"/>
    <col min="7449" max="7449" width="0.83203125" style="5" customWidth="1"/>
    <col min="7450" max="7450" width="2.5" style="5" customWidth="1"/>
    <col min="7451" max="7451" width="6.6640625" style="5" customWidth="1"/>
    <col min="7452" max="7452" width="0.33203125" style="5" customWidth="1"/>
    <col min="7453" max="7453" width="0.1640625" style="5" customWidth="1"/>
    <col min="7454" max="7454" width="2.33203125" style="5" customWidth="1"/>
    <col min="7455" max="7455" width="0.83203125" style="5" customWidth="1"/>
    <col min="7456" max="7456" width="2.6640625" style="5" customWidth="1"/>
    <col min="7457" max="7457" width="1" style="5" customWidth="1"/>
    <col min="7458" max="7458" width="4.33203125" style="5" customWidth="1"/>
    <col min="7459" max="7459" width="1.6640625" style="5" customWidth="1"/>
    <col min="7460" max="7460" width="1.33203125" style="5" customWidth="1"/>
    <col min="7461" max="7461" width="1" style="5" customWidth="1"/>
    <col min="7462" max="7462" width="0.83203125" style="5" customWidth="1"/>
    <col min="7463" max="7463" width="1.5" style="5" customWidth="1"/>
    <col min="7464" max="7464" width="1" style="5" customWidth="1"/>
    <col min="7465" max="7465" width="2.5" style="5" customWidth="1"/>
    <col min="7466" max="7466" width="3.6640625" style="5" customWidth="1"/>
    <col min="7467" max="7469" width="0.1640625" style="5" customWidth="1"/>
    <col min="7470" max="7470" width="0.33203125" style="5" customWidth="1"/>
    <col min="7471" max="7471" width="2.33203125" style="5" customWidth="1"/>
    <col min="7472" max="7472" width="0.1640625" style="5" customWidth="1"/>
    <col min="7473" max="7473" width="0.6640625" style="5" customWidth="1"/>
    <col min="7474" max="7474" width="0.33203125" style="5" customWidth="1"/>
    <col min="7475" max="7475" width="0.5" style="5" customWidth="1"/>
    <col min="7476" max="7476" width="7.1640625" style="5" customWidth="1"/>
    <col min="7477" max="7477" width="1.1640625" style="5" customWidth="1"/>
    <col min="7478" max="7478" width="0.33203125" style="5" customWidth="1"/>
    <col min="7479" max="7479" width="2.33203125" style="5" customWidth="1"/>
    <col min="7480" max="7480" width="0.83203125" style="5" customWidth="1"/>
    <col min="7481" max="7481" width="2.33203125" style="5" customWidth="1"/>
    <col min="7482" max="7482" width="7.33203125" style="5" customWidth="1"/>
    <col min="7483" max="7483" width="2.33203125" style="5" customWidth="1"/>
    <col min="7484" max="7484" width="0.83203125" style="5" customWidth="1"/>
    <col min="7485" max="7485" width="1.1640625" style="5" customWidth="1"/>
    <col min="7486" max="7486" width="8.5" style="5" customWidth="1"/>
    <col min="7487" max="7487" width="2.33203125" style="5" customWidth="1"/>
    <col min="7488" max="7488" width="0.83203125" style="5" customWidth="1"/>
    <col min="7489" max="7489" width="1" style="5" customWidth="1"/>
    <col min="7490" max="7490" width="7.5" style="5" customWidth="1"/>
    <col min="7491" max="7491" width="1.1640625" style="5" customWidth="1"/>
    <col min="7492" max="7680" width="10.83203125" style="5"/>
    <col min="7681" max="7681" width="0.5" style="5" customWidth="1"/>
    <col min="7682" max="7682" width="0.33203125" style="5" customWidth="1"/>
    <col min="7683" max="7683" width="1.5" style="5" customWidth="1"/>
    <col min="7684" max="7684" width="0.33203125" style="5" customWidth="1"/>
    <col min="7685" max="7685" width="0.5" style="5" customWidth="1"/>
    <col min="7686" max="7688" width="2" style="5" customWidth="1"/>
    <col min="7689" max="7689" width="0.1640625" style="5" customWidth="1"/>
    <col min="7690" max="7690" width="2" style="5" customWidth="1"/>
    <col min="7691" max="7693" width="0.1640625" style="5" customWidth="1"/>
    <col min="7694" max="7694" width="13.1640625" style="5" customWidth="1"/>
    <col min="7695" max="7695" width="3" style="5" customWidth="1"/>
    <col min="7696" max="7696" width="11" style="5" customWidth="1"/>
    <col min="7697" max="7697" width="1" style="5" customWidth="1"/>
    <col min="7698" max="7698" width="2.1640625" style="5" customWidth="1"/>
    <col min="7699" max="7699" width="2.33203125" style="5" customWidth="1"/>
    <col min="7700" max="7700" width="0.83203125" style="5" customWidth="1"/>
    <col min="7701" max="7701" width="3.1640625" style="5" customWidth="1"/>
    <col min="7702" max="7702" width="3.5" style="5" customWidth="1"/>
    <col min="7703" max="7703" width="3.1640625" style="5" customWidth="1"/>
    <col min="7704" max="7704" width="2.33203125" style="5" customWidth="1"/>
    <col min="7705" max="7705" width="0.83203125" style="5" customWidth="1"/>
    <col min="7706" max="7706" width="2.5" style="5" customWidth="1"/>
    <col min="7707" max="7707" width="6.6640625" style="5" customWidth="1"/>
    <col min="7708" max="7708" width="0.33203125" style="5" customWidth="1"/>
    <col min="7709" max="7709" width="0.1640625" style="5" customWidth="1"/>
    <col min="7710" max="7710" width="2.33203125" style="5" customWidth="1"/>
    <col min="7711" max="7711" width="0.83203125" style="5" customWidth="1"/>
    <col min="7712" max="7712" width="2.6640625" style="5" customWidth="1"/>
    <col min="7713" max="7713" width="1" style="5" customWidth="1"/>
    <col min="7714" max="7714" width="4.33203125" style="5" customWidth="1"/>
    <col min="7715" max="7715" width="1.6640625" style="5" customWidth="1"/>
    <col min="7716" max="7716" width="1.33203125" style="5" customWidth="1"/>
    <col min="7717" max="7717" width="1" style="5" customWidth="1"/>
    <col min="7718" max="7718" width="0.83203125" style="5" customWidth="1"/>
    <col min="7719" max="7719" width="1.5" style="5" customWidth="1"/>
    <col min="7720" max="7720" width="1" style="5" customWidth="1"/>
    <col min="7721" max="7721" width="2.5" style="5" customWidth="1"/>
    <col min="7722" max="7722" width="3.6640625" style="5" customWidth="1"/>
    <col min="7723" max="7725" width="0.1640625" style="5" customWidth="1"/>
    <col min="7726" max="7726" width="0.33203125" style="5" customWidth="1"/>
    <col min="7727" max="7727" width="2.33203125" style="5" customWidth="1"/>
    <col min="7728" max="7728" width="0.1640625" style="5" customWidth="1"/>
    <col min="7729" max="7729" width="0.6640625" style="5" customWidth="1"/>
    <col min="7730" max="7730" width="0.33203125" style="5" customWidth="1"/>
    <col min="7731" max="7731" width="0.5" style="5" customWidth="1"/>
    <col min="7732" max="7732" width="7.1640625" style="5" customWidth="1"/>
    <col min="7733" max="7733" width="1.1640625" style="5" customWidth="1"/>
    <col min="7734" max="7734" width="0.33203125" style="5" customWidth="1"/>
    <col min="7735" max="7735" width="2.33203125" style="5" customWidth="1"/>
    <col min="7736" max="7736" width="0.83203125" style="5" customWidth="1"/>
    <col min="7737" max="7737" width="2.33203125" style="5" customWidth="1"/>
    <col min="7738" max="7738" width="7.33203125" style="5" customWidth="1"/>
    <col min="7739" max="7739" width="2.33203125" style="5" customWidth="1"/>
    <col min="7740" max="7740" width="0.83203125" style="5" customWidth="1"/>
    <col min="7741" max="7741" width="1.1640625" style="5" customWidth="1"/>
    <col min="7742" max="7742" width="8.5" style="5" customWidth="1"/>
    <col min="7743" max="7743" width="2.33203125" style="5" customWidth="1"/>
    <col min="7744" max="7744" width="0.83203125" style="5" customWidth="1"/>
    <col min="7745" max="7745" width="1" style="5" customWidth="1"/>
    <col min="7746" max="7746" width="7.5" style="5" customWidth="1"/>
    <col min="7747" max="7747" width="1.1640625" style="5" customWidth="1"/>
    <col min="7748" max="7936" width="10.83203125" style="5"/>
    <col min="7937" max="7937" width="0.5" style="5" customWidth="1"/>
    <col min="7938" max="7938" width="0.33203125" style="5" customWidth="1"/>
    <col min="7939" max="7939" width="1.5" style="5" customWidth="1"/>
    <col min="7940" max="7940" width="0.33203125" style="5" customWidth="1"/>
    <col min="7941" max="7941" width="0.5" style="5" customWidth="1"/>
    <col min="7942" max="7944" width="2" style="5" customWidth="1"/>
    <col min="7945" max="7945" width="0.1640625" style="5" customWidth="1"/>
    <col min="7946" max="7946" width="2" style="5" customWidth="1"/>
    <col min="7947" max="7949" width="0.1640625" style="5" customWidth="1"/>
    <col min="7950" max="7950" width="13.1640625" style="5" customWidth="1"/>
    <col min="7951" max="7951" width="3" style="5" customWidth="1"/>
    <col min="7952" max="7952" width="11" style="5" customWidth="1"/>
    <col min="7953" max="7953" width="1" style="5" customWidth="1"/>
    <col min="7954" max="7954" width="2.1640625" style="5" customWidth="1"/>
    <col min="7955" max="7955" width="2.33203125" style="5" customWidth="1"/>
    <col min="7956" max="7956" width="0.83203125" style="5" customWidth="1"/>
    <col min="7957" max="7957" width="3.1640625" style="5" customWidth="1"/>
    <col min="7958" max="7958" width="3.5" style="5" customWidth="1"/>
    <col min="7959" max="7959" width="3.1640625" style="5" customWidth="1"/>
    <col min="7960" max="7960" width="2.33203125" style="5" customWidth="1"/>
    <col min="7961" max="7961" width="0.83203125" style="5" customWidth="1"/>
    <col min="7962" max="7962" width="2.5" style="5" customWidth="1"/>
    <col min="7963" max="7963" width="6.6640625" style="5" customWidth="1"/>
    <col min="7964" max="7964" width="0.33203125" style="5" customWidth="1"/>
    <col min="7965" max="7965" width="0.1640625" style="5" customWidth="1"/>
    <col min="7966" max="7966" width="2.33203125" style="5" customWidth="1"/>
    <col min="7967" max="7967" width="0.83203125" style="5" customWidth="1"/>
    <col min="7968" max="7968" width="2.6640625" style="5" customWidth="1"/>
    <col min="7969" max="7969" width="1" style="5" customWidth="1"/>
    <col min="7970" max="7970" width="4.33203125" style="5" customWidth="1"/>
    <col min="7971" max="7971" width="1.6640625" style="5" customWidth="1"/>
    <col min="7972" max="7972" width="1.33203125" style="5" customWidth="1"/>
    <col min="7973" max="7973" width="1" style="5" customWidth="1"/>
    <col min="7974" max="7974" width="0.83203125" style="5" customWidth="1"/>
    <col min="7975" max="7975" width="1.5" style="5" customWidth="1"/>
    <col min="7976" max="7976" width="1" style="5" customWidth="1"/>
    <col min="7977" max="7977" width="2.5" style="5" customWidth="1"/>
    <col min="7978" max="7978" width="3.6640625" style="5" customWidth="1"/>
    <col min="7979" max="7981" width="0.1640625" style="5" customWidth="1"/>
    <col min="7982" max="7982" width="0.33203125" style="5" customWidth="1"/>
    <col min="7983" max="7983" width="2.33203125" style="5" customWidth="1"/>
    <col min="7984" max="7984" width="0.1640625" style="5" customWidth="1"/>
    <col min="7985" max="7985" width="0.6640625" style="5" customWidth="1"/>
    <col min="7986" max="7986" width="0.33203125" style="5" customWidth="1"/>
    <col min="7987" max="7987" width="0.5" style="5" customWidth="1"/>
    <col min="7988" max="7988" width="7.1640625" style="5" customWidth="1"/>
    <col min="7989" max="7989" width="1.1640625" style="5" customWidth="1"/>
    <col min="7990" max="7990" width="0.33203125" style="5" customWidth="1"/>
    <col min="7991" max="7991" width="2.33203125" style="5" customWidth="1"/>
    <col min="7992" max="7992" width="0.83203125" style="5" customWidth="1"/>
    <col min="7993" max="7993" width="2.33203125" style="5" customWidth="1"/>
    <col min="7994" max="7994" width="7.33203125" style="5" customWidth="1"/>
    <col min="7995" max="7995" width="2.33203125" style="5" customWidth="1"/>
    <col min="7996" max="7996" width="0.83203125" style="5" customWidth="1"/>
    <col min="7997" max="7997" width="1.1640625" style="5" customWidth="1"/>
    <col min="7998" max="7998" width="8.5" style="5" customWidth="1"/>
    <col min="7999" max="7999" width="2.33203125" style="5" customWidth="1"/>
    <col min="8000" max="8000" width="0.83203125" style="5" customWidth="1"/>
    <col min="8001" max="8001" width="1" style="5" customWidth="1"/>
    <col min="8002" max="8002" width="7.5" style="5" customWidth="1"/>
    <col min="8003" max="8003" width="1.1640625" style="5" customWidth="1"/>
    <col min="8004" max="8192" width="10.83203125" style="5"/>
    <col min="8193" max="8193" width="0.5" style="5" customWidth="1"/>
    <col min="8194" max="8194" width="0.33203125" style="5" customWidth="1"/>
    <col min="8195" max="8195" width="1.5" style="5" customWidth="1"/>
    <col min="8196" max="8196" width="0.33203125" style="5" customWidth="1"/>
    <col min="8197" max="8197" width="0.5" style="5" customWidth="1"/>
    <col min="8198" max="8200" width="2" style="5" customWidth="1"/>
    <col min="8201" max="8201" width="0.1640625" style="5" customWidth="1"/>
    <col min="8202" max="8202" width="2" style="5" customWidth="1"/>
    <col min="8203" max="8205" width="0.1640625" style="5" customWidth="1"/>
    <col min="8206" max="8206" width="13.1640625" style="5" customWidth="1"/>
    <col min="8207" max="8207" width="3" style="5" customWidth="1"/>
    <col min="8208" max="8208" width="11" style="5" customWidth="1"/>
    <col min="8209" max="8209" width="1" style="5" customWidth="1"/>
    <col min="8210" max="8210" width="2.1640625" style="5" customWidth="1"/>
    <col min="8211" max="8211" width="2.33203125" style="5" customWidth="1"/>
    <col min="8212" max="8212" width="0.83203125" style="5" customWidth="1"/>
    <col min="8213" max="8213" width="3.1640625" style="5" customWidth="1"/>
    <col min="8214" max="8214" width="3.5" style="5" customWidth="1"/>
    <col min="8215" max="8215" width="3.1640625" style="5" customWidth="1"/>
    <col min="8216" max="8216" width="2.33203125" style="5" customWidth="1"/>
    <col min="8217" max="8217" width="0.83203125" style="5" customWidth="1"/>
    <col min="8218" max="8218" width="2.5" style="5" customWidth="1"/>
    <col min="8219" max="8219" width="6.6640625" style="5" customWidth="1"/>
    <col min="8220" max="8220" width="0.33203125" style="5" customWidth="1"/>
    <col min="8221" max="8221" width="0.1640625" style="5" customWidth="1"/>
    <col min="8222" max="8222" width="2.33203125" style="5" customWidth="1"/>
    <col min="8223" max="8223" width="0.83203125" style="5" customWidth="1"/>
    <col min="8224" max="8224" width="2.6640625" style="5" customWidth="1"/>
    <col min="8225" max="8225" width="1" style="5" customWidth="1"/>
    <col min="8226" max="8226" width="4.33203125" style="5" customWidth="1"/>
    <col min="8227" max="8227" width="1.6640625" style="5" customWidth="1"/>
    <col min="8228" max="8228" width="1.33203125" style="5" customWidth="1"/>
    <col min="8229" max="8229" width="1" style="5" customWidth="1"/>
    <col min="8230" max="8230" width="0.83203125" style="5" customWidth="1"/>
    <col min="8231" max="8231" width="1.5" style="5" customWidth="1"/>
    <col min="8232" max="8232" width="1" style="5" customWidth="1"/>
    <col min="8233" max="8233" width="2.5" style="5" customWidth="1"/>
    <col min="8234" max="8234" width="3.6640625" style="5" customWidth="1"/>
    <col min="8235" max="8237" width="0.1640625" style="5" customWidth="1"/>
    <col min="8238" max="8238" width="0.33203125" style="5" customWidth="1"/>
    <col min="8239" max="8239" width="2.33203125" style="5" customWidth="1"/>
    <col min="8240" max="8240" width="0.1640625" style="5" customWidth="1"/>
    <col min="8241" max="8241" width="0.6640625" style="5" customWidth="1"/>
    <col min="8242" max="8242" width="0.33203125" style="5" customWidth="1"/>
    <col min="8243" max="8243" width="0.5" style="5" customWidth="1"/>
    <col min="8244" max="8244" width="7.1640625" style="5" customWidth="1"/>
    <col min="8245" max="8245" width="1.1640625" style="5" customWidth="1"/>
    <col min="8246" max="8246" width="0.33203125" style="5" customWidth="1"/>
    <col min="8247" max="8247" width="2.33203125" style="5" customWidth="1"/>
    <col min="8248" max="8248" width="0.83203125" style="5" customWidth="1"/>
    <col min="8249" max="8249" width="2.33203125" style="5" customWidth="1"/>
    <col min="8250" max="8250" width="7.33203125" style="5" customWidth="1"/>
    <col min="8251" max="8251" width="2.33203125" style="5" customWidth="1"/>
    <col min="8252" max="8252" width="0.83203125" style="5" customWidth="1"/>
    <col min="8253" max="8253" width="1.1640625" style="5" customWidth="1"/>
    <col min="8254" max="8254" width="8.5" style="5" customWidth="1"/>
    <col min="8255" max="8255" width="2.33203125" style="5" customWidth="1"/>
    <col min="8256" max="8256" width="0.83203125" style="5" customWidth="1"/>
    <col min="8257" max="8257" width="1" style="5" customWidth="1"/>
    <col min="8258" max="8258" width="7.5" style="5" customWidth="1"/>
    <col min="8259" max="8259" width="1.1640625" style="5" customWidth="1"/>
    <col min="8260" max="8448" width="10.83203125" style="5"/>
    <col min="8449" max="8449" width="0.5" style="5" customWidth="1"/>
    <col min="8450" max="8450" width="0.33203125" style="5" customWidth="1"/>
    <col min="8451" max="8451" width="1.5" style="5" customWidth="1"/>
    <col min="8452" max="8452" width="0.33203125" style="5" customWidth="1"/>
    <col min="8453" max="8453" width="0.5" style="5" customWidth="1"/>
    <col min="8454" max="8456" width="2" style="5" customWidth="1"/>
    <col min="8457" max="8457" width="0.1640625" style="5" customWidth="1"/>
    <col min="8458" max="8458" width="2" style="5" customWidth="1"/>
    <col min="8459" max="8461" width="0.1640625" style="5" customWidth="1"/>
    <col min="8462" max="8462" width="13.1640625" style="5" customWidth="1"/>
    <col min="8463" max="8463" width="3" style="5" customWidth="1"/>
    <col min="8464" max="8464" width="11" style="5" customWidth="1"/>
    <col min="8465" max="8465" width="1" style="5" customWidth="1"/>
    <col min="8466" max="8466" width="2.1640625" style="5" customWidth="1"/>
    <col min="8467" max="8467" width="2.33203125" style="5" customWidth="1"/>
    <col min="8468" max="8468" width="0.83203125" style="5" customWidth="1"/>
    <col min="8469" max="8469" width="3.1640625" style="5" customWidth="1"/>
    <col min="8470" max="8470" width="3.5" style="5" customWidth="1"/>
    <col min="8471" max="8471" width="3.1640625" style="5" customWidth="1"/>
    <col min="8472" max="8472" width="2.33203125" style="5" customWidth="1"/>
    <col min="8473" max="8473" width="0.83203125" style="5" customWidth="1"/>
    <col min="8474" max="8474" width="2.5" style="5" customWidth="1"/>
    <col min="8475" max="8475" width="6.6640625" style="5" customWidth="1"/>
    <col min="8476" max="8476" width="0.33203125" style="5" customWidth="1"/>
    <col min="8477" max="8477" width="0.1640625" style="5" customWidth="1"/>
    <col min="8478" max="8478" width="2.33203125" style="5" customWidth="1"/>
    <col min="8479" max="8479" width="0.83203125" style="5" customWidth="1"/>
    <col min="8480" max="8480" width="2.6640625" style="5" customWidth="1"/>
    <col min="8481" max="8481" width="1" style="5" customWidth="1"/>
    <col min="8482" max="8482" width="4.33203125" style="5" customWidth="1"/>
    <col min="8483" max="8483" width="1.6640625" style="5" customWidth="1"/>
    <col min="8484" max="8484" width="1.33203125" style="5" customWidth="1"/>
    <col min="8485" max="8485" width="1" style="5" customWidth="1"/>
    <col min="8486" max="8486" width="0.83203125" style="5" customWidth="1"/>
    <col min="8487" max="8487" width="1.5" style="5" customWidth="1"/>
    <col min="8488" max="8488" width="1" style="5" customWidth="1"/>
    <col min="8489" max="8489" width="2.5" style="5" customWidth="1"/>
    <col min="8490" max="8490" width="3.6640625" style="5" customWidth="1"/>
    <col min="8491" max="8493" width="0.1640625" style="5" customWidth="1"/>
    <col min="8494" max="8494" width="0.33203125" style="5" customWidth="1"/>
    <col min="8495" max="8495" width="2.33203125" style="5" customWidth="1"/>
    <col min="8496" max="8496" width="0.1640625" style="5" customWidth="1"/>
    <col min="8497" max="8497" width="0.6640625" style="5" customWidth="1"/>
    <col min="8498" max="8498" width="0.33203125" style="5" customWidth="1"/>
    <col min="8499" max="8499" width="0.5" style="5" customWidth="1"/>
    <col min="8500" max="8500" width="7.1640625" style="5" customWidth="1"/>
    <col min="8501" max="8501" width="1.1640625" style="5" customWidth="1"/>
    <col min="8502" max="8502" width="0.33203125" style="5" customWidth="1"/>
    <col min="8503" max="8503" width="2.33203125" style="5" customWidth="1"/>
    <col min="8504" max="8504" width="0.83203125" style="5" customWidth="1"/>
    <col min="8505" max="8505" width="2.33203125" style="5" customWidth="1"/>
    <col min="8506" max="8506" width="7.33203125" style="5" customWidth="1"/>
    <col min="8507" max="8507" width="2.33203125" style="5" customWidth="1"/>
    <col min="8508" max="8508" width="0.83203125" style="5" customWidth="1"/>
    <col min="8509" max="8509" width="1.1640625" style="5" customWidth="1"/>
    <col min="8510" max="8510" width="8.5" style="5" customWidth="1"/>
    <col min="8511" max="8511" width="2.33203125" style="5" customWidth="1"/>
    <col min="8512" max="8512" width="0.83203125" style="5" customWidth="1"/>
    <col min="8513" max="8513" width="1" style="5" customWidth="1"/>
    <col min="8514" max="8514" width="7.5" style="5" customWidth="1"/>
    <col min="8515" max="8515" width="1.1640625" style="5" customWidth="1"/>
    <col min="8516" max="8704" width="10.83203125" style="5"/>
    <col min="8705" max="8705" width="0.5" style="5" customWidth="1"/>
    <col min="8706" max="8706" width="0.33203125" style="5" customWidth="1"/>
    <col min="8707" max="8707" width="1.5" style="5" customWidth="1"/>
    <col min="8708" max="8708" width="0.33203125" style="5" customWidth="1"/>
    <col min="8709" max="8709" width="0.5" style="5" customWidth="1"/>
    <col min="8710" max="8712" width="2" style="5" customWidth="1"/>
    <col min="8713" max="8713" width="0.1640625" style="5" customWidth="1"/>
    <col min="8714" max="8714" width="2" style="5" customWidth="1"/>
    <col min="8715" max="8717" width="0.1640625" style="5" customWidth="1"/>
    <col min="8718" max="8718" width="13.1640625" style="5" customWidth="1"/>
    <col min="8719" max="8719" width="3" style="5" customWidth="1"/>
    <col min="8720" max="8720" width="11" style="5" customWidth="1"/>
    <col min="8721" max="8721" width="1" style="5" customWidth="1"/>
    <col min="8722" max="8722" width="2.1640625" style="5" customWidth="1"/>
    <col min="8723" max="8723" width="2.33203125" style="5" customWidth="1"/>
    <col min="8724" max="8724" width="0.83203125" style="5" customWidth="1"/>
    <col min="8725" max="8725" width="3.1640625" style="5" customWidth="1"/>
    <col min="8726" max="8726" width="3.5" style="5" customWidth="1"/>
    <col min="8727" max="8727" width="3.1640625" style="5" customWidth="1"/>
    <col min="8728" max="8728" width="2.33203125" style="5" customWidth="1"/>
    <col min="8729" max="8729" width="0.83203125" style="5" customWidth="1"/>
    <col min="8730" max="8730" width="2.5" style="5" customWidth="1"/>
    <col min="8731" max="8731" width="6.6640625" style="5" customWidth="1"/>
    <col min="8732" max="8732" width="0.33203125" style="5" customWidth="1"/>
    <col min="8733" max="8733" width="0.1640625" style="5" customWidth="1"/>
    <col min="8734" max="8734" width="2.33203125" style="5" customWidth="1"/>
    <col min="8735" max="8735" width="0.83203125" style="5" customWidth="1"/>
    <col min="8736" max="8736" width="2.6640625" style="5" customWidth="1"/>
    <col min="8737" max="8737" width="1" style="5" customWidth="1"/>
    <col min="8738" max="8738" width="4.33203125" style="5" customWidth="1"/>
    <col min="8739" max="8739" width="1.6640625" style="5" customWidth="1"/>
    <col min="8740" max="8740" width="1.33203125" style="5" customWidth="1"/>
    <col min="8741" max="8741" width="1" style="5" customWidth="1"/>
    <col min="8742" max="8742" width="0.83203125" style="5" customWidth="1"/>
    <col min="8743" max="8743" width="1.5" style="5" customWidth="1"/>
    <col min="8744" max="8744" width="1" style="5" customWidth="1"/>
    <col min="8745" max="8745" width="2.5" style="5" customWidth="1"/>
    <col min="8746" max="8746" width="3.6640625" style="5" customWidth="1"/>
    <col min="8747" max="8749" width="0.1640625" style="5" customWidth="1"/>
    <col min="8750" max="8750" width="0.33203125" style="5" customWidth="1"/>
    <col min="8751" max="8751" width="2.33203125" style="5" customWidth="1"/>
    <col min="8752" max="8752" width="0.1640625" style="5" customWidth="1"/>
    <col min="8753" max="8753" width="0.6640625" style="5" customWidth="1"/>
    <col min="8754" max="8754" width="0.33203125" style="5" customWidth="1"/>
    <col min="8755" max="8755" width="0.5" style="5" customWidth="1"/>
    <col min="8756" max="8756" width="7.1640625" style="5" customWidth="1"/>
    <col min="8757" max="8757" width="1.1640625" style="5" customWidth="1"/>
    <col min="8758" max="8758" width="0.33203125" style="5" customWidth="1"/>
    <col min="8759" max="8759" width="2.33203125" style="5" customWidth="1"/>
    <col min="8760" max="8760" width="0.83203125" style="5" customWidth="1"/>
    <col min="8761" max="8761" width="2.33203125" style="5" customWidth="1"/>
    <col min="8762" max="8762" width="7.33203125" style="5" customWidth="1"/>
    <col min="8763" max="8763" width="2.33203125" style="5" customWidth="1"/>
    <col min="8764" max="8764" width="0.83203125" style="5" customWidth="1"/>
    <col min="8765" max="8765" width="1.1640625" style="5" customWidth="1"/>
    <col min="8766" max="8766" width="8.5" style="5" customWidth="1"/>
    <col min="8767" max="8767" width="2.33203125" style="5" customWidth="1"/>
    <col min="8768" max="8768" width="0.83203125" style="5" customWidth="1"/>
    <col min="8769" max="8769" width="1" style="5" customWidth="1"/>
    <col min="8770" max="8770" width="7.5" style="5" customWidth="1"/>
    <col min="8771" max="8771" width="1.1640625" style="5" customWidth="1"/>
    <col min="8772" max="8960" width="10.83203125" style="5"/>
    <col min="8961" max="8961" width="0.5" style="5" customWidth="1"/>
    <col min="8962" max="8962" width="0.33203125" style="5" customWidth="1"/>
    <col min="8963" max="8963" width="1.5" style="5" customWidth="1"/>
    <col min="8964" max="8964" width="0.33203125" style="5" customWidth="1"/>
    <col min="8965" max="8965" width="0.5" style="5" customWidth="1"/>
    <col min="8966" max="8968" width="2" style="5" customWidth="1"/>
    <col min="8969" max="8969" width="0.1640625" style="5" customWidth="1"/>
    <col min="8970" max="8970" width="2" style="5" customWidth="1"/>
    <col min="8971" max="8973" width="0.1640625" style="5" customWidth="1"/>
    <col min="8974" max="8974" width="13.1640625" style="5" customWidth="1"/>
    <col min="8975" max="8975" width="3" style="5" customWidth="1"/>
    <col min="8976" max="8976" width="11" style="5" customWidth="1"/>
    <col min="8977" max="8977" width="1" style="5" customWidth="1"/>
    <col min="8978" max="8978" width="2.1640625" style="5" customWidth="1"/>
    <col min="8979" max="8979" width="2.33203125" style="5" customWidth="1"/>
    <col min="8980" max="8980" width="0.83203125" style="5" customWidth="1"/>
    <col min="8981" max="8981" width="3.1640625" style="5" customWidth="1"/>
    <col min="8982" max="8982" width="3.5" style="5" customWidth="1"/>
    <col min="8983" max="8983" width="3.1640625" style="5" customWidth="1"/>
    <col min="8984" max="8984" width="2.33203125" style="5" customWidth="1"/>
    <col min="8985" max="8985" width="0.83203125" style="5" customWidth="1"/>
    <col min="8986" max="8986" width="2.5" style="5" customWidth="1"/>
    <col min="8987" max="8987" width="6.6640625" style="5" customWidth="1"/>
    <col min="8988" max="8988" width="0.33203125" style="5" customWidth="1"/>
    <col min="8989" max="8989" width="0.1640625" style="5" customWidth="1"/>
    <col min="8990" max="8990" width="2.33203125" style="5" customWidth="1"/>
    <col min="8991" max="8991" width="0.83203125" style="5" customWidth="1"/>
    <col min="8992" max="8992" width="2.6640625" style="5" customWidth="1"/>
    <col min="8993" max="8993" width="1" style="5" customWidth="1"/>
    <col min="8994" max="8994" width="4.33203125" style="5" customWidth="1"/>
    <col min="8995" max="8995" width="1.6640625" style="5" customWidth="1"/>
    <col min="8996" max="8996" width="1.33203125" style="5" customWidth="1"/>
    <col min="8997" max="8997" width="1" style="5" customWidth="1"/>
    <col min="8998" max="8998" width="0.83203125" style="5" customWidth="1"/>
    <col min="8999" max="8999" width="1.5" style="5" customWidth="1"/>
    <col min="9000" max="9000" width="1" style="5" customWidth="1"/>
    <col min="9001" max="9001" width="2.5" style="5" customWidth="1"/>
    <col min="9002" max="9002" width="3.6640625" style="5" customWidth="1"/>
    <col min="9003" max="9005" width="0.1640625" style="5" customWidth="1"/>
    <col min="9006" max="9006" width="0.33203125" style="5" customWidth="1"/>
    <col min="9007" max="9007" width="2.33203125" style="5" customWidth="1"/>
    <col min="9008" max="9008" width="0.1640625" style="5" customWidth="1"/>
    <col min="9009" max="9009" width="0.6640625" style="5" customWidth="1"/>
    <col min="9010" max="9010" width="0.33203125" style="5" customWidth="1"/>
    <col min="9011" max="9011" width="0.5" style="5" customWidth="1"/>
    <col min="9012" max="9012" width="7.1640625" style="5" customWidth="1"/>
    <col min="9013" max="9013" width="1.1640625" style="5" customWidth="1"/>
    <col min="9014" max="9014" width="0.33203125" style="5" customWidth="1"/>
    <col min="9015" max="9015" width="2.33203125" style="5" customWidth="1"/>
    <col min="9016" max="9016" width="0.83203125" style="5" customWidth="1"/>
    <col min="9017" max="9017" width="2.33203125" style="5" customWidth="1"/>
    <col min="9018" max="9018" width="7.33203125" style="5" customWidth="1"/>
    <col min="9019" max="9019" width="2.33203125" style="5" customWidth="1"/>
    <col min="9020" max="9020" width="0.83203125" style="5" customWidth="1"/>
    <col min="9021" max="9021" width="1.1640625" style="5" customWidth="1"/>
    <col min="9022" max="9022" width="8.5" style="5" customWidth="1"/>
    <col min="9023" max="9023" width="2.33203125" style="5" customWidth="1"/>
    <col min="9024" max="9024" width="0.83203125" style="5" customWidth="1"/>
    <col min="9025" max="9025" width="1" style="5" customWidth="1"/>
    <col min="9026" max="9026" width="7.5" style="5" customWidth="1"/>
    <col min="9027" max="9027" width="1.1640625" style="5" customWidth="1"/>
    <col min="9028" max="9216" width="10.83203125" style="5"/>
    <col min="9217" max="9217" width="0.5" style="5" customWidth="1"/>
    <col min="9218" max="9218" width="0.33203125" style="5" customWidth="1"/>
    <col min="9219" max="9219" width="1.5" style="5" customWidth="1"/>
    <col min="9220" max="9220" width="0.33203125" style="5" customWidth="1"/>
    <col min="9221" max="9221" width="0.5" style="5" customWidth="1"/>
    <col min="9222" max="9224" width="2" style="5" customWidth="1"/>
    <col min="9225" max="9225" width="0.1640625" style="5" customWidth="1"/>
    <col min="9226" max="9226" width="2" style="5" customWidth="1"/>
    <col min="9227" max="9229" width="0.1640625" style="5" customWidth="1"/>
    <col min="9230" max="9230" width="13.1640625" style="5" customWidth="1"/>
    <col min="9231" max="9231" width="3" style="5" customWidth="1"/>
    <col min="9232" max="9232" width="11" style="5" customWidth="1"/>
    <col min="9233" max="9233" width="1" style="5" customWidth="1"/>
    <col min="9234" max="9234" width="2.1640625" style="5" customWidth="1"/>
    <col min="9235" max="9235" width="2.33203125" style="5" customWidth="1"/>
    <col min="9236" max="9236" width="0.83203125" style="5" customWidth="1"/>
    <col min="9237" max="9237" width="3.1640625" style="5" customWidth="1"/>
    <col min="9238" max="9238" width="3.5" style="5" customWidth="1"/>
    <col min="9239" max="9239" width="3.1640625" style="5" customWidth="1"/>
    <col min="9240" max="9240" width="2.33203125" style="5" customWidth="1"/>
    <col min="9241" max="9241" width="0.83203125" style="5" customWidth="1"/>
    <col min="9242" max="9242" width="2.5" style="5" customWidth="1"/>
    <col min="9243" max="9243" width="6.6640625" style="5" customWidth="1"/>
    <col min="9244" max="9244" width="0.33203125" style="5" customWidth="1"/>
    <col min="9245" max="9245" width="0.1640625" style="5" customWidth="1"/>
    <col min="9246" max="9246" width="2.33203125" style="5" customWidth="1"/>
    <col min="9247" max="9247" width="0.83203125" style="5" customWidth="1"/>
    <col min="9248" max="9248" width="2.6640625" style="5" customWidth="1"/>
    <col min="9249" max="9249" width="1" style="5" customWidth="1"/>
    <col min="9250" max="9250" width="4.33203125" style="5" customWidth="1"/>
    <col min="9251" max="9251" width="1.6640625" style="5" customWidth="1"/>
    <col min="9252" max="9252" width="1.33203125" style="5" customWidth="1"/>
    <col min="9253" max="9253" width="1" style="5" customWidth="1"/>
    <col min="9254" max="9254" width="0.83203125" style="5" customWidth="1"/>
    <col min="9255" max="9255" width="1.5" style="5" customWidth="1"/>
    <col min="9256" max="9256" width="1" style="5" customWidth="1"/>
    <col min="9257" max="9257" width="2.5" style="5" customWidth="1"/>
    <col min="9258" max="9258" width="3.6640625" style="5" customWidth="1"/>
    <col min="9259" max="9261" width="0.1640625" style="5" customWidth="1"/>
    <col min="9262" max="9262" width="0.33203125" style="5" customWidth="1"/>
    <col min="9263" max="9263" width="2.33203125" style="5" customWidth="1"/>
    <col min="9264" max="9264" width="0.1640625" style="5" customWidth="1"/>
    <col min="9265" max="9265" width="0.6640625" style="5" customWidth="1"/>
    <col min="9266" max="9266" width="0.33203125" style="5" customWidth="1"/>
    <col min="9267" max="9267" width="0.5" style="5" customWidth="1"/>
    <col min="9268" max="9268" width="7.1640625" style="5" customWidth="1"/>
    <col min="9269" max="9269" width="1.1640625" style="5" customWidth="1"/>
    <col min="9270" max="9270" width="0.33203125" style="5" customWidth="1"/>
    <col min="9271" max="9271" width="2.33203125" style="5" customWidth="1"/>
    <col min="9272" max="9272" width="0.83203125" style="5" customWidth="1"/>
    <col min="9273" max="9273" width="2.33203125" style="5" customWidth="1"/>
    <col min="9274" max="9274" width="7.33203125" style="5" customWidth="1"/>
    <col min="9275" max="9275" width="2.33203125" style="5" customWidth="1"/>
    <col min="9276" max="9276" width="0.83203125" style="5" customWidth="1"/>
    <col min="9277" max="9277" width="1.1640625" style="5" customWidth="1"/>
    <col min="9278" max="9278" width="8.5" style="5" customWidth="1"/>
    <col min="9279" max="9279" width="2.33203125" style="5" customWidth="1"/>
    <col min="9280" max="9280" width="0.83203125" style="5" customWidth="1"/>
    <col min="9281" max="9281" width="1" style="5" customWidth="1"/>
    <col min="9282" max="9282" width="7.5" style="5" customWidth="1"/>
    <col min="9283" max="9283" width="1.1640625" style="5" customWidth="1"/>
    <col min="9284" max="9472" width="10.83203125" style="5"/>
    <col min="9473" max="9473" width="0.5" style="5" customWidth="1"/>
    <col min="9474" max="9474" width="0.33203125" style="5" customWidth="1"/>
    <col min="9475" max="9475" width="1.5" style="5" customWidth="1"/>
    <col min="9476" max="9476" width="0.33203125" style="5" customWidth="1"/>
    <col min="9477" max="9477" width="0.5" style="5" customWidth="1"/>
    <col min="9478" max="9480" width="2" style="5" customWidth="1"/>
    <col min="9481" max="9481" width="0.1640625" style="5" customWidth="1"/>
    <col min="9482" max="9482" width="2" style="5" customWidth="1"/>
    <col min="9483" max="9485" width="0.1640625" style="5" customWidth="1"/>
    <col min="9486" max="9486" width="13.1640625" style="5" customWidth="1"/>
    <col min="9487" max="9487" width="3" style="5" customWidth="1"/>
    <col min="9488" max="9488" width="11" style="5" customWidth="1"/>
    <col min="9489" max="9489" width="1" style="5" customWidth="1"/>
    <col min="9490" max="9490" width="2.1640625" style="5" customWidth="1"/>
    <col min="9491" max="9491" width="2.33203125" style="5" customWidth="1"/>
    <col min="9492" max="9492" width="0.83203125" style="5" customWidth="1"/>
    <col min="9493" max="9493" width="3.1640625" style="5" customWidth="1"/>
    <col min="9494" max="9494" width="3.5" style="5" customWidth="1"/>
    <col min="9495" max="9495" width="3.1640625" style="5" customWidth="1"/>
    <col min="9496" max="9496" width="2.33203125" style="5" customWidth="1"/>
    <col min="9497" max="9497" width="0.83203125" style="5" customWidth="1"/>
    <col min="9498" max="9498" width="2.5" style="5" customWidth="1"/>
    <col min="9499" max="9499" width="6.6640625" style="5" customWidth="1"/>
    <col min="9500" max="9500" width="0.33203125" style="5" customWidth="1"/>
    <col min="9501" max="9501" width="0.1640625" style="5" customWidth="1"/>
    <col min="9502" max="9502" width="2.33203125" style="5" customWidth="1"/>
    <col min="9503" max="9503" width="0.83203125" style="5" customWidth="1"/>
    <col min="9504" max="9504" width="2.6640625" style="5" customWidth="1"/>
    <col min="9505" max="9505" width="1" style="5" customWidth="1"/>
    <col min="9506" max="9506" width="4.33203125" style="5" customWidth="1"/>
    <col min="9507" max="9507" width="1.6640625" style="5" customWidth="1"/>
    <col min="9508" max="9508" width="1.33203125" style="5" customWidth="1"/>
    <col min="9509" max="9509" width="1" style="5" customWidth="1"/>
    <col min="9510" max="9510" width="0.83203125" style="5" customWidth="1"/>
    <col min="9511" max="9511" width="1.5" style="5" customWidth="1"/>
    <col min="9512" max="9512" width="1" style="5" customWidth="1"/>
    <col min="9513" max="9513" width="2.5" style="5" customWidth="1"/>
    <col min="9514" max="9514" width="3.6640625" style="5" customWidth="1"/>
    <col min="9515" max="9517" width="0.1640625" style="5" customWidth="1"/>
    <col min="9518" max="9518" width="0.33203125" style="5" customWidth="1"/>
    <col min="9519" max="9519" width="2.33203125" style="5" customWidth="1"/>
    <col min="9520" max="9520" width="0.1640625" style="5" customWidth="1"/>
    <col min="9521" max="9521" width="0.6640625" style="5" customWidth="1"/>
    <col min="9522" max="9522" width="0.33203125" style="5" customWidth="1"/>
    <col min="9523" max="9523" width="0.5" style="5" customWidth="1"/>
    <col min="9524" max="9524" width="7.1640625" style="5" customWidth="1"/>
    <col min="9525" max="9525" width="1.1640625" style="5" customWidth="1"/>
    <col min="9526" max="9526" width="0.33203125" style="5" customWidth="1"/>
    <col min="9527" max="9527" width="2.33203125" style="5" customWidth="1"/>
    <col min="9528" max="9528" width="0.83203125" style="5" customWidth="1"/>
    <col min="9529" max="9529" width="2.33203125" style="5" customWidth="1"/>
    <col min="9530" max="9530" width="7.33203125" style="5" customWidth="1"/>
    <col min="9531" max="9531" width="2.33203125" style="5" customWidth="1"/>
    <col min="9532" max="9532" width="0.83203125" style="5" customWidth="1"/>
    <col min="9533" max="9533" width="1.1640625" style="5" customWidth="1"/>
    <col min="9534" max="9534" width="8.5" style="5" customWidth="1"/>
    <col min="9535" max="9535" width="2.33203125" style="5" customWidth="1"/>
    <col min="9536" max="9536" width="0.83203125" style="5" customWidth="1"/>
    <col min="9537" max="9537" width="1" style="5" customWidth="1"/>
    <col min="9538" max="9538" width="7.5" style="5" customWidth="1"/>
    <col min="9539" max="9539" width="1.1640625" style="5" customWidth="1"/>
    <col min="9540" max="9728" width="10.83203125" style="5"/>
    <col min="9729" max="9729" width="0.5" style="5" customWidth="1"/>
    <col min="9730" max="9730" width="0.33203125" style="5" customWidth="1"/>
    <col min="9731" max="9731" width="1.5" style="5" customWidth="1"/>
    <col min="9732" max="9732" width="0.33203125" style="5" customWidth="1"/>
    <col min="9733" max="9733" width="0.5" style="5" customWidth="1"/>
    <col min="9734" max="9736" width="2" style="5" customWidth="1"/>
    <col min="9737" max="9737" width="0.1640625" style="5" customWidth="1"/>
    <col min="9738" max="9738" width="2" style="5" customWidth="1"/>
    <col min="9739" max="9741" width="0.1640625" style="5" customWidth="1"/>
    <col min="9742" max="9742" width="13.1640625" style="5" customWidth="1"/>
    <col min="9743" max="9743" width="3" style="5" customWidth="1"/>
    <col min="9744" max="9744" width="11" style="5" customWidth="1"/>
    <col min="9745" max="9745" width="1" style="5" customWidth="1"/>
    <col min="9746" max="9746" width="2.1640625" style="5" customWidth="1"/>
    <col min="9747" max="9747" width="2.33203125" style="5" customWidth="1"/>
    <col min="9748" max="9748" width="0.83203125" style="5" customWidth="1"/>
    <col min="9749" max="9749" width="3.1640625" style="5" customWidth="1"/>
    <col min="9750" max="9750" width="3.5" style="5" customWidth="1"/>
    <col min="9751" max="9751" width="3.1640625" style="5" customWidth="1"/>
    <col min="9752" max="9752" width="2.33203125" style="5" customWidth="1"/>
    <col min="9753" max="9753" width="0.83203125" style="5" customWidth="1"/>
    <col min="9754" max="9754" width="2.5" style="5" customWidth="1"/>
    <col min="9755" max="9755" width="6.6640625" style="5" customWidth="1"/>
    <col min="9756" max="9756" width="0.33203125" style="5" customWidth="1"/>
    <col min="9757" max="9757" width="0.1640625" style="5" customWidth="1"/>
    <col min="9758" max="9758" width="2.33203125" style="5" customWidth="1"/>
    <col min="9759" max="9759" width="0.83203125" style="5" customWidth="1"/>
    <col min="9760" max="9760" width="2.6640625" style="5" customWidth="1"/>
    <col min="9761" max="9761" width="1" style="5" customWidth="1"/>
    <col min="9762" max="9762" width="4.33203125" style="5" customWidth="1"/>
    <col min="9763" max="9763" width="1.6640625" style="5" customWidth="1"/>
    <col min="9764" max="9764" width="1.33203125" style="5" customWidth="1"/>
    <col min="9765" max="9765" width="1" style="5" customWidth="1"/>
    <col min="9766" max="9766" width="0.83203125" style="5" customWidth="1"/>
    <col min="9767" max="9767" width="1.5" style="5" customWidth="1"/>
    <col min="9768" max="9768" width="1" style="5" customWidth="1"/>
    <col min="9769" max="9769" width="2.5" style="5" customWidth="1"/>
    <col min="9770" max="9770" width="3.6640625" style="5" customWidth="1"/>
    <col min="9771" max="9773" width="0.1640625" style="5" customWidth="1"/>
    <col min="9774" max="9774" width="0.33203125" style="5" customWidth="1"/>
    <col min="9775" max="9775" width="2.33203125" style="5" customWidth="1"/>
    <col min="9776" max="9776" width="0.1640625" style="5" customWidth="1"/>
    <col min="9777" max="9777" width="0.6640625" style="5" customWidth="1"/>
    <col min="9778" max="9778" width="0.33203125" style="5" customWidth="1"/>
    <col min="9779" max="9779" width="0.5" style="5" customWidth="1"/>
    <col min="9780" max="9780" width="7.1640625" style="5" customWidth="1"/>
    <col min="9781" max="9781" width="1.1640625" style="5" customWidth="1"/>
    <col min="9782" max="9782" width="0.33203125" style="5" customWidth="1"/>
    <col min="9783" max="9783" width="2.33203125" style="5" customWidth="1"/>
    <col min="9784" max="9784" width="0.83203125" style="5" customWidth="1"/>
    <col min="9785" max="9785" width="2.33203125" style="5" customWidth="1"/>
    <col min="9786" max="9786" width="7.33203125" style="5" customWidth="1"/>
    <col min="9787" max="9787" width="2.33203125" style="5" customWidth="1"/>
    <col min="9788" max="9788" width="0.83203125" style="5" customWidth="1"/>
    <col min="9789" max="9789" width="1.1640625" style="5" customWidth="1"/>
    <col min="9790" max="9790" width="8.5" style="5" customWidth="1"/>
    <col min="9791" max="9791" width="2.33203125" style="5" customWidth="1"/>
    <col min="9792" max="9792" width="0.83203125" style="5" customWidth="1"/>
    <col min="9793" max="9793" width="1" style="5" customWidth="1"/>
    <col min="9794" max="9794" width="7.5" style="5" customWidth="1"/>
    <col min="9795" max="9795" width="1.1640625" style="5" customWidth="1"/>
    <col min="9796" max="9984" width="10.83203125" style="5"/>
    <col min="9985" max="9985" width="0.5" style="5" customWidth="1"/>
    <col min="9986" max="9986" width="0.33203125" style="5" customWidth="1"/>
    <col min="9987" max="9987" width="1.5" style="5" customWidth="1"/>
    <col min="9988" max="9988" width="0.33203125" style="5" customWidth="1"/>
    <col min="9989" max="9989" width="0.5" style="5" customWidth="1"/>
    <col min="9990" max="9992" width="2" style="5" customWidth="1"/>
    <col min="9993" max="9993" width="0.1640625" style="5" customWidth="1"/>
    <col min="9994" max="9994" width="2" style="5" customWidth="1"/>
    <col min="9995" max="9997" width="0.1640625" style="5" customWidth="1"/>
    <col min="9998" max="9998" width="13.1640625" style="5" customWidth="1"/>
    <col min="9999" max="9999" width="3" style="5" customWidth="1"/>
    <col min="10000" max="10000" width="11" style="5" customWidth="1"/>
    <col min="10001" max="10001" width="1" style="5" customWidth="1"/>
    <col min="10002" max="10002" width="2.1640625" style="5" customWidth="1"/>
    <col min="10003" max="10003" width="2.33203125" style="5" customWidth="1"/>
    <col min="10004" max="10004" width="0.83203125" style="5" customWidth="1"/>
    <col min="10005" max="10005" width="3.1640625" style="5" customWidth="1"/>
    <col min="10006" max="10006" width="3.5" style="5" customWidth="1"/>
    <col min="10007" max="10007" width="3.1640625" style="5" customWidth="1"/>
    <col min="10008" max="10008" width="2.33203125" style="5" customWidth="1"/>
    <col min="10009" max="10009" width="0.83203125" style="5" customWidth="1"/>
    <col min="10010" max="10010" width="2.5" style="5" customWidth="1"/>
    <col min="10011" max="10011" width="6.6640625" style="5" customWidth="1"/>
    <col min="10012" max="10012" width="0.33203125" style="5" customWidth="1"/>
    <col min="10013" max="10013" width="0.1640625" style="5" customWidth="1"/>
    <col min="10014" max="10014" width="2.33203125" style="5" customWidth="1"/>
    <col min="10015" max="10015" width="0.83203125" style="5" customWidth="1"/>
    <col min="10016" max="10016" width="2.6640625" style="5" customWidth="1"/>
    <col min="10017" max="10017" width="1" style="5" customWidth="1"/>
    <col min="10018" max="10018" width="4.33203125" style="5" customWidth="1"/>
    <col min="10019" max="10019" width="1.6640625" style="5" customWidth="1"/>
    <col min="10020" max="10020" width="1.33203125" style="5" customWidth="1"/>
    <col min="10021" max="10021" width="1" style="5" customWidth="1"/>
    <col min="10022" max="10022" width="0.83203125" style="5" customWidth="1"/>
    <col min="10023" max="10023" width="1.5" style="5" customWidth="1"/>
    <col min="10024" max="10024" width="1" style="5" customWidth="1"/>
    <col min="10025" max="10025" width="2.5" style="5" customWidth="1"/>
    <col min="10026" max="10026" width="3.6640625" style="5" customWidth="1"/>
    <col min="10027" max="10029" width="0.1640625" style="5" customWidth="1"/>
    <col min="10030" max="10030" width="0.33203125" style="5" customWidth="1"/>
    <col min="10031" max="10031" width="2.33203125" style="5" customWidth="1"/>
    <col min="10032" max="10032" width="0.1640625" style="5" customWidth="1"/>
    <col min="10033" max="10033" width="0.6640625" style="5" customWidth="1"/>
    <col min="10034" max="10034" width="0.33203125" style="5" customWidth="1"/>
    <col min="10035" max="10035" width="0.5" style="5" customWidth="1"/>
    <col min="10036" max="10036" width="7.1640625" style="5" customWidth="1"/>
    <col min="10037" max="10037" width="1.1640625" style="5" customWidth="1"/>
    <col min="10038" max="10038" width="0.33203125" style="5" customWidth="1"/>
    <col min="10039" max="10039" width="2.33203125" style="5" customWidth="1"/>
    <col min="10040" max="10040" width="0.83203125" style="5" customWidth="1"/>
    <col min="10041" max="10041" width="2.33203125" style="5" customWidth="1"/>
    <col min="10042" max="10042" width="7.33203125" style="5" customWidth="1"/>
    <col min="10043" max="10043" width="2.33203125" style="5" customWidth="1"/>
    <col min="10044" max="10044" width="0.83203125" style="5" customWidth="1"/>
    <col min="10045" max="10045" width="1.1640625" style="5" customWidth="1"/>
    <col min="10046" max="10046" width="8.5" style="5" customWidth="1"/>
    <col min="10047" max="10047" width="2.33203125" style="5" customWidth="1"/>
    <col min="10048" max="10048" width="0.83203125" style="5" customWidth="1"/>
    <col min="10049" max="10049" width="1" style="5" customWidth="1"/>
    <col min="10050" max="10050" width="7.5" style="5" customWidth="1"/>
    <col min="10051" max="10051" width="1.1640625" style="5" customWidth="1"/>
    <col min="10052" max="10240" width="10.83203125" style="5"/>
    <col min="10241" max="10241" width="0.5" style="5" customWidth="1"/>
    <col min="10242" max="10242" width="0.33203125" style="5" customWidth="1"/>
    <col min="10243" max="10243" width="1.5" style="5" customWidth="1"/>
    <col min="10244" max="10244" width="0.33203125" style="5" customWidth="1"/>
    <col min="10245" max="10245" width="0.5" style="5" customWidth="1"/>
    <col min="10246" max="10248" width="2" style="5" customWidth="1"/>
    <col min="10249" max="10249" width="0.1640625" style="5" customWidth="1"/>
    <col min="10250" max="10250" width="2" style="5" customWidth="1"/>
    <col min="10251" max="10253" width="0.1640625" style="5" customWidth="1"/>
    <col min="10254" max="10254" width="13.1640625" style="5" customWidth="1"/>
    <col min="10255" max="10255" width="3" style="5" customWidth="1"/>
    <col min="10256" max="10256" width="11" style="5" customWidth="1"/>
    <col min="10257" max="10257" width="1" style="5" customWidth="1"/>
    <col min="10258" max="10258" width="2.1640625" style="5" customWidth="1"/>
    <col min="10259" max="10259" width="2.33203125" style="5" customWidth="1"/>
    <col min="10260" max="10260" width="0.83203125" style="5" customWidth="1"/>
    <col min="10261" max="10261" width="3.1640625" style="5" customWidth="1"/>
    <col min="10262" max="10262" width="3.5" style="5" customWidth="1"/>
    <col min="10263" max="10263" width="3.1640625" style="5" customWidth="1"/>
    <col min="10264" max="10264" width="2.33203125" style="5" customWidth="1"/>
    <col min="10265" max="10265" width="0.83203125" style="5" customWidth="1"/>
    <col min="10266" max="10266" width="2.5" style="5" customWidth="1"/>
    <col min="10267" max="10267" width="6.6640625" style="5" customWidth="1"/>
    <col min="10268" max="10268" width="0.33203125" style="5" customWidth="1"/>
    <col min="10269" max="10269" width="0.1640625" style="5" customWidth="1"/>
    <col min="10270" max="10270" width="2.33203125" style="5" customWidth="1"/>
    <col min="10271" max="10271" width="0.83203125" style="5" customWidth="1"/>
    <col min="10272" max="10272" width="2.6640625" style="5" customWidth="1"/>
    <col min="10273" max="10273" width="1" style="5" customWidth="1"/>
    <col min="10274" max="10274" width="4.33203125" style="5" customWidth="1"/>
    <col min="10275" max="10275" width="1.6640625" style="5" customWidth="1"/>
    <col min="10276" max="10276" width="1.33203125" style="5" customWidth="1"/>
    <col min="10277" max="10277" width="1" style="5" customWidth="1"/>
    <col min="10278" max="10278" width="0.83203125" style="5" customWidth="1"/>
    <col min="10279" max="10279" width="1.5" style="5" customWidth="1"/>
    <col min="10280" max="10280" width="1" style="5" customWidth="1"/>
    <col min="10281" max="10281" width="2.5" style="5" customWidth="1"/>
    <col min="10282" max="10282" width="3.6640625" style="5" customWidth="1"/>
    <col min="10283" max="10285" width="0.1640625" style="5" customWidth="1"/>
    <col min="10286" max="10286" width="0.33203125" style="5" customWidth="1"/>
    <col min="10287" max="10287" width="2.33203125" style="5" customWidth="1"/>
    <col min="10288" max="10288" width="0.1640625" style="5" customWidth="1"/>
    <col min="10289" max="10289" width="0.6640625" style="5" customWidth="1"/>
    <col min="10290" max="10290" width="0.33203125" style="5" customWidth="1"/>
    <col min="10291" max="10291" width="0.5" style="5" customWidth="1"/>
    <col min="10292" max="10292" width="7.1640625" style="5" customWidth="1"/>
    <col min="10293" max="10293" width="1.1640625" style="5" customWidth="1"/>
    <col min="10294" max="10294" width="0.33203125" style="5" customWidth="1"/>
    <col min="10295" max="10295" width="2.33203125" style="5" customWidth="1"/>
    <col min="10296" max="10296" width="0.83203125" style="5" customWidth="1"/>
    <col min="10297" max="10297" width="2.33203125" style="5" customWidth="1"/>
    <col min="10298" max="10298" width="7.33203125" style="5" customWidth="1"/>
    <col min="10299" max="10299" width="2.33203125" style="5" customWidth="1"/>
    <col min="10300" max="10300" width="0.83203125" style="5" customWidth="1"/>
    <col min="10301" max="10301" width="1.1640625" style="5" customWidth="1"/>
    <col min="10302" max="10302" width="8.5" style="5" customWidth="1"/>
    <col min="10303" max="10303" width="2.33203125" style="5" customWidth="1"/>
    <col min="10304" max="10304" width="0.83203125" style="5" customWidth="1"/>
    <col min="10305" max="10305" width="1" style="5" customWidth="1"/>
    <col min="10306" max="10306" width="7.5" style="5" customWidth="1"/>
    <col min="10307" max="10307" width="1.1640625" style="5" customWidth="1"/>
    <col min="10308" max="10496" width="10.83203125" style="5"/>
    <col min="10497" max="10497" width="0.5" style="5" customWidth="1"/>
    <col min="10498" max="10498" width="0.33203125" style="5" customWidth="1"/>
    <col min="10499" max="10499" width="1.5" style="5" customWidth="1"/>
    <col min="10500" max="10500" width="0.33203125" style="5" customWidth="1"/>
    <col min="10501" max="10501" width="0.5" style="5" customWidth="1"/>
    <col min="10502" max="10504" width="2" style="5" customWidth="1"/>
    <col min="10505" max="10505" width="0.1640625" style="5" customWidth="1"/>
    <col min="10506" max="10506" width="2" style="5" customWidth="1"/>
    <col min="10507" max="10509" width="0.1640625" style="5" customWidth="1"/>
    <col min="10510" max="10510" width="13.1640625" style="5" customWidth="1"/>
    <col min="10511" max="10511" width="3" style="5" customWidth="1"/>
    <col min="10512" max="10512" width="11" style="5" customWidth="1"/>
    <col min="10513" max="10513" width="1" style="5" customWidth="1"/>
    <col min="10514" max="10514" width="2.1640625" style="5" customWidth="1"/>
    <col min="10515" max="10515" width="2.33203125" style="5" customWidth="1"/>
    <col min="10516" max="10516" width="0.83203125" style="5" customWidth="1"/>
    <col min="10517" max="10517" width="3.1640625" style="5" customWidth="1"/>
    <col min="10518" max="10518" width="3.5" style="5" customWidth="1"/>
    <col min="10519" max="10519" width="3.1640625" style="5" customWidth="1"/>
    <col min="10520" max="10520" width="2.33203125" style="5" customWidth="1"/>
    <col min="10521" max="10521" width="0.83203125" style="5" customWidth="1"/>
    <col min="10522" max="10522" width="2.5" style="5" customWidth="1"/>
    <col min="10523" max="10523" width="6.6640625" style="5" customWidth="1"/>
    <col min="10524" max="10524" width="0.33203125" style="5" customWidth="1"/>
    <col min="10525" max="10525" width="0.1640625" style="5" customWidth="1"/>
    <col min="10526" max="10526" width="2.33203125" style="5" customWidth="1"/>
    <col min="10527" max="10527" width="0.83203125" style="5" customWidth="1"/>
    <col min="10528" max="10528" width="2.6640625" style="5" customWidth="1"/>
    <col min="10529" max="10529" width="1" style="5" customWidth="1"/>
    <col min="10530" max="10530" width="4.33203125" style="5" customWidth="1"/>
    <col min="10531" max="10531" width="1.6640625" style="5" customWidth="1"/>
    <col min="10532" max="10532" width="1.33203125" style="5" customWidth="1"/>
    <col min="10533" max="10533" width="1" style="5" customWidth="1"/>
    <col min="10534" max="10534" width="0.83203125" style="5" customWidth="1"/>
    <col min="10535" max="10535" width="1.5" style="5" customWidth="1"/>
    <col min="10536" max="10536" width="1" style="5" customWidth="1"/>
    <col min="10537" max="10537" width="2.5" style="5" customWidth="1"/>
    <col min="10538" max="10538" width="3.6640625" style="5" customWidth="1"/>
    <col min="10539" max="10541" width="0.1640625" style="5" customWidth="1"/>
    <col min="10542" max="10542" width="0.33203125" style="5" customWidth="1"/>
    <col min="10543" max="10543" width="2.33203125" style="5" customWidth="1"/>
    <col min="10544" max="10544" width="0.1640625" style="5" customWidth="1"/>
    <col min="10545" max="10545" width="0.6640625" style="5" customWidth="1"/>
    <col min="10546" max="10546" width="0.33203125" style="5" customWidth="1"/>
    <col min="10547" max="10547" width="0.5" style="5" customWidth="1"/>
    <col min="10548" max="10548" width="7.1640625" style="5" customWidth="1"/>
    <col min="10549" max="10549" width="1.1640625" style="5" customWidth="1"/>
    <col min="10550" max="10550" width="0.33203125" style="5" customWidth="1"/>
    <col min="10551" max="10551" width="2.33203125" style="5" customWidth="1"/>
    <col min="10552" max="10552" width="0.83203125" style="5" customWidth="1"/>
    <col min="10553" max="10553" width="2.33203125" style="5" customWidth="1"/>
    <col min="10554" max="10554" width="7.33203125" style="5" customWidth="1"/>
    <col min="10555" max="10555" width="2.33203125" style="5" customWidth="1"/>
    <col min="10556" max="10556" width="0.83203125" style="5" customWidth="1"/>
    <col min="10557" max="10557" width="1.1640625" style="5" customWidth="1"/>
    <col min="10558" max="10558" width="8.5" style="5" customWidth="1"/>
    <col min="10559" max="10559" width="2.33203125" style="5" customWidth="1"/>
    <col min="10560" max="10560" width="0.83203125" style="5" customWidth="1"/>
    <col min="10561" max="10561" width="1" style="5" customWidth="1"/>
    <col min="10562" max="10562" width="7.5" style="5" customWidth="1"/>
    <col min="10563" max="10563" width="1.1640625" style="5" customWidth="1"/>
    <col min="10564" max="10752" width="10.83203125" style="5"/>
    <col min="10753" max="10753" width="0.5" style="5" customWidth="1"/>
    <col min="10754" max="10754" width="0.33203125" style="5" customWidth="1"/>
    <col min="10755" max="10755" width="1.5" style="5" customWidth="1"/>
    <col min="10756" max="10756" width="0.33203125" style="5" customWidth="1"/>
    <col min="10757" max="10757" width="0.5" style="5" customWidth="1"/>
    <col min="10758" max="10760" width="2" style="5" customWidth="1"/>
    <col min="10761" max="10761" width="0.1640625" style="5" customWidth="1"/>
    <col min="10762" max="10762" width="2" style="5" customWidth="1"/>
    <col min="10763" max="10765" width="0.1640625" style="5" customWidth="1"/>
    <col min="10766" max="10766" width="13.1640625" style="5" customWidth="1"/>
    <col min="10767" max="10767" width="3" style="5" customWidth="1"/>
    <col min="10768" max="10768" width="11" style="5" customWidth="1"/>
    <col min="10769" max="10769" width="1" style="5" customWidth="1"/>
    <col min="10770" max="10770" width="2.1640625" style="5" customWidth="1"/>
    <col min="10771" max="10771" width="2.33203125" style="5" customWidth="1"/>
    <col min="10772" max="10772" width="0.83203125" style="5" customWidth="1"/>
    <col min="10773" max="10773" width="3.1640625" style="5" customWidth="1"/>
    <col min="10774" max="10774" width="3.5" style="5" customWidth="1"/>
    <col min="10775" max="10775" width="3.1640625" style="5" customWidth="1"/>
    <col min="10776" max="10776" width="2.33203125" style="5" customWidth="1"/>
    <col min="10777" max="10777" width="0.83203125" style="5" customWidth="1"/>
    <col min="10778" max="10778" width="2.5" style="5" customWidth="1"/>
    <col min="10779" max="10779" width="6.6640625" style="5" customWidth="1"/>
    <col min="10780" max="10780" width="0.33203125" style="5" customWidth="1"/>
    <col min="10781" max="10781" width="0.1640625" style="5" customWidth="1"/>
    <col min="10782" max="10782" width="2.33203125" style="5" customWidth="1"/>
    <col min="10783" max="10783" width="0.83203125" style="5" customWidth="1"/>
    <col min="10784" max="10784" width="2.6640625" style="5" customWidth="1"/>
    <col min="10785" max="10785" width="1" style="5" customWidth="1"/>
    <col min="10786" max="10786" width="4.33203125" style="5" customWidth="1"/>
    <col min="10787" max="10787" width="1.6640625" style="5" customWidth="1"/>
    <col min="10788" max="10788" width="1.33203125" style="5" customWidth="1"/>
    <col min="10789" max="10789" width="1" style="5" customWidth="1"/>
    <col min="10790" max="10790" width="0.83203125" style="5" customWidth="1"/>
    <col min="10791" max="10791" width="1.5" style="5" customWidth="1"/>
    <col min="10792" max="10792" width="1" style="5" customWidth="1"/>
    <col min="10793" max="10793" width="2.5" style="5" customWidth="1"/>
    <col min="10794" max="10794" width="3.6640625" style="5" customWidth="1"/>
    <col min="10795" max="10797" width="0.1640625" style="5" customWidth="1"/>
    <col min="10798" max="10798" width="0.33203125" style="5" customWidth="1"/>
    <col min="10799" max="10799" width="2.33203125" style="5" customWidth="1"/>
    <col min="10800" max="10800" width="0.1640625" style="5" customWidth="1"/>
    <col min="10801" max="10801" width="0.6640625" style="5" customWidth="1"/>
    <col min="10802" max="10802" width="0.33203125" style="5" customWidth="1"/>
    <col min="10803" max="10803" width="0.5" style="5" customWidth="1"/>
    <col min="10804" max="10804" width="7.1640625" style="5" customWidth="1"/>
    <col min="10805" max="10805" width="1.1640625" style="5" customWidth="1"/>
    <col min="10806" max="10806" width="0.33203125" style="5" customWidth="1"/>
    <col min="10807" max="10807" width="2.33203125" style="5" customWidth="1"/>
    <col min="10808" max="10808" width="0.83203125" style="5" customWidth="1"/>
    <col min="10809" max="10809" width="2.33203125" style="5" customWidth="1"/>
    <col min="10810" max="10810" width="7.33203125" style="5" customWidth="1"/>
    <col min="10811" max="10811" width="2.33203125" style="5" customWidth="1"/>
    <col min="10812" max="10812" width="0.83203125" style="5" customWidth="1"/>
    <col min="10813" max="10813" width="1.1640625" style="5" customWidth="1"/>
    <col min="10814" max="10814" width="8.5" style="5" customWidth="1"/>
    <col min="10815" max="10815" width="2.33203125" style="5" customWidth="1"/>
    <col min="10816" max="10816" width="0.83203125" style="5" customWidth="1"/>
    <col min="10817" max="10817" width="1" style="5" customWidth="1"/>
    <col min="10818" max="10818" width="7.5" style="5" customWidth="1"/>
    <col min="10819" max="10819" width="1.1640625" style="5" customWidth="1"/>
    <col min="10820" max="11008" width="10.83203125" style="5"/>
    <col min="11009" max="11009" width="0.5" style="5" customWidth="1"/>
    <col min="11010" max="11010" width="0.33203125" style="5" customWidth="1"/>
    <col min="11011" max="11011" width="1.5" style="5" customWidth="1"/>
    <col min="11012" max="11012" width="0.33203125" style="5" customWidth="1"/>
    <col min="11013" max="11013" width="0.5" style="5" customWidth="1"/>
    <col min="11014" max="11016" width="2" style="5" customWidth="1"/>
    <col min="11017" max="11017" width="0.1640625" style="5" customWidth="1"/>
    <col min="11018" max="11018" width="2" style="5" customWidth="1"/>
    <col min="11019" max="11021" width="0.1640625" style="5" customWidth="1"/>
    <col min="11022" max="11022" width="13.1640625" style="5" customWidth="1"/>
    <col min="11023" max="11023" width="3" style="5" customWidth="1"/>
    <col min="11024" max="11024" width="11" style="5" customWidth="1"/>
    <col min="11025" max="11025" width="1" style="5" customWidth="1"/>
    <col min="11026" max="11026" width="2.1640625" style="5" customWidth="1"/>
    <col min="11027" max="11027" width="2.33203125" style="5" customWidth="1"/>
    <col min="11028" max="11028" width="0.83203125" style="5" customWidth="1"/>
    <col min="11029" max="11029" width="3.1640625" style="5" customWidth="1"/>
    <col min="11030" max="11030" width="3.5" style="5" customWidth="1"/>
    <col min="11031" max="11031" width="3.1640625" style="5" customWidth="1"/>
    <col min="11032" max="11032" width="2.33203125" style="5" customWidth="1"/>
    <col min="11033" max="11033" width="0.83203125" style="5" customWidth="1"/>
    <col min="11034" max="11034" width="2.5" style="5" customWidth="1"/>
    <col min="11035" max="11035" width="6.6640625" style="5" customWidth="1"/>
    <col min="11036" max="11036" width="0.33203125" style="5" customWidth="1"/>
    <col min="11037" max="11037" width="0.1640625" style="5" customWidth="1"/>
    <col min="11038" max="11038" width="2.33203125" style="5" customWidth="1"/>
    <col min="11039" max="11039" width="0.83203125" style="5" customWidth="1"/>
    <col min="11040" max="11040" width="2.6640625" style="5" customWidth="1"/>
    <col min="11041" max="11041" width="1" style="5" customWidth="1"/>
    <col min="11042" max="11042" width="4.33203125" style="5" customWidth="1"/>
    <col min="11043" max="11043" width="1.6640625" style="5" customWidth="1"/>
    <col min="11044" max="11044" width="1.33203125" style="5" customWidth="1"/>
    <col min="11045" max="11045" width="1" style="5" customWidth="1"/>
    <col min="11046" max="11046" width="0.83203125" style="5" customWidth="1"/>
    <col min="11047" max="11047" width="1.5" style="5" customWidth="1"/>
    <col min="11048" max="11048" width="1" style="5" customWidth="1"/>
    <col min="11049" max="11049" width="2.5" style="5" customWidth="1"/>
    <col min="11050" max="11050" width="3.6640625" style="5" customWidth="1"/>
    <col min="11051" max="11053" width="0.1640625" style="5" customWidth="1"/>
    <col min="11054" max="11054" width="0.33203125" style="5" customWidth="1"/>
    <col min="11055" max="11055" width="2.33203125" style="5" customWidth="1"/>
    <col min="11056" max="11056" width="0.1640625" style="5" customWidth="1"/>
    <col min="11057" max="11057" width="0.6640625" style="5" customWidth="1"/>
    <col min="11058" max="11058" width="0.33203125" style="5" customWidth="1"/>
    <col min="11059" max="11059" width="0.5" style="5" customWidth="1"/>
    <col min="11060" max="11060" width="7.1640625" style="5" customWidth="1"/>
    <col min="11061" max="11061" width="1.1640625" style="5" customWidth="1"/>
    <col min="11062" max="11062" width="0.33203125" style="5" customWidth="1"/>
    <col min="11063" max="11063" width="2.33203125" style="5" customWidth="1"/>
    <col min="11064" max="11064" width="0.83203125" style="5" customWidth="1"/>
    <col min="11065" max="11065" width="2.33203125" style="5" customWidth="1"/>
    <col min="11066" max="11066" width="7.33203125" style="5" customWidth="1"/>
    <col min="11067" max="11067" width="2.33203125" style="5" customWidth="1"/>
    <col min="11068" max="11068" width="0.83203125" style="5" customWidth="1"/>
    <col min="11069" max="11069" width="1.1640625" style="5" customWidth="1"/>
    <col min="11070" max="11070" width="8.5" style="5" customWidth="1"/>
    <col min="11071" max="11071" width="2.33203125" style="5" customWidth="1"/>
    <col min="11072" max="11072" width="0.83203125" style="5" customWidth="1"/>
    <col min="11073" max="11073" width="1" style="5" customWidth="1"/>
    <col min="11074" max="11074" width="7.5" style="5" customWidth="1"/>
    <col min="11075" max="11075" width="1.1640625" style="5" customWidth="1"/>
    <col min="11076" max="11264" width="10.83203125" style="5"/>
    <col min="11265" max="11265" width="0.5" style="5" customWidth="1"/>
    <col min="11266" max="11266" width="0.33203125" style="5" customWidth="1"/>
    <col min="11267" max="11267" width="1.5" style="5" customWidth="1"/>
    <col min="11268" max="11268" width="0.33203125" style="5" customWidth="1"/>
    <col min="11269" max="11269" width="0.5" style="5" customWidth="1"/>
    <col min="11270" max="11272" width="2" style="5" customWidth="1"/>
    <col min="11273" max="11273" width="0.1640625" style="5" customWidth="1"/>
    <col min="11274" max="11274" width="2" style="5" customWidth="1"/>
    <col min="11275" max="11277" width="0.1640625" style="5" customWidth="1"/>
    <col min="11278" max="11278" width="13.1640625" style="5" customWidth="1"/>
    <col min="11279" max="11279" width="3" style="5" customWidth="1"/>
    <col min="11280" max="11280" width="11" style="5" customWidth="1"/>
    <col min="11281" max="11281" width="1" style="5" customWidth="1"/>
    <col min="11282" max="11282" width="2.1640625" style="5" customWidth="1"/>
    <col min="11283" max="11283" width="2.33203125" style="5" customWidth="1"/>
    <col min="11284" max="11284" width="0.83203125" style="5" customWidth="1"/>
    <col min="11285" max="11285" width="3.1640625" style="5" customWidth="1"/>
    <col min="11286" max="11286" width="3.5" style="5" customWidth="1"/>
    <col min="11287" max="11287" width="3.1640625" style="5" customWidth="1"/>
    <col min="11288" max="11288" width="2.33203125" style="5" customWidth="1"/>
    <col min="11289" max="11289" width="0.83203125" style="5" customWidth="1"/>
    <col min="11290" max="11290" width="2.5" style="5" customWidth="1"/>
    <col min="11291" max="11291" width="6.6640625" style="5" customWidth="1"/>
    <col min="11292" max="11292" width="0.33203125" style="5" customWidth="1"/>
    <col min="11293" max="11293" width="0.1640625" style="5" customWidth="1"/>
    <col min="11294" max="11294" width="2.33203125" style="5" customWidth="1"/>
    <col min="11295" max="11295" width="0.83203125" style="5" customWidth="1"/>
    <col min="11296" max="11296" width="2.6640625" style="5" customWidth="1"/>
    <col min="11297" max="11297" width="1" style="5" customWidth="1"/>
    <col min="11298" max="11298" width="4.33203125" style="5" customWidth="1"/>
    <col min="11299" max="11299" width="1.6640625" style="5" customWidth="1"/>
    <col min="11300" max="11300" width="1.33203125" style="5" customWidth="1"/>
    <col min="11301" max="11301" width="1" style="5" customWidth="1"/>
    <col min="11302" max="11302" width="0.83203125" style="5" customWidth="1"/>
    <col min="11303" max="11303" width="1.5" style="5" customWidth="1"/>
    <col min="11304" max="11304" width="1" style="5" customWidth="1"/>
    <col min="11305" max="11305" width="2.5" style="5" customWidth="1"/>
    <col min="11306" max="11306" width="3.6640625" style="5" customWidth="1"/>
    <col min="11307" max="11309" width="0.1640625" style="5" customWidth="1"/>
    <col min="11310" max="11310" width="0.33203125" style="5" customWidth="1"/>
    <col min="11311" max="11311" width="2.33203125" style="5" customWidth="1"/>
    <col min="11312" max="11312" width="0.1640625" style="5" customWidth="1"/>
    <col min="11313" max="11313" width="0.6640625" style="5" customWidth="1"/>
    <col min="11314" max="11314" width="0.33203125" style="5" customWidth="1"/>
    <col min="11315" max="11315" width="0.5" style="5" customWidth="1"/>
    <col min="11316" max="11316" width="7.1640625" style="5" customWidth="1"/>
    <col min="11317" max="11317" width="1.1640625" style="5" customWidth="1"/>
    <col min="11318" max="11318" width="0.33203125" style="5" customWidth="1"/>
    <col min="11319" max="11319" width="2.33203125" style="5" customWidth="1"/>
    <col min="11320" max="11320" width="0.83203125" style="5" customWidth="1"/>
    <col min="11321" max="11321" width="2.33203125" style="5" customWidth="1"/>
    <col min="11322" max="11322" width="7.33203125" style="5" customWidth="1"/>
    <col min="11323" max="11323" width="2.33203125" style="5" customWidth="1"/>
    <col min="11324" max="11324" width="0.83203125" style="5" customWidth="1"/>
    <col min="11325" max="11325" width="1.1640625" style="5" customWidth="1"/>
    <col min="11326" max="11326" width="8.5" style="5" customWidth="1"/>
    <col min="11327" max="11327" width="2.33203125" style="5" customWidth="1"/>
    <col min="11328" max="11328" width="0.83203125" style="5" customWidth="1"/>
    <col min="11329" max="11329" width="1" style="5" customWidth="1"/>
    <col min="11330" max="11330" width="7.5" style="5" customWidth="1"/>
    <col min="11331" max="11331" width="1.1640625" style="5" customWidth="1"/>
    <col min="11332" max="11520" width="10.83203125" style="5"/>
    <col min="11521" max="11521" width="0.5" style="5" customWidth="1"/>
    <col min="11522" max="11522" width="0.33203125" style="5" customWidth="1"/>
    <col min="11523" max="11523" width="1.5" style="5" customWidth="1"/>
    <col min="11524" max="11524" width="0.33203125" style="5" customWidth="1"/>
    <col min="11525" max="11525" width="0.5" style="5" customWidth="1"/>
    <col min="11526" max="11528" width="2" style="5" customWidth="1"/>
    <col min="11529" max="11529" width="0.1640625" style="5" customWidth="1"/>
    <col min="11530" max="11530" width="2" style="5" customWidth="1"/>
    <col min="11531" max="11533" width="0.1640625" style="5" customWidth="1"/>
    <col min="11534" max="11534" width="13.1640625" style="5" customWidth="1"/>
    <col min="11535" max="11535" width="3" style="5" customWidth="1"/>
    <col min="11536" max="11536" width="11" style="5" customWidth="1"/>
    <col min="11537" max="11537" width="1" style="5" customWidth="1"/>
    <col min="11538" max="11538" width="2.1640625" style="5" customWidth="1"/>
    <col min="11539" max="11539" width="2.33203125" style="5" customWidth="1"/>
    <col min="11540" max="11540" width="0.83203125" style="5" customWidth="1"/>
    <col min="11541" max="11541" width="3.1640625" style="5" customWidth="1"/>
    <col min="11542" max="11542" width="3.5" style="5" customWidth="1"/>
    <col min="11543" max="11543" width="3.1640625" style="5" customWidth="1"/>
    <col min="11544" max="11544" width="2.33203125" style="5" customWidth="1"/>
    <col min="11545" max="11545" width="0.83203125" style="5" customWidth="1"/>
    <col min="11546" max="11546" width="2.5" style="5" customWidth="1"/>
    <col min="11547" max="11547" width="6.6640625" style="5" customWidth="1"/>
    <col min="11548" max="11548" width="0.33203125" style="5" customWidth="1"/>
    <col min="11549" max="11549" width="0.1640625" style="5" customWidth="1"/>
    <col min="11550" max="11550" width="2.33203125" style="5" customWidth="1"/>
    <col min="11551" max="11551" width="0.83203125" style="5" customWidth="1"/>
    <col min="11552" max="11552" width="2.6640625" style="5" customWidth="1"/>
    <col min="11553" max="11553" width="1" style="5" customWidth="1"/>
    <col min="11554" max="11554" width="4.33203125" style="5" customWidth="1"/>
    <col min="11555" max="11555" width="1.6640625" style="5" customWidth="1"/>
    <col min="11556" max="11556" width="1.33203125" style="5" customWidth="1"/>
    <col min="11557" max="11557" width="1" style="5" customWidth="1"/>
    <col min="11558" max="11558" width="0.83203125" style="5" customWidth="1"/>
    <col min="11559" max="11559" width="1.5" style="5" customWidth="1"/>
    <col min="11560" max="11560" width="1" style="5" customWidth="1"/>
    <col min="11561" max="11561" width="2.5" style="5" customWidth="1"/>
    <col min="11562" max="11562" width="3.6640625" style="5" customWidth="1"/>
    <col min="11563" max="11565" width="0.1640625" style="5" customWidth="1"/>
    <col min="11566" max="11566" width="0.33203125" style="5" customWidth="1"/>
    <col min="11567" max="11567" width="2.33203125" style="5" customWidth="1"/>
    <col min="11568" max="11568" width="0.1640625" style="5" customWidth="1"/>
    <col min="11569" max="11569" width="0.6640625" style="5" customWidth="1"/>
    <col min="11570" max="11570" width="0.33203125" style="5" customWidth="1"/>
    <col min="11571" max="11571" width="0.5" style="5" customWidth="1"/>
    <col min="11572" max="11572" width="7.1640625" style="5" customWidth="1"/>
    <col min="11573" max="11573" width="1.1640625" style="5" customWidth="1"/>
    <col min="11574" max="11574" width="0.33203125" style="5" customWidth="1"/>
    <col min="11575" max="11575" width="2.33203125" style="5" customWidth="1"/>
    <col min="11576" max="11576" width="0.83203125" style="5" customWidth="1"/>
    <col min="11577" max="11577" width="2.33203125" style="5" customWidth="1"/>
    <col min="11578" max="11578" width="7.33203125" style="5" customWidth="1"/>
    <col min="11579" max="11579" width="2.33203125" style="5" customWidth="1"/>
    <col min="11580" max="11580" width="0.83203125" style="5" customWidth="1"/>
    <col min="11581" max="11581" width="1.1640625" style="5" customWidth="1"/>
    <col min="11582" max="11582" width="8.5" style="5" customWidth="1"/>
    <col min="11583" max="11583" width="2.33203125" style="5" customWidth="1"/>
    <col min="11584" max="11584" width="0.83203125" style="5" customWidth="1"/>
    <col min="11585" max="11585" width="1" style="5" customWidth="1"/>
    <col min="11586" max="11586" width="7.5" style="5" customWidth="1"/>
    <col min="11587" max="11587" width="1.1640625" style="5" customWidth="1"/>
    <col min="11588" max="11776" width="10.83203125" style="5"/>
    <col min="11777" max="11777" width="0.5" style="5" customWidth="1"/>
    <col min="11778" max="11778" width="0.33203125" style="5" customWidth="1"/>
    <col min="11779" max="11779" width="1.5" style="5" customWidth="1"/>
    <col min="11780" max="11780" width="0.33203125" style="5" customWidth="1"/>
    <col min="11781" max="11781" width="0.5" style="5" customWidth="1"/>
    <col min="11782" max="11784" width="2" style="5" customWidth="1"/>
    <col min="11785" max="11785" width="0.1640625" style="5" customWidth="1"/>
    <col min="11786" max="11786" width="2" style="5" customWidth="1"/>
    <col min="11787" max="11789" width="0.1640625" style="5" customWidth="1"/>
    <col min="11790" max="11790" width="13.1640625" style="5" customWidth="1"/>
    <col min="11791" max="11791" width="3" style="5" customWidth="1"/>
    <col min="11792" max="11792" width="11" style="5" customWidth="1"/>
    <col min="11793" max="11793" width="1" style="5" customWidth="1"/>
    <col min="11794" max="11794" width="2.1640625" style="5" customWidth="1"/>
    <col min="11795" max="11795" width="2.33203125" style="5" customWidth="1"/>
    <col min="11796" max="11796" width="0.83203125" style="5" customWidth="1"/>
    <col min="11797" max="11797" width="3.1640625" style="5" customWidth="1"/>
    <col min="11798" max="11798" width="3.5" style="5" customWidth="1"/>
    <col min="11799" max="11799" width="3.1640625" style="5" customWidth="1"/>
    <col min="11800" max="11800" width="2.33203125" style="5" customWidth="1"/>
    <col min="11801" max="11801" width="0.83203125" style="5" customWidth="1"/>
    <col min="11802" max="11802" width="2.5" style="5" customWidth="1"/>
    <col min="11803" max="11803" width="6.6640625" style="5" customWidth="1"/>
    <col min="11804" max="11804" width="0.33203125" style="5" customWidth="1"/>
    <col min="11805" max="11805" width="0.1640625" style="5" customWidth="1"/>
    <col min="11806" max="11806" width="2.33203125" style="5" customWidth="1"/>
    <col min="11807" max="11807" width="0.83203125" style="5" customWidth="1"/>
    <col min="11808" max="11808" width="2.6640625" style="5" customWidth="1"/>
    <col min="11809" max="11809" width="1" style="5" customWidth="1"/>
    <col min="11810" max="11810" width="4.33203125" style="5" customWidth="1"/>
    <col min="11811" max="11811" width="1.6640625" style="5" customWidth="1"/>
    <col min="11812" max="11812" width="1.33203125" style="5" customWidth="1"/>
    <col min="11813" max="11813" width="1" style="5" customWidth="1"/>
    <col min="11814" max="11814" width="0.83203125" style="5" customWidth="1"/>
    <col min="11815" max="11815" width="1.5" style="5" customWidth="1"/>
    <col min="11816" max="11816" width="1" style="5" customWidth="1"/>
    <col min="11817" max="11817" width="2.5" style="5" customWidth="1"/>
    <col min="11818" max="11818" width="3.6640625" style="5" customWidth="1"/>
    <col min="11819" max="11821" width="0.1640625" style="5" customWidth="1"/>
    <col min="11822" max="11822" width="0.33203125" style="5" customWidth="1"/>
    <col min="11823" max="11823" width="2.33203125" style="5" customWidth="1"/>
    <col min="11824" max="11824" width="0.1640625" style="5" customWidth="1"/>
    <col min="11825" max="11825" width="0.6640625" style="5" customWidth="1"/>
    <col min="11826" max="11826" width="0.33203125" style="5" customWidth="1"/>
    <col min="11827" max="11827" width="0.5" style="5" customWidth="1"/>
    <col min="11828" max="11828" width="7.1640625" style="5" customWidth="1"/>
    <col min="11829" max="11829" width="1.1640625" style="5" customWidth="1"/>
    <col min="11830" max="11830" width="0.33203125" style="5" customWidth="1"/>
    <col min="11831" max="11831" width="2.33203125" style="5" customWidth="1"/>
    <col min="11832" max="11832" width="0.83203125" style="5" customWidth="1"/>
    <col min="11833" max="11833" width="2.33203125" style="5" customWidth="1"/>
    <col min="11834" max="11834" width="7.33203125" style="5" customWidth="1"/>
    <col min="11835" max="11835" width="2.33203125" style="5" customWidth="1"/>
    <col min="11836" max="11836" width="0.83203125" style="5" customWidth="1"/>
    <col min="11837" max="11837" width="1.1640625" style="5" customWidth="1"/>
    <col min="11838" max="11838" width="8.5" style="5" customWidth="1"/>
    <col min="11839" max="11839" width="2.33203125" style="5" customWidth="1"/>
    <col min="11840" max="11840" width="0.83203125" style="5" customWidth="1"/>
    <col min="11841" max="11841" width="1" style="5" customWidth="1"/>
    <col min="11842" max="11842" width="7.5" style="5" customWidth="1"/>
    <col min="11843" max="11843" width="1.1640625" style="5" customWidth="1"/>
    <col min="11844" max="12032" width="10.83203125" style="5"/>
    <col min="12033" max="12033" width="0.5" style="5" customWidth="1"/>
    <col min="12034" max="12034" width="0.33203125" style="5" customWidth="1"/>
    <col min="12035" max="12035" width="1.5" style="5" customWidth="1"/>
    <col min="12036" max="12036" width="0.33203125" style="5" customWidth="1"/>
    <col min="12037" max="12037" width="0.5" style="5" customWidth="1"/>
    <col min="12038" max="12040" width="2" style="5" customWidth="1"/>
    <col min="12041" max="12041" width="0.1640625" style="5" customWidth="1"/>
    <col min="12042" max="12042" width="2" style="5" customWidth="1"/>
    <col min="12043" max="12045" width="0.1640625" style="5" customWidth="1"/>
    <col min="12046" max="12046" width="13.1640625" style="5" customWidth="1"/>
    <col min="12047" max="12047" width="3" style="5" customWidth="1"/>
    <col min="12048" max="12048" width="11" style="5" customWidth="1"/>
    <col min="12049" max="12049" width="1" style="5" customWidth="1"/>
    <col min="12050" max="12050" width="2.1640625" style="5" customWidth="1"/>
    <col min="12051" max="12051" width="2.33203125" style="5" customWidth="1"/>
    <col min="12052" max="12052" width="0.83203125" style="5" customWidth="1"/>
    <col min="12053" max="12053" width="3.1640625" style="5" customWidth="1"/>
    <col min="12054" max="12054" width="3.5" style="5" customWidth="1"/>
    <col min="12055" max="12055" width="3.1640625" style="5" customWidth="1"/>
    <col min="12056" max="12056" width="2.33203125" style="5" customWidth="1"/>
    <col min="12057" max="12057" width="0.83203125" style="5" customWidth="1"/>
    <col min="12058" max="12058" width="2.5" style="5" customWidth="1"/>
    <col min="12059" max="12059" width="6.6640625" style="5" customWidth="1"/>
    <col min="12060" max="12060" width="0.33203125" style="5" customWidth="1"/>
    <col min="12061" max="12061" width="0.1640625" style="5" customWidth="1"/>
    <col min="12062" max="12062" width="2.33203125" style="5" customWidth="1"/>
    <col min="12063" max="12063" width="0.83203125" style="5" customWidth="1"/>
    <col min="12064" max="12064" width="2.6640625" style="5" customWidth="1"/>
    <col min="12065" max="12065" width="1" style="5" customWidth="1"/>
    <col min="12066" max="12066" width="4.33203125" style="5" customWidth="1"/>
    <col min="12067" max="12067" width="1.6640625" style="5" customWidth="1"/>
    <col min="12068" max="12068" width="1.33203125" style="5" customWidth="1"/>
    <col min="12069" max="12069" width="1" style="5" customWidth="1"/>
    <col min="12070" max="12070" width="0.83203125" style="5" customWidth="1"/>
    <col min="12071" max="12071" width="1.5" style="5" customWidth="1"/>
    <col min="12072" max="12072" width="1" style="5" customWidth="1"/>
    <col min="12073" max="12073" width="2.5" style="5" customWidth="1"/>
    <col min="12074" max="12074" width="3.6640625" style="5" customWidth="1"/>
    <col min="12075" max="12077" width="0.1640625" style="5" customWidth="1"/>
    <col min="12078" max="12078" width="0.33203125" style="5" customWidth="1"/>
    <col min="12079" max="12079" width="2.33203125" style="5" customWidth="1"/>
    <col min="12080" max="12080" width="0.1640625" style="5" customWidth="1"/>
    <col min="12081" max="12081" width="0.6640625" style="5" customWidth="1"/>
    <col min="12082" max="12082" width="0.33203125" style="5" customWidth="1"/>
    <col min="12083" max="12083" width="0.5" style="5" customWidth="1"/>
    <col min="12084" max="12084" width="7.1640625" style="5" customWidth="1"/>
    <col min="12085" max="12085" width="1.1640625" style="5" customWidth="1"/>
    <col min="12086" max="12086" width="0.33203125" style="5" customWidth="1"/>
    <col min="12087" max="12087" width="2.33203125" style="5" customWidth="1"/>
    <col min="12088" max="12088" width="0.83203125" style="5" customWidth="1"/>
    <col min="12089" max="12089" width="2.33203125" style="5" customWidth="1"/>
    <col min="12090" max="12090" width="7.33203125" style="5" customWidth="1"/>
    <col min="12091" max="12091" width="2.33203125" style="5" customWidth="1"/>
    <col min="12092" max="12092" width="0.83203125" style="5" customWidth="1"/>
    <col min="12093" max="12093" width="1.1640625" style="5" customWidth="1"/>
    <col min="12094" max="12094" width="8.5" style="5" customWidth="1"/>
    <col min="12095" max="12095" width="2.33203125" style="5" customWidth="1"/>
    <col min="12096" max="12096" width="0.83203125" style="5" customWidth="1"/>
    <col min="12097" max="12097" width="1" style="5" customWidth="1"/>
    <col min="12098" max="12098" width="7.5" style="5" customWidth="1"/>
    <col min="12099" max="12099" width="1.1640625" style="5" customWidth="1"/>
    <col min="12100" max="12288" width="10.83203125" style="5"/>
    <col min="12289" max="12289" width="0.5" style="5" customWidth="1"/>
    <col min="12290" max="12290" width="0.33203125" style="5" customWidth="1"/>
    <col min="12291" max="12291" width="1.5" style="5" customWidth="1"/>
    <col min="12292" max="12292" width="0.33203125" style="5" customWidth="1"/>
    <col min="12293" max="12293" width="0.5" style="5" customWidth="1"/>
    <col min="12294" max="12296" width="2" style="5" customWidth="1"/>
    <col min="12297" max="12297" width="0.1640625" style="5" customWidth="1"/>
    <col min="12298" max="12298" width="2" style="5" customWidth="1"/>
    <col min="12299" max="12301" width="0.1640625" style="5" customWidth="1"/>
    <col min="12302" max="12302" width="13.1640625" style="5" customWidth="1"/>
    <col min="12303" max="12303" width="3" style="5" customWidth="1"/>
    <col min="12304" max="12304" width="11" style="5" customWidth="1"/>
    <col min="12305" max="12305" width="1" style="5" customWidth="1"/>
    <col min="12306" max="12306" width="2.1640625" style="5" customWidth="1"/>
    <col min="12307" max="12307" width="2.33203125" style="5" customWidth="1"/>
    <col min="12308" max="12308" width="0.83203125" style="5" customWidth="1"/>
    <col min="12309" max="12309" width="3.1640625" style="5" customWidth="1"/>
    <col min="12310" max="12310" width="3.5" style="5" customWidth="1"/>
    <col min="12311" max="12311" width="3.1640625" style="5" customWidth="1"/>
    <col min="12312" max="12312" width="2.33203125" style="5" customWidth="1"/>
    <col min="12313" max="12313" width="0.83203125" style="5" customWidth="1"/>
    <col min="12314" max="12314" width="2.5" style="5" customWidth="1"/>
    <col min="12315" max="12315" width="6.6640625" style="5" customWidth="1"/>
    <col min="12316" max="12316" width="0.33203125" style="5" customWidth="1"/>
    <col min="12317" max="12317" width="0.1640625" style="5" customWidth="1"/>
    <col min="12318" max="12318" width="2.33203125" style="5" customWidth="1"/>
    <col min="12319" max="12319" width="0.83203125" style="5" customWidth="1"/>
    <col min="12320" max="12320" width="2.6640625" style="5" customWidth="1"/>
    <col min="12321" max="12321" width="1" style="5" customWidth="1"/>
    <col min="12322" max="12322" width="4.33203125" style="5" customWidth="1"/>
    <col min="12323" max="12323" width="1.6640625" style="5" customWidth="1"/>
    <col min="12324" max="12324" width="1.33203125" style="5" customWidth="1"/>
    <col min="12325" max="12325" width="1" style="5" customWidth="1"/>
    <col min="12326" max="12326" width="0.83203125" style="5" customWidth="1"/>
    <col min="12327" max="12327" width="1.5" style="5" customWidth="1"/>
    <col min="12328" max="12328" width="1" style="5" customWidth="1"/>
    <col min="12329" max="12329" width="2.5" style="5" customWidth="1"/>
    <col min="12330" max="12330" width="3.6640625" style="5" customWidth="1"/>
    <col min="12331" max="12333" width="0.1640625" style="5" customWidth="1"/>
    <col min="12334" max="12334" width="0.33203125" style="5" customWidth="1"/>
    <col min="12335" max="12335" width="2.33203125" style="5" customWidth="1"/>
    <col min="12336" max="12336" width="0.1640625" style="5" customWidth="1"/>
    <col min="12337" max="12337" width="0.6640625" style="5" customWidth="1"/>
    <col min="12338" max="12338" width="0.33203125" style="5" customWidth="1"/>
    <col min="12339" max="12339" width="0.5" style="5" customWidth="1"/>
    <col min="12340" max="12340" width="7.1640625" style="5" customWidth="1"/>
    <col min="12341" max="12341" width="1.1640625" style="5" customWidth="1"/>
    <col min="12342" max="12342" width="0.33203125" style="5" customWidth="1"/>
    <col min="12343" max="12343" width="2.33203125" style="5" customWidth="1"/>
    <col min="12344" max="12344" width="0.83203125" style="5" customWidth="1"/>
    <col min="12345" max="12345" width="2.33203125" style="5" customWidth="1"/>
    <col min="12346" max="12346" width="7.33203125" style="5" customWidth="1"/>
    <col min="12347" max="12347" width="2.33203125" style="5" customWidth="1"/>
    <col min="12348" max="12348" width="0.83203125" style="5" customWidth="1"/>
    <col min="12349" max="12349" width="1.1640625" style="5" customWidth="1"/>
    <col min="12350" max="12350" width="8.5" style="5" customWidth="1"/>
    <col min="12351" max="12351" width="2.33203125" style="5" customWidth="1"/>
    <col min="12352" max="12352" width="0.83203125" style="5" customWidth="1"/>
    <col min="12353" max="12353" width="1" style="5" customWidth="1"/>
    <col min="12354" max="12354" width="7.5" style="5" customWidth="1"/>
    <col min="12355" max="12355" width="1.1640625" style="5" customWidth="1"/>
    <col min="12356" max="12544" width="10.83203125" style="5"/>
    <col min="12545" max="12545" width="0.5" style="5" customWidth="1"/>
    <col min="12546" max="12546" width="0.33203125" style="5" customWidth="1"/>
    <col min="12547" max="12547" width="1.5" style="5" customWidth="1"/>
    <col min="12548" max="12548" width="0.33203125" style="5" customWidth="1"/>
    <col min="12549" max="12549" width="0.5" style="5" customWidth="1"/>
    <col min="12550" max="12552" width="2" style="5" customWidth="1"/>
    <col min="12553" max="12553" width="0.1640625" style="5" customWidth="1"/>
    <col min="12554" max="12554" width="2" style="5" customWidth="1"/>
    <col min="12555" max="12557" width="0.1640625" style="5" customWidth="1"/>
    <col min="12558" max="12558" width="13.1640625" style="5" customWidth="1"/>
    <col min="12559" max="12559" width="3" style="5" customWidth="1"/>
    <col min="12560" max="12560" width="11" style="5" customWidth="1"/>
    <col min="12561" max="12561" width="1" style="5" customWidth="1"/>
    <col min="12562" max="12562" width="2.1640625" style="5" customWidth="1"/>
    <col min="12563" max="12563" width="2.33203125" style="5" customWidth="1"/>
    <col min="12564" max="12564" width="0.83203125" style="5" customWidth="1"/>
    <col min="12565" max="12565" width="3.1640625" style="5" customWidth="1"/>
    <col min="12566" max="12566" width="3.5" style="5" customWidth="1"/>
    <col min="12567" max="12567" width="3.1640625" style="5" customWidth="1"/>
    <col min="12568" max="12568" width="2.33203125" style="5" customWidth="1"/>
    <col min="12569" max="12569" width="0.83203125" style="5" customWidth="1"/>
    <col min="12570" max="12570" width="2.5" style="5" customWidth="1"/>
    <col min="12571" max="12571" width="6.6640625" style="5" customWidth="1"/>
    <col min="12572" max="12572" width="0.33203125" style="5" customWidth="1"/>
    <col min="12573" max="12573" width="0.1640625" style="5" customWidth="1"/>
    <col min="12574" max="12574" width="2.33203125" style="5" customWidth="1"/>
    <col min="12575" max="12575" width="0.83203125" style="5" customWidth="1"/>
    <col min="12576" max="12576" width="2.6640625" style="5" customWidth="1"/>
    <col min="12577" max="12577" width="1" style="5" customWidth="1"/>
    <col min="12578" max="12578" width="4.33203125" style="5" customWidth="1"/>
    <col min="12579" max="12579" width="1.6640625" style="5" customWidth="1"/>
    <col min="12580" max="12580" width="1.33203125" style="5" customWidth="1"/>
    <col min="12581" max="12581" width="1" style="5" customWidth="1"/>
    <col min="12582" max="12582" width="0.83203125" style="5" customWidth="1"/>
    <col min="12583" max="12583" width="1.5" style="5" customWidth="1"/>
    <col min="12584" max="12584" width="1" style="5" customWidth="1"/>
    <col min="12585" max="12585" width="2.5" style="5" customWidth="1"/>
    <col min="12586" max="12586" width="3.6640625" style="5" customWidth="1"/>
    <col min="12587" max="12589" width="0.1640625" style="5" customWidth="1"/>
    <col min="12590" max="12590" width="0.33203125" style="5" customWidth="1"/>
    <col min="12591" max="12591" width="2.33203125" style="5" customWidth="1"/>
    <col min="12592" max="12592" width="0.1640625" style="5" customWidth="1"/>
    <col min="12593" max="12593" width="0.6640625" style="5" customWidth="1"/>
    <col min="12594" max="12594" width="0.33203125" style="5" customWidth="1"/>
    <col min="12595" max="12595" width="0.5" style="5" customWidth="1"/>
    <col min="12596" max="12596" width="7.1640625" style="5" customWidth="1"/>
    <col min="12597" max="12597" width="1.1640625" style="5" customWidth="1"/>
    <col min="12598" max="12598" width="0.33203125" style="5" customWidth="1"/>
    <col min="12599" max="12599" width="2.33203125" style="5" customWidth="1"/>
    <col min="12600" max="12600" width="0.83203125" style="5" customWidth="1"/>
    <col min="12601" max="12601" width="2.33203125" style="5" customWidth="1"/>
    <col min="12602" max="12602" width="7.33203125" style="5" customWidth="1"/>
    <col min="12603" max="12603" width="2.33203125" style="5" customWidth="1"/>
    <col min="12604" max="12604" width="0.83203125" style="5" customWidth="1"/>
    <col min="12605" max="12605" width="1.1640625" style="5" customWidth="1"/>
    <col min="12606" max="12606" width="8.5" style="5" customWidth="1"/>
    <col min="12607" max="12607" width="2.33203125" style="5" customWidth="1"/>
    <col min="12608" max="12608" width="0.83203125" style="5" customWidth="1"/>
    <col min="12609" max="12609" width="1" style="5" customWidth="1"/>
    <col min="12610" max="12610" width="7.5" style="5" customWidth="1"/>
    <col min="12611" max="12611" width="1.1640625" style="5" customWidth="1"/>
    <col min="12612" max="12800" width="10.83203125" style="5"/>
    <col min="12801" max="12801" width="0.5" style="5" customWidth="1"/>
    <col min="12802" max="12802" width="0.33203125" style="5" customWidth="1"/>
    <col min="12803" max="12803" width="1.5" style="5" customWidth="1"/>
    <col min="12804" max="12804" width="0.33203125" style="5" customWidth="1"/>
    <col min="12805" max="12805" width="0.5" style="5" customWidth="1"/>
    <col min="12806" max="12808" width="2" style="5" customWidth="1"/>
    <col min="12809" max="12809" width="0.1640625" style="5" customWidth="1"/>
    <col min="12810" max="12810" width="2" style="5" customWidth="1"/>
    <col min="12811" max="12813" width="0.1640625" style="5" customWidth="1"/>
    <col min="12814" max="12814" width="13.1640625" style="5" customWidth="1"/>
    <col min="12815" max="12815" width="3" style="5" customWidth="1"/>
    <col min="12816" max="12816" width="11" style="5" customWidth="1"/>
    <col min="12817" max="12817" width="1" style="5" customWidth="1"/>
    <col min="12818" max="12818" width="2.1640625" style="5" customWidth="1"/>
    <col min="12819" max="12819" width="2.33203125" style="5" customWidth="1"/>
    <col min="12820" max="12820" width="0.83203125" style="5" customWidth="1"/>
    <col min="12821" max="12821" width="3.1640625" style="5" customWidth="1"/>
    <col min="12822" max="12822" width="3.5" style="5" customWidth="1"/>
    <col min="12823" max="12823" width="3.1640625" style="5" customWidth="1"/>
    <col min="12824" max="12824" width="2.33203125" style="5" customWidth="1"/>
    <col min="12825" max="12825" width="0.83203125" style="5" customWidth="1"/>
    <col min="12826" max="12826" width="2.5" style="5" customWidth="1"/>
    <col min="12827" max="12827" width="6.6640625" style="5" customWidth="1"/>
    <col min="12828" max="12828" width="0.33203125" style="5" customWidth="1"/>
    <col min="12829" max="12829" width="0.1640625" style="5" customWidth="1"/>
    <col min="12830" max="12830" width="2.33203125" style="5" customWidth="1"/>
    <col min="12831" max="12831" width="0.83203125" style="5" customWidth="1"/>
    <col min="12832" max="12832" width="2.6640625" style="5" customWidth="1"/>
    <col min="12833" max="12833" width="1" style="5" customWidth="1"/>
    <col min="12834" max="12834" width="4.33203125" style="5" customWidth="1"/>
    <col min="12835" max="12835" width="1.6640625" style="5" customWidth="1"/>
    <col min="12836" max="12836" width="1.33203125" style="5" customWidth="1"/>
    <col min="12837" max="12837" width="1" style="5" customWidth="1"/>
    <col min="12838" max="12838" width="0.83203125" style="5" customWidth="1"/>
    <col min="12839" max="12839" width="1.5" style="5" customWidth="1"/>
    <col min="12840" max="12840" width="1" style="5" customWidth="1"/>
    <col min="12841" max="12841" width="2.5" style="5" customWidth="1"/>
    <col min="12842" max="12842" width="3.6640625" style="5" customWidth="1"/>
    <col min="12843" max="12845" width="0.1640625" style="5" customWidth="1"/>
    <col min="12846" max="12846" width="0.33203125" style="5" customWidth="1"/>
    <col min="12847" max="12847" width="2.33203125" style="5" customWidth="1"/>
    <col min="12848" max="12848" width="0.1640625" style="5" customWidth="1"/>
    <col min="12849" max="12849" width="0.6640625" style="5" customWidth="1"/>
    <col min="12850" max="12850" width="0.33203125" style="5" customWidth="1"/>
    <col min="12851" max="12851" width="0.5" style="5" customWidth="1"/>
    <col min="12852" max="12852" width="7.1640625" style="5" customWidth="1"/>
    <col min="12853" max="12853" width="1.1640625" style="5" customWidth="1"/>
    <col min="12854" max="12854" width="0.33203125" style="5" customWidth="1"/>
    <col min="12855" max="12855" width="2.33203125" style="5" customWidth="1"/>
    <col min="12856" max="12856" width="0.83203125" style="5" customWidth="1"/>
    <col min="12857" max="12857" width="2.33203125" style="5" customWidth="1"/>
    <col min="12858" max="12858" width="7.33203125" style="5" customWidth="1"/>
    <col min="12859" max="12859" width="2.33203125" style="5" customWidth="1"/>
    <col min="12860" max="12860" width="0.83203125" style="5" customWidth="1"/>
    <col min="12861" max="12861" width="1.1640625" style="5" customWidth="1"/>
    <col min="12862" max="12862" width="8.5" style="5" customWidth="1"/>
    <col min="12863" max="12863" width="2.33203125" style="5" customWidth="1"/>
    <col min="12864" max="12864" width="0.83203125" style="5" customWidth="1"/>
    <col min="12865" max="12865" width="1" style="5" customWidth="1"/>
    <col min="12866" max="12866" width="7.5" style="5" customWidth="1"/>
    <col min="12867" max="12867" width="1.1640625" style="5" customWidth="1"/>
    <col min="12868" max="13056" width="10.83203125" style="5"/>
    <col min="13057" max="13057" width="0.5" style="5" customWidth="1"/>
    <col min="13058" max="13058" width="0.33203125" style="5" customWidth="1"/>
    <col min="13059" max="13059" width="1.5" style="5" customWidth="1"/>
    <col min="13060" max="13060" width="0.33203125" style="5" customWidth="1"/>
    <col min="13061" max="13061" width="0.5" style="5" customWidth="1"/>
    <col min="13062" max="13064" width="2" style="5" customWidth="1"/>
    <col min="13065" max="13065" width="0.1640625" style="5" customWidth="1"/>
    <col min="13066" max="13066" width="2" style="5" customWidth="1"/>
    <col min="13067" max="13069" width="0.1640625" style="5" customWidth="1"/>
    <col min="13070" max="13070" width="13.1640625" style="5" customWidth="1"/>
    <col min="13071" max="13071" width="3" style="5" customWidth="1"/>
    <col min="13072" max="13072" width="11" style="5" customWidth="1"/>
    <col min="13073" max="13073" width="1" style="5" customWidth="1"/>
    <col min="13074" max="13074" width="2.1640625" style="5" customWidth="1"/>
    <col min="13075" max="13075" width="2.33203125" style="5" customWidth="1"/>
    <col min="13076" max="13076" width="0.83203125" style="5" customWidth="1"/>
    <col min="13077" max="13077" width="3.1640625" style="5" customWidth="1"/>
    <col min="13078" max="13078" width="3.5" style="5" customWidth="1"/>
    <col min="13079" max="13079" width="3.1640625" style="5" customWidth="1"/>
    <col min="13080" max="13080" width="2.33203125" style="5" customWidth="1"/>
    <col min="13081" max="13081" width="0.83203125" style="5" customWidth="1"/>
    <col min="13082" max="13082" width="2.5" style="5" customWidth="1"/>
    <col min="13083" max="13083" width="6.6640625" style="5" customWidth="1"/>
    <col min="13084" max="13084" width="0.33203125" style="5" customWidth="1"/>
    <col min="13085" max="13085" width="0.1640625" style="5" customWidth="1"/>
    <col min="13086" max="13086" width="2.33203125" style="5" customWidth="1"/>
    <col min="13087" max="13087" width="0.83203125" style="5" customWidth="1"/>
    <col min="13088" max="13088" width="2.6640625" style="5" customWidth="1"/>
    <col min="13089" max="13089" width="1" style="5" customWidth="1"/>
    <col min="13090" max="13090" width="4.33203125" style="5" customWidth="1"/>
    <col min="13091" max="13091" width="1.6640625" style="5" customWidth="1"/>
    <col min="13092" max="13092" width="1.33203125" style="5" customWidth="1"/>
    <col min="13093" max="13093" width="1" style="5" customWidth="1"/>
    <col min="13094" max="13094" width="0.83203125" style="5" customWidth="1"/>
    <col min="13095" max="13095" width="1.5" style="5" customWidth="1"/>
    <col min="13096" max="13096" width="1" style="5" customWidth="1"/>
    <col min="13097" max="13097" width="2.5" style="5" customWidth="1"/>
    <col min="13098" max="13098" width="3.6640625" style="5" customWidth="1"/>
    <col min="13099" max="13101" width="0.1640625" style="5" customWidth="1"/>
    <col min="13102" max="13102" width="0.33203125" style="5" customWidth="1"/>
    <col min="13103" max="13103" width="2.33203125" style="5" customWidth="1"/>
    <col min="13104" max="13104" width="0.1640625" style="5" customWidth="1"/>
    <col min="13105" max="13105" width="0.6640625" style="5" customWidth="1"/>
    <col min="13106" max="13106" width="0.33203125" style="5" customWidth="1"/>
    <col min="13107" max="13107" width="0.5" style="5" customWidth="1"/>
    <col min="13108" max="13108" width="7.1640625" style="5" customWidth="1"/>
    <col min="13109" max="13109" width="1.1640625" style="5" customWidth="1"/>
    <col min="13110" max="13110" width="0.33203125" style="5" customWidth="1"/>
    <col min="13111" max="13111" width="2.33203125" style="5" customWidth="1"/>
    <col min="13112" max="13112" width="0.83203125" style="5" customWidth="1"/>
    <col min="13113" max="13113" width="2.33203125" style="5" customWidth="1"/>
    <col min="13114" max="13114" width="7.33203125" style="5" customWidth="1"/>
    <col min="13115" max="13115" width="2.33203125" style="5" customWidth="1"/>
    <col min="13116" max="13116" width="0.83203125" style="5" customWidth="1"/>
    <col min="13117" max="13117" width="1.1640625" style="5" customWidth="1"/>
    <col min="13118" max="13118" width="8.5" style="5" customWidth="1"/>
    <col min="13119" max="13119" width="2.33203125" style="5" customWidth="1"/>
    <col min="13120" max="13120" width="0.83203125" style="5" customWidth="1"/>
    <col min="13121" max="13121" width="1" style="5" customWidth="1"/>
    <col min="13122" max="13122" width="7.5" style="5" customWidth="1"/>
    <col min="13123" max="13123" width="1.1640625" style="5" customWidth="1"/>
    <col min="13124" max="13312" width="10.83203125" style="5"/>
    <col min="13313" max="13313" width="0.5" style="5" customWidth="1"/>
    <col min="13314" max="13314" width="0.33203125" style="5" customWidth="1"/>
    <col min="13315" max="13315" width="1.5" style="5" customWidth="1"/>
    <col min="13316" max="13316" width="0.33203125" style="5" customWidth="1"/>
    <col min="13317" max="13317" width="0.5" style="5" customWidth="1"/>
    <col min="13318" max="13320" width="2" style="5" customWidth="1"/>
    <col min="13321" max="13321" width="0.1640625" style="5" customWidth="1"/>
    <col min="13322" max="13322" width="2" style="5" customWidth="1"/>
    <col min="13323" max="13325" width="0.1640625" style="5" customWidth="1"/>
    <col min="13326" max="13326" width="13.1640625" style="5" customWidth="1"/>
    <col min="13327" max="13327" width="3" style="5" customWidth="1"/>
    <col min="13328" max="13328" width="11" style="5" customWidth="1"/>
    <col min="13329" max="13329" width="1" style="5" customWidth="1"/>
    <col min="13330" max="13330" width="2.1640625" style="5" customWidth="1"/>
    <col min="13331" max="13331" width="2.33203125" style="5" customWidth="1"/>
    <col min="13332" max="13332" width="0.83203125" style="5" customWidth="1"/>
    <col min="13333" max="13333" width="3.1640625" style="5" customWidth="1"/>
    <col min="13334" max="13334" width="3.5" style="5" customWidth="1"/>
    <col min="13335" max="13335" width="3.1640625" style="5" customWidth="1"/>
    <col min="13336" max="13336" width="2.33203125" style="5" customWidth="1"/>
    <col min="13337" max="13337" width="0.83203125" style="5" customWidth="1"/>
    <col min="13338" max="13338" width="2.5" style="5" customWidth="1"/>
    <col min="13339" max="13339" width="6.6640625" style="5" customWidth="1"/>
    <col min="13340" max="13340" width="0.33203125" style="5" customWidth="1"/>
    <col min="13341" max="13341" width="0.1640625" style="5" customWidth="1"/>
    <col min="13342" max="13342" width="2.33203125" style="5" customWidth="1"/>
    <col min="13343" max="13343" width="0.83203125" style="5" customWidth="1"/>
    <col min="13344" max="13344" width="2.6640625" style="5" customWidth="1"/>
    <col min="13345" max="13345" width="1" style="5" customWidth="1"/>
    <col min="13346" max="13346" width="4.33203125" style="5" customWidth="1"/>
    <col min="13347" max="13347" width="1.6640625" style="5" customWidth="1"/>
    <col min="13348" max="13348" width="1.33203125" style="5" customWidth="1"/>
    <col min="13349" max="13349" width="1" style="5" customWidth="1"/>
    <col min="13350" max="13350" width="0.83203125" style="5" customWidth="1"/>
    <col min="13351" max="13351" width="1.5" style="5" customWidth="1"/>
    <col min="13352" max="13352" width="1" style="5" customWidth="1"/>
    <col min="13353" max="13353" width="2.5" style="5" customWidth="1"/>
    <col min="13354" max="13354" width="3.6640625" style="5" customWidth="1"/>
    <col min="13355" max="13357" width="0.1640625" style="5" customWidth="1"/>
    <col min="13358" max="13358" width="0.33203125" style="5" customWidth="1"/>
    <col min="13359" max="13359" width="2.33203125" style="5" customWidth="1"/>
    <col min="13360" max="13360" width="0.1640625" style="5" customWidth="1"/>
    <col min="13361" max="13361" width="0.6640625" style="5" customWidth="1"/>
    <col min="13362" max="13362" width="0.33203125" style="5" customWidth="1"/>
    <col min="13363" max="13363" width="0.5" style="5" customWidth="1"/>
    <col min="13364" max="13364" width="7.1640625" style="5" customWidth="1"/>
    <col min="13365" max="13365" width="1.1640625" style="5" customWidth="1"/>
    <col min="13366" max="13366" width="0.33203125" style="5" customWidth="1"/>
    <col min="13367" max="13367" width="2.33203125" style="5" customWidth="1"/>
    <col min="13368" max="13368" width="0.83203125" style="5" customWidth="1"/>
    <col min="13369" max="13369" width="2.33203125" style="5" customWidth="1"/>
    <col min="13370" max="13370" width="7.33203125" style="5" customWidth="1"/>
    <col min="13371" max="13371" width="2.33203125" style="5" customWidth="1"/>
    <col min="13372" max="13372" width="0.83203125" style="5" customWidth="1"/>
    <col min="13373" max="13373" width="1.1640625" style="5" customWidth="1"/>
    <col min="13374" max="13374" width="8.5" style="5" customWidth="1"/>
    <col min="13375" max="13375" width="2.33203125" style="5" customWidth="1"/>
    <col min="13376" max="13376" width="0.83203125" style="5" customWidth="1"/>
    <col min="13377" max="13377" width="1" style="5" customWidth="1"/>
    <col min="13378" max="13378" width="7.5" style="5" customWidth="1"/>
    <col min="13379" max="13379" width="1.1640625" style="5" customWidth="1"/>
    <col min="13380" max="13568" width="10.83203125" style="5"/>
    <col min="13569" max="13569" width="0.5" style="5" customWidth="1"/>
    <col min="13570" max="13570" width="0.33203125" style="5" customWidth="1"/>
    <col min="13571" max="13571" width="1.5" style="5" customWidth="1"/>
    <col min="13572" max="13572" width="0.33203125" style="5" customWidth="1"/>
    <col min="13573" max="13573" width="0.5" style="5" customWidth="1"/>
    <col min="13574" max="13576" width="2" style="5" customWidth="1"/>
    <col min="13577" max="13577" width="0.1640625" style="5" customWidth="1"/>
    <col min="13578" max="13578" width="2" style="5" customWidth="1"/>
    <col min="13579" max="13581" width="0.1640625" style="5" customWidth="1"/>
    <col min="13582" max="13582" width="13.1640625" style="5" customWidth="1"/>
    <col min="13583" max="13583" width="3" style="5" customWidth="1"/>
    <col min="13584" max="13584" width="11" style="5" customWidth="1"/>
    <col min="13585" max="13585" width="1" style="5" customWidth="1"/>
    <col min="13586" max="13586" width="2.1640625" style="5" customWidth="1"/>
    <col min="13587" max="13587" width="2.33203125" style="5" customWidth="1"/>
    <col min="13588" max="13588" width="0.83203125" style="5" customWidth="1"/>
    <col min="13589" max="13589" width="3.1640625" style="5" customWidth="1"/>
    <col min="13590" max="13590" width="3.5" style="5" customWidth="1"/>
    <col min="13591" max="13591" width="3.1640625" style="5" customWidth="1"/>
    <col min="13592" max="13592" width="2.33203125" style="5" customWidth="1"/>
    <col min="13593" max="13593" width="0.83203125" style="5" customWidth="1"/>
    <col min="13594" max="13594" width="2.5" style="5" customWidth="1"/>
    <col min="13595" max="13595" width="6.6640625" style="5" customWidth="1"/>
    <col min="13596" max="13596" width="0.33203125" style="5" customWidth="1"/>
    <col min="13597" max="13597" width="0.1640625" style="5" customWidth="1"/>
    <col min="13598" max="13598" width="2.33203125" style="5" customWidth="1"/>
    <col min="13599" max="13599" width="0.83203125" style="5" customWidth="1"/>
    <col min="13600" max="13600" width="2.6640625" style="5" customWidth="1"/>
    <col min="13601" max="13601" width="1" style="5" customWidth="1"/>
    <col min="13602" max="13602" width="4.33203125" style="5" customWidth="1"/>
    <col min="13603" max="13603" width="1.6640625" style="5" customWidth="1"/>
    <col min="13604" max="13604" width="1.33203125" style="5" customWidth="1"/>
    <col min="13605" max="13605" width="1" style="5" customWidth="1"/>
    <col min="13606" max="13606" width="0.83203125" style="5" customWidth="1"/>
    <col min="13607" max="13607" width="1.5" style="5" customWidth="1"/>
    <col min="13608" max="13608" width="1" style="5" customWidth="1"/>
    <col min="13609" max="13609" width="2.5" style="5" customWidth="1"/>
    <col min="13610" max="13610" width="3.6640625" style="5" customWidth="1"/>
    <col min="13611" max="13613" width="0.1640625" style="5" customWidth="1"/>
    <col min="13614" max="13614" width="0.33203125" style="5" customWidth="1"/>
    <col min="13615" max="13615" width="2.33203125" style="5" customWidth="1"/>
    <col min="13616" max="13616" width="0.1640625" style="5" customWidth="1"/>
    <col min="13617" max="13617" width="0.6640625" style="5" customWidth="1"/>
    <col min="13618" max="13618" width="0.33203125" style="5" customWidth="1"/>
    <col min="13619" max="13619" width="0.5" style="5" customWidth="1"/>
    <col min="13620" max="13620" width="7.1640625" style="5" customWidth="1"/>
    <col min="13621" max="13621" width="1.1640625" style="5" customWidth="1"/>
    <col min="13622" max="13622" width="0.33203125" style="5" customWidth="1"/>
    <col min="13623" max="13623" width="2.33203125" style="5" customWidth="1"/>
    <col min="13624" max="13624" width="0.83203125" style="5" customWidth="1"/>
    <col min="13625" max="13625" width="2.33203125" style="5" customWidth="1"/>
    <col min="13626" max="13626" width="7.33203125" style="5" customWidth="1"/>
    <col min="13627" max="13627" width="2.33203125" style="5" customWidth="1"/>
    <col min="13628" max="13628" width="0.83203125" style="5" customWidth="1"/>
    <col min="13629" max="13629" width="1.1640625" style="5" customWidth="1"/>
    <col min="13630" max="13630" width="8.5" style="5" customWidth="1"/>
    <col min="13631" max="13631" width="2.33203125" style="5" customWidth="1"/>
    <col min="13632" max="13632" width="0.83203125" style="5" customWidth="1"/>
    <col min="13633" max="13633" width="1" style="5" customWidth="1"/>
    <col min="13634" max="13634" width="7.5" style="5" customWidth="1"/>
    <col min="13635" max="13635" width="1.1640625" style="5" customWidth="1"/>
    <col min="13636" max="13824" width="10.83203125" style="5"/>
    <col min="13825" max="13825" width="0.5" style="5" customWidth="1"/>
    <col min="13826" max="13826" width="0.33203125" style="5" customWidth="1"/>
    <col min="13827" max="13827" width="1.5" style="5" customWidth="1"/>
    <col min="13828" max="13828" width="0.33203125" style="5" customWidth="1"/>
    <col min="13829" max="13829" width="0.5" style="5" customWidth="1"/>
    <col min="13830" max="13832" width="2" style="5" customWidth="1"/>
    <col min="13833" max="13833" width="0.1640625" style="5" customWidth="1"/>
    <col min="13834" max="13834" width="2" style="5" customWidth="1"/>
    <col min="13835" max="13837" width="0.1640625" style="5" customWidth="1"/>
    <col min="13838" max="13838" width="13.1640625" style="5" customWidth="1"/>
    <col min="13839" max="13839" width="3" style="5" customWidth="1"/>
    <col min="13840" max="13840" width="11" style="5" customWidth="1"/>
    <col min="13841" max="13841" width="1" style="5" customWidth="1"/>
    <col min="13842" max="13842" width="2.1640625" style="5" customWidth="1"/>
    <col min="13843" max="13843" width="2.33203125" style="5" customWidth="1"/>
    <col min="13844" max="13844" width="0.83203125" style="5" customWidth="1"/>
    <col min="13845" max="13845" width="3.1640625" style="5" customWidth="1"/>
    <col min="13846" max="13846" width="3.5" style="5" customWidth="1"/>
    <col min="13847" max="13847" width="3.1640625" style="5" customWidth="1"/>
    <col min="13848" max="13848" width="2.33203125" style="5" customWidth="1"/>
    <col min="13849" max="13849" width="0.83203125" style="5" customWidth="1"/>
    <col min="13850" max="13850" width="2.5" style="5" customWidth="1"/>
    <col min="13851" max="13851" width="6.6640625" style="5" customWidth="1"/>
    <col min="13852" max="13852" width="0.33203125" style="5" customWidth="1"/>
    <col min="13853" max="13853" width="0.1640625" style="5" customWidth="1"/>
    <col min="13854" max="13854" width="2.33203125" style="5" customWidth="1"/>
    <col min="13855" max="13855" width="0.83203125" style="5" customWidth="1"/>
    <col min="13856" max="13856" width="2.6640625" style="5" customWidth="1"/>
    <col min="13857" max="13857" width="1" style="5" customWidth="1"/>
    <col min="13858" max="13858" width="4.33203125" style="5" customWidth="1"/>
    <col min="13859" max="13859" width="1.6640625" style="5" customWidth="1"/>
    <col min="13860" max="13860" width="1.33203125" style="5" customWidth="1"/>
    <col min="13861" max="13861" width="1" style="5" customWidth="1"/>
    <col min="13862" max="13862" width="0.83203125" style="5" customWidth="1"/>
    <col min="13863" max="13863" width="1.5" style="5" customWidth="1"/>
    <col min="13864" max="13864" width="1" style="5" customWidth="1"/>
    <col min="13865" max="13865" width="2.5" style="5" customWidth="1"/>
    <col min="13866" max="13866" width="3.6640625" style="5" customWidth="1"/>
    <col min="13867" max="13869" width="0.1640625" style="5" customWidth="1"/>
    <col min="13870" max="13870" width="0.33203125" style="5" customWidth="1"/>
    <col min="13871" max="13871" width="2.33203125" style="5" customWidth="1"/>
    <col min="13872" max="13872" width="0.1640625" style="5" customWidth="1"/>
    <col min="13873" max="13873" width="0.6640625" style="5" customWidth="1"/>
    <col min="13874" max="13874" width="0.33203125" style="5" customWidth="1"/>
    <col min="13875" max="13875" width="0.5" style="5" customWidth="1"/>
    <col min="13876" max="13876" width="7.1640625" style="5" customWidth="1"/>
    <col min="13877" max="13877" width="1.1640625" style="5" customWidth="1"/>
    <col min="13878" max="13878" width="0.33203125" style="5" customWidth="1"/>
    <col min="13879" max="13879" width="2.33203125" style="5" customWidth="1"/>
    <col min="13880" max="13880" width="0.83203125" style="5" customWidth="1"/>
    <col min="13881" max="13881" width="2.33203125" style="5" customWidth="1"/>
    <col min="13882" max="13882" width="7.33203125" style="5" customWidth="1"/>
    <col min="13883" max="13883" width="2.33203125" style="5" customWidth="1"/>
    <col min="13884" max="13884" width="0.83203125" style="5" customWidth="1"/>
    <col min="13885" max="13885" width="1.1640625" style="5" customWidth="1"/>
    <col min="13886" max="13886" width="8.5" style="5" customWidth="1"/>
    <col min="13887" max="13887" width="2.33203125" style="5" customWidth="1"/>
    <col min="13888" max="13888" width="0.83203125" style="5" customWidth="1"/>
    <col min="13889" max="13889" width="1" style="5" customWidth="1"/>
    <col min="13890" max="13890" width="7.5" style="5" customWidth="1"/>
    <col min="13891" max="13891" width="1.1640625" style="5" customWidth="1"/>
    <col min="13892" max="14080" width="10.83203125" style="5"/>
    <col min="14081" max="14081" width="0.5" style="5" customWidth="1"/>
    <col min="14082" max="14082" width="0.33203125" style="5" customWidth="1"/>
    <col min="14083" max="14083" width="1.5" style="5" customWidth="1"/>
    <col min="14084" max="14084" width="0.33203125" style="5" customWidth="1"/>
    <col min="14085" max="14085" width="0.5" style="5" customWidth="1"/>
    <col min="14086" max="14088" width="2" style="5" customWidth="1"/>
    <col min="14089" max="14089" width="0.1640625" style="5" customWidth="1"/>
    <col min="14090" max="14090" width="2" style="5" customWidth="1"/>
    <col min="14091" max="14093" width="0.1640625" style="5" customWidth="1"/>
    <col min="14094" max="14094" width="13.1640625" style="5" customWidth="1"/>
    <col min="14095" max="14095" width="3" style="5" customWidth="1"/>
    <col min="14096" max="14096" width="11" style="5" customWidth="1"/>
    <col min="14097" max="14097" width="1" style="5" customWidth="1"/>
    <col min="14098" max="14098" width="2.1640625" style="5" customWidth="1"/>
    <col min="14099" max="14099" width="2.33203125" style="5" customWidth="1"/>
    <col min="14100" max="14100" width="0.83203125" style="5" customWidth="1"/>
    <col min="14101" max="14101" width="3.1640625" style="5" customWidth="1"/>
    <col min="14102" max="14102" width="3.5" style="5" customWidth="1"/>
    <col min="14103" max="14103" width="3.1640625" style="5" customWidth="1"/>
    <col min="14104" max="14104" width="2.33203125" style="5" customWidth="1"/>
    <col min="14105" max="14105" width="0.83203125" style="5" customWidth="1"/>
    <col min="14106" max="14106" width="2.5" style="5" customWidth="1"/>
    <col min="14107" max="14107" width="6.6640625" style="5" customWidth="1"/>
    <col min="14108" max="14108" width="0.33203125" style="5" customWidth="1"/>
    <col min="14109" max="14109" width="0.1640625" style="5" customWidth="1"/>
    <col min="14110" max="14110" width="2.33203125" style="5" customWidth="1"/>
    <col min="14111" max="14111" width="0.83203125" style="5" customWidth="1"/>
    <col min="14112" max="14112" width="2.6640625" style="5" customWidth="1"/>
    <col min="14113" max="14113" width="1" style="5" customWidth="1"/>
    <col min="14114" max="14114" width="4.33203125" style="5" customWidth="1"/>
    <col min="14115" max="14115" width="1.6640625" style="5" customWidth="1"/>
    <col min="14116" max="14116" width="1.33203125" style="5" customWidth="1"/>
    <col min="14117" max="14117" width="1" style="5" customWidth="1"/>
    <col min="14118" max="14118" width="0.83203125" style="5" customWidth="1"/>
    <col min="14119" max="14119" width="1.5" style="5" customWidth="1"/>
    <col min="14120" max="14120" width="1" style="5" customWidth="1"/>
    <col min="14121" max="14121" width="2.5" style="5" customWidth="1"/>
    <col min="14122" max="14122" width="3.6640625" style="5" customWidth="1"/>
    <col min="14123" max="14125" width="0.1640625" style="5" customWidth="1"/>
    <col min="14126" max="14126" width="0.33203125" style="5" customWidth="1"/>
    <col min="14127" max="14127" width="2.33203125" style="5" customWidth="1"/>
    <col min="14128" max="14128" width="0.1640625" style="5" customWidth="1"/>
    <col min="14129" max="14129" width="0.6640625" style="5" customWidth="1"/>
    <col min="14130" max="14130" width="0.33203125" style="5" customWidth="1"/>
    <col min="14131" max="14131" width="0.5" style="5" customWidth="1"/>
    <col min="14132" max="14132" width="7.1640625" style="5" customWidth="1"/>
    <col min="14133" max="14133" width="1.1640625" style="5" customWidth="1"/>
    <col min="14134" max="14134" width="0.33203125" style="5" customWidth="1"/>
    <col min="14135" max="14135" width="2.33203125" style="5" customWidth="1"/>
    <col min="14136" max="14136" width="0.83203125" style="5" customWidth="1"/>
    <col min="14137" max="14137" width="2.33203125" style="5" customWidth="1"/>
    <col min="14138" max="14138" width="7.33203125" style="5" customWidth="1"/>
    <col min="14139" max="14139" width="2.33203125" style="5" customWidth="1"/>
    <col min="14140" max="14140" width="0.83203125" style="5" customWidth="1"/>
    <col min="14141" max="14141" width="1.1640625" style="5" customWidth="1"/>
    <col min="14142" max="14142" width="8.5" style="5" customWidth="1"/>
    <col min="14143" max="14143" width="2.33203125" style="5" customWidth="1"/>
    <col min="14144" max="14144" width="0.83203125" style="5" customWidth="1"/>
    <col min="14145" max="14145" width="1" style="5" customWidth="1"/>
    <col min="14146" max="14146" width="7.5" style="5" customWidth="1"/>
    <col min="14147" max="14147" width="1.1640625" style="5" customWidth="1"/>
    <col min="14148" max="14336" width="10.83203125" style="5"/>
    <col min="14337" max="14337" width="0.5" style="5" customWidth="1"/>
    <col min="14338" max="14338" width="0.33203125" style="5" customWidth="1"/>
    <col min="14339" max="14339" width="1.5" style="5" customWidth="1"/>
    <col min="14340" max="14340" width="0.33203125" style="5" customWidth="1"/>
    <col min="14341" max="14341" width="0.5" style="5" customWidth="1"/>
    <col min="14342" max="14344" width="2" style="5" customWidth="1"/>
    <col min="14345" max="14345" width="0.1640625" style="5" customWidth="1"/>
    <col min="14346" max="14346" width="2" style="5" customWidth="1"/>
    <col min="14347" max="14349" width="0.1640625" style="5" customWidth="1"/>
    <col min="14350" max="14350" width="13.1640625" style="5" customWidth="1"/>
    <col min="14351" max="14351" width="3" style="5" customWidth="1"/>
    <col min="14352" max="14352" width="11" style="5" customWidth="1"/>
    <col min="14353" max="14353" width="1" style="5" customWidth="1"/>
    <col min="14354" max="14354" width="2.1640625" style="5" customWidth="1"/>
    <col min="14355" max="14355" width="2.33203125" style="5" customWidth="1"/>
    <col min="14356" max="14356" width="0.83203125" style="5" customWidth="1"/>
    <col min="14357" max="14357" width="3.1640625" style="5" customWidth="1"/>
    <col min="14358" max="14358" width="3.5" style="5" customWidth="1"/>
    <col min="14359" max="14359" width="3.1640625" style="5" customWidth="1"/>
    <col min="14360" max="14360" width="2.33203125" style="5" customWidth="1"/>
    <col min="14361" max="14361" width="0.83203125" style="5" customWidth="1"/>
    <col min="14362" max="14362" width="2.5" style="5" customWidth="1"/>
    <col min="14363" max="14363" width="6.6640625" style="5" customWidth="1"/>
    <col min="14364" max="14364" width="0.33203125" style="5" customWidth="1"/>
    <col min="14365" max="14365" width="0.1640625" style="5" customWidth="1"/>
    <col min="14366" max="14366" width="2.33203125" style="5" customWidth="1"/>
    <col min="14367" max="14367" width="0.83203125" style="5" customWidth="1"/>
    <col min="14368" max="14368" width="2.6640625" style="5" customWidth="1"/>
    <col min="14369" max="14369" width="1" style="5" customWidth="1"/>
    <col min="14370" max="14370" width="4.33203125" style="5" customWidth="1"/>
    <col min="14371" max="14371" width="1.6640625" style="5" customWidth="1"/>
    <col min="14372" max="14372" width="1.33203125" style="5" customWidth="1"/>
    <col min="14373" max="14373" width="1" style="5" customWidth="1"/>
    <col min="14374" max="14374" width="0.83203125" style="5" customWidth="1"/>
    <col min="14375" max="14375" width="1.5" style="5" customWidth="1"/>
    <col min="14376" max="14376" width="1" style="5" customWidth="1"/>
    <col min="14377" max="14377" width="2.5" style="5" customWidth="1"/>
    <col min="14378" max="14378" width="3.6640625" style="5" customWidth="1"/>
    <col min="14379" max="14381" width="0.1640625" style="5" customWidth="1"/>
    <col min="14382" max="14382" width="0.33203125" style="5" customWidth="1"/>
    <col min="14383" max="14383" width="2.33203125" style="5" customWidth="1"/>
    <col min="14384" max="14384" width="0.1640625" style="5" customWidth="1"/>
    <col min="14385" max="14385" width="0.6640625" style="5" customWidth="1"/>
    <col min="14386" max="14386" width="0.33203125" style="5" customWidth="1"/>
    <col min="14387" max="14387" width="0.5" style="5" customWidth="1"/>
    <col min="14388" max="14388" width="7.1640625" style="5" customWidth="1"/>
    <col min="14389" max="14389" width="1.1640625" style="5" customWidth="1"/>
    <col min="14390" max="14390" width="0.33203125" style="5" customWidth="1"/>
    <col min="14391" max="14391" width="2.33203125" style="5" customWidth="1"/>
    <col min="14392" max="14392" width="0.83203125" style="5" customWidth="1"/>
    <col min="14393" max="14393" width="2.33203125" style="5" customWidth="1"/>
    <col min="14394" max="14394" width="7.33203125" style="5" customWidth="1"/>
    <col min="14395" max="14395" width="2.33203125" style="5" customWidth="1"/>
    <col min="14396" max="14396" width="0.83203125" style="5" customWidth="1"/>
    <col min="14397" max="14397" width="1.1640625" style="5" customWidth="1"/>
    <col min="14398" max="14398" width="8.5" style="5" customWidth="1"/>
    <col min="14399" max="14399" width="2.33203125" style="5" customWidth="1"/>
    <col min="14400" max="14400" width="0.83203125" style="5" customWidth="1"/>
    <col min="14401" max="14401" width="1" style="5" customWidth="1"/>
    <col min="14402" max="14402" width="7.5" style="5" customWidth="1"/>
    <col min="14403" max="14403" width="1.1640625" style="5" customWidth="1"/>
    <col min="14404" max="14592" width="10.83203125" style="5"/>
    <col min="14593" max="14593" width="0.5" style="5" customWidth="1"/>
    <col min="14594" max="14594" width="0.33203125" style="5" customWidth="1"/>
    <col min="14595" max="14595" width="1.5" style="5" customWidth="1"/>
    <col min="14596" max="14596" width="0.33203125" style="5" customWidth="1"/>
    <col min="14597" max="14597" width="0.5" style="5" customWidth="1"/>
    <col min="14598" max="14600" width="2" style="5" customWidth="1"/>
    <col min="14601" max="14601" width="0.1640625" style="5" customWidth="1"/>
    <col min="14602" max="14602" width="2" style="5" customWidth="1"/>
    <col min="14603" max="14605" width="0.1640625" style="5" customWidth="1"/>
    <col min="14606" max="14606" width="13.1640625" style="5" customWidth="1"/>
    <col min="14607" max="14607" width="3" style="5" customWidth="1"/>
    <col min="14608" max="14608" width="11" style="5" customWidth="1"/>
    <col min="14609" max="14609" width="1" style="5" customWidth="1"/>
    <col min="14610" max="14610" width="2.1640625" style="5" customWidth="1"/>
    <col min="14611" max="14611" width="2.33203125" style="5" customWidth="1"/>
    <col min="14612" max="14612" width="0.83203125" style="5" customWidth="1"/>
    <col min="14613" max="14613" width="3.1640625" style="5" customWidth="1"/>
    <col min="14614" max="14614" width="3.5" style="5" customWidth="1"/>
    <col min="14615" max="14615" width="3.1640625" style="5" customWidth="1"/>
    <col min="14616" max="14616" width="2.33203125" style="5" customWidth="1"/>
    <col min="14617" max="14617" width="0.83203125" style="5" customWidth="1"/>
    <col min="14618" max="14618" width="2.5" style="5" customWidth="1"/>
    <col min="14619" max="14619" width="6.6640625" style="5" customWidth="1"/>
    <col min="14620" max="14620" width="0.33203125" style="5" customWidth="1"/>
    <col min="14621" max="14621" width="0.1640625" style="5" customWidth="1"/>
    <col min="14622" max="14622" width="2.33203125" style="5" customWidth="1"/>
    <col min="14623" max="14623" width="0.83203125" style="5" customWidth="1"/>
    <col min="14624" max="14624" width="2.6640625" style="5" customWidth="1"/>
    <col min="14625" max="14625" width="1" style="5" customWidth="1"/>
    <col min="14626" max="14626" width="4.33203125" style="5" customWidth="1"/>
    <col min="14627" max="14627" width="1.6640625" style="5" customWidth="1"/>
    <col min="14628" max="14628" width="1.33203125" style="5" customWidth="1"/>
    <col min="14629" max="14629" width="1" style="5" customWidth="1"/>
    <col min="14630" max="14630" width="0.83203125" style="5" customWidth="1"/>
    <col min="14631" max="14631" width="1.5" style="5" customWidth="1"/>
    <col min="14632" max="14632" width="1" style="5" customWidth="1"/>
    <col min="14633" max="14633" width="2.5" style="5" customWidth="1"/>
    <col min="14634" max="14634" width="3.6640625" style="5" customWidth="1"/>
    <col min="14635" max="14637" width="0.1640625" style="5" customWidth="1"/>
    <col min="14638" max="14638" width="0.33203125" style="5" customWidth="1"/>
    <col min="14639" max="14639" width="2.33203125" style="5" customWidth="1"/>
    <col min="14640" max="14640" width="0.1640625" style="5" customWidth="1"/>
    <col min="14641" max="14641" width="0.6640625" style="5" customWidth="1"/>
    <col min="14642" max="14642" width="0.33203125" style="5" customWidth="1"/>
    <col min="14643" max="14643" width="0.5" style="5" customWidth="1"/>
    <col min="14644" max="14644" width="7.1640625" style="5" customWidth="1"/>
    <col min="14645" max="14645" width="1.1640625" style="5" customWidth="1"/>
    <col min="14646" max="14646" width="0.33203125" style="5" customWidth="1"/>
    <col min="14647" max="14647" width="2.33203125" style="5" customWidth="1"/>
    <col min="14648" max="14648" width="0.83203125" style="5" customWidth="1"/>
    <col min="14649" max="14649" width="2.33203125" style="5" customWidth="1"/>
    <col min="14650" max="14650" width="7.33203125" style="5" customWidth="1"/>
    <col min="14651" max="14651" width="2.33203125" style="5" customWidth="1"/>
    <col min="14652" max="14652" width="0.83203125" style="5" customWidth="1"/>
    <col min="14653" max="14653" width="1.1640625" style="5" customWidth="1"/>
    <col min="14654" max="14654" width="8.5" style="5" customWidth="1"/>
    <col min="14655" max="14655" width="2.33203125" style="5" customWidth="1"/>
    <col min="14656" max="14656" width="0.83203125" style="5" customWidth="1"/>
    <col min="14657" max="14657" width="1" style="5" customWidth="1"/>
    <col min="14658" max="14658" width="7.5" style="5" customWidth="1"/>
    <col min="14659" max="14659" width="1.1640625" style="5" customWidth="1"/>
    <col min="14660" max="14848" width="10.83203125" style="5"/>
    <col min="14849" max="14849" width="0.5" style="5" customWidth="1"/>
    <col min="14850" max="14850" width="0.33203125" style="5" customWidth="1"/>
    <col min="14851" max="14851" width="1.5" style="5" customWidth="1"/>
    <col min="14852" max="14852" width="0.33203125" style="5" customWidth="1"/>
    <col min="14853" max="14853" width="0.5" style="5" customWidth="1"/>
    <col min="14854" max="14856" width="2" style="5" customWidth="1"/>
    <col min="14857" max="14857" width="0.1640625" style="5" customWidth="1"/>
    <col min="14858" max="14858" width="2" style="5" customWidth="1"/>
    <col min="14859" max="14861" width="0.1640625" style="5" customWidth="1"/>
    <col min="14862" max="14862" width="13.1640625" style="5" customWidth="1"/>
    <col min="14863" max="14863" width="3" style="5" customWidth="1"/>
    <col min="14864" max="14864" width="11" style="5" customWidth="1"/>
    <col min="14865" max="14865" width="1" style="5" customWidth="1"/>
    <col min="14866" max="14866" width="2.1640625" style="5" customWidth="1"/>
    <col min="14867" max="14867" width="2.33203125" style="5" customWidth="1"/>
    <col min="14868" max="14868" width="0.83203125" style="5" customWidth="1"/>
    <col min="14869" max="14869" width="3.1640625" style="5" customWidth="1"/>
    <col min="14870" max="14870" width="3.5" style="5" customWidth="1"/>
    <col min="14871" max="14871" width="3.1640625" style="5" customWidth="1"/>
    <col min="14872" max="14872" width="2.33203125" style="5" customWidth="1"/>
    <col min="14873" max="14873" width="0.83203125" style="5" customWidth="1"/>
    <col min="14874" max="14874" width="2.5" style="5" customWidth="1"/>
    <col min="14875" max="14875" width="6.6640625" style="5" customWidth="1"/>
    <col min="14876" max="14876" width="0.33203125" style="5" customWidth="1"/>
    <col min="14877" max="14877" width="0.1640625" style="5" customWidth="1"/>
    <col min="14878" max="14878" width="2.33203125" style="5" customWidth="1"/>
    <col min="14879" max="14879" width="0.83203125" style="5" customWidth="1"/>
    <col min="14880" max="14880" width="2.6640625" style="5" customWidth="1"/>
    <col min="14881" max="14881" width="1" style="5" customWidth="1"/>
    <col min="14882" max="14882" width="4.33203125" style="5" customWidth="1"/>
    <col min="14883" max="14883" width="1.6640625" style="5" customWidth="1"/>
    <col min="14884" max="14884" width="1.33203125" style="5" customWidth="1"/>
    <col min="14885" max="14885" width="1" style="5" customWidth="1"/>
    <col min="14886" max="14886" width="0.83203125" style="5" customWidth="1"/>
    <col min="14887" max="14887" width="1.5" style="5" customWidth="1"/>
    <col min="14888" max="14888" width="1" style="5" customWidth="1"/>
    <col min="14889" max="14889" width="2.5" style="5" customWidth="1"/>
    <col min="14890" max="14890" width="3.6640625" style="5" customWidth="1"/>
    <col min="14891" max="14893" width="0.1640625" style="5" customWidth="1"/>
    <col min="14894" max="14894" width="0.33203125" style="5" customWidth="1"/>
    <col min="14895" max="14895" width="2.33203125" style="5" customWidth="1"/>
    <col min="14896" max="14896" width="0.1640625" style="5" customWidth="1"/>
    <col min="14897" max="14897" width="0.6640625" style="5" customWidth="1"/>
    <col min="14898" max="14898" width="0.33203125" style="5" customWidth="1"/>
    <col min="14899" max="14899" width="0.5" style="5" customWidth="1"/>
    <col min="14900" max="14900" width="7.1640625" style="5" customWidth="1"/>
    <col min="14901" max="14901" width="1.1640625" style="5" customWidth="1"/>
    <col min="14902" max="14902" width="0.33203125" style="5" customWidth="1"/>
    <col min="14903" max="14903" width="2.33203125" style="5" customWidth="1"/>
    <col min="14904" max="14904" width="0.83203125" style="5" customWidth="1"/>
    <col min="14905" max="14905" width="2.33203125" style="5" customWidth="1"/>
    <col min="14906" max="14906" width="7.33203125" style="5" customWidth="1"/>
    <col min="14907" max="14907" width="2.33203125" style="5" customWidth="1"/>
    <col min="14908" max="14908" width="0.83203125" style="5" customWidth="1"/>
    <col min="14909" max="14909" width="1.1640625" style="5" customWidth="1"/>
    <col min="14910" max="14910" width="8.5" style="5" customWidth="1"/>
    <col min="14911" max="14911" width="2.33203125" style="5" customWidth="1"/>
    <col min="14912" max="14912" width="0.83203125" style="5" customWidth="1"/>
    <col min="14913" max="14913" width="1" style="5" customWidth="1"/>
    <col min="14914" max="14914" width="7.5" style="5" customWidth="1"/>
    <col min="14915" max="14915" width="1.1640625" style="5" customWidth="1"/>
    <col min="14916" max="15104" width="10.83203125" style="5"/>
    <col min="15105" max="15105" width="0.5" style="5" customWidth="1"/>
    <col min="15106" max="15106" width="0.33203125" style="5" customWidth="1"/>
    <col min="15107" max="15107" width="1.5" style="5" customWidth="1"/>
    <col min="15108" max="15108" width="0.33203125" style="5" customWidth="1"/>
    <col min="15109" max="15109" width="0.5" style="5" customWidth="1"/>
    <col min="15110" max="15112" width="2" style="5" customWidth="1"/>
    <col min="15113" max="15113" width="0.1640625" style="5" customWidth="1"/>
    <col min="15114" max="15114" width="2" style="5" customWidth="1"/>
    <col min="15115" max="15117" width="0.1640625" style="5" customWidth="1"/>
    <col min="15118" max="15118" width="13.1640625" style="5" customWidth="1"/>
    <col min="15119" max="15119" width="3" style="5" customWidth="1"/>
    <col min="15120" max="15120" width="11" style="5" customWidth="1"/>
    <col min="15121" max="15121" width="1" style="5" customWidth="1"/>
    <col min="15122" max="15122" width="2.1640625" style="5" customWidth="1"/>
    <col min="15123" max="15123" width="2.33203125" style="5" customWidth="1"/>
    <col min="15124" max="15124" width="0.83203125" style="5" customWidth="1"/>
    <col min="15125" max="15125" width="3.1640625" style="5" customWidth="1"/>
    <col min="15126" max="15126" width="3.5" style="5" customWidth="1"/>
    <col min="15127" max="15127" width="3.1640625" style="5" customWidth="1"/>
    <col min="15128" max="15128" width="2.33203125" style="5" customWidth="1"/>
    <col min="15129" max="15129" width="0.83203125" style="5" customWidth="1"/>
    <col min="15130" max="15130" width="2.5" style="5" customWidth="1"/>
    <col min="15131" max="15131" width="6.6640625" style="5" customWidth="1"/>
    <col min="15132" max="15132" width="0.33203125" style="5" customWidth="1"/>
    <col min="15133" max="15133" width="0.1640625" style="5" customWidth="1"/>
    <col min="15134" max="15134" width="2.33203125" style="5" customWidth="1"/>
    <col min="15135" max="15135" width="0.83203125" style="5" customWidth="1"/>
    <col min="15136" max="15136" width="2.6640625" style="5" customWidth="1"/>
    <col min="15137" max="15137" width="1" style="5" customWidth="1"/>
    <col min="15138" max="15138" width="4.33203125" style="5" customWidth="1"/>
    <col min="15139" max="15139" width="1.6640625" style="5" customWidth="1"/>
    <col min="15140" max="15140" width="1.33203125" style="5" customWidth="1"/>
    <col min="15141" max="15141" width="1" style="5" customWidth="1"/>
    <col min="15142" max="15142" width="0.83203125" style="5" customWidth="1"/>
    <col min="15143" max="15143" width="1.5" style="5" customWidth="1"/>
    <col min="15144" max="15144" width="1" style="5" customWidth="1"/>
    <col min="15145" max="15145" width="2.5" style="5" customWidth="1"/>
    <col min="15146" max="15146" width="3.6640625" style="5" customWidth="1"/>
    <col min="15147" max="15149" width="0.1640625" style="5" customWidth="1"/>
    <col min="15150" max="15150" width="0.33203125" style="5" customWidth="1"/>
    <col min="15151" max="15151" width="2.33203125" style="5" customWidth="1"/>
    <col min="15152" max="15152" width="0.1640625" style="5" customWidth="1"/>
    <col min="15153" max="15153" width="0.6640625" style="5" customWidth="1"/>
    <col min="15154" max="15154" width="0.33203125" style="5" customWidth="1"/>
    <col min="15155" max="15155" width="0.5" style="5" customWidth="1"/>
    <col min="15156" max="15156" width="7.1640625" style="5" customWidth="1"/>
    <col min="15157" max="15157" width="1.1640625" style="5" customWidth="1"/>
    <col min="15158" max="15158" width="0.33203125" style="5" customWidth="1"/>
    <col min="15159" max="15159" width="2.33203125" style="5" customWidth="1"/>
    <col min="15160" max="15160" width="0.83203125" style="5" customWidth="1"/>
    <col min="15161" max="15161" width="2.33203125" style="5" customWidth="1"/>
    <col min="15162" max="15162" width="7.33203125" style="5" customWidth="1"/>
    <col min="15163" max="15163" width="2.33203125" style="5" customWidth="1"/>
    <col min="15164" max="15164" width="0.83203125" style="5" customWidth="1"/>
    <col min="15165" max="15165" width="1.1640625" style="5" customWidth="1"/>
    <col min="15166" max="15166" width="8.5" style="5" customWidth="1"/>
    <col min="15167" max="15167" width="2.33203125" style="5" customWidth="1"/>
    <col min="15168" max="15168" width="0.83203125" style="5" customWidth="1"/>
    <col min="15169" max="15169" width="1" style="5" customWidth="1"/>
    <col min="15170" max="15170" width="7.5" style="5" customWidth="1"/>
    <col min="15171" max="15171" width="1.1640625" style="5" customWidth="1"/>
    <col min="15172" max="15360" width="10.83203125" style="5"/>
    <col min="15361" max="15361" width="0.5" style="5" customWidth="1"/>
    <col min="15362" max="15362" width="0.33203125" style="5" customWidth="1"/>
    <col min="15363" max="15363" width="1.5" style="5" customWidth="1"/>
    <col min="15364" max="15364" width="0.33203125" style="5" customWidth="1"/>
    <col min="15365" max="15365" width="0.5" style="5" customWidth="1"/>
    <col min="15366" max="15368" width="2" style="5" customWidth="1"/>
    <col min="15369" max="15369" width="0.1640625" style="5" customWidth="1"/>
    <col min="15370" max="15370" width="2" style="5" customWidth="1"/>
    <col min="15371" max="15373" width="0.1640625" style="5" customWidth="1"/>
    <col min="15374" max="15374" width="13.1640625" style="5" customWidth="1"/>
    <col min="15375" max="15375" width="3" style="5" customWidth="1"/>
    <col min="15376" max="15376" width="11" style="5" customWidth="1"/>
    <col min="15377" max="15377" width="1" style="5" customWidth="1"/>
    <col min="15378" max="15378" width="2.1640625" style="5" customWidth="1"/>
    <col min="15379" max="15379" width="2.33203125" style="5" customWidth="1"/>
    <col min="15380" max="15380" width="0.83203125" style="5" customWidth="1"/>
    <col min="15381" max="15381" width="3.1640625" style="5" customWidth="1"/>
    <col min="15382" max="15382" width="3.5" style="5" customWidth="1"/>
    <col min="15383" max="15383" width="3.1640625" style="5" customWidth="1"/>
    <col min="15384" max="15384" width="2.33203125" style="5" customWidth="1"/>
    <col min="15385" max="15385" width="0.83203125" style="5" customWidth="1"/>
    <col min="15386" max="15386" width="2.5" style="5" customWidth="1"/>
    <col min="15387" max="15387" width="6.6640625" style="5" customWidth="1"/>
    <col min="15388" max="15388" width="0.33203125" style="5" customWidth="1"/>
    <col min="15389" max="15389" width="0.1640625" style="5" customWidth="1"/>
    <col min="15390" max="15390" width="2.33203125" style="5" customWidth="1"/>
    <col min="15391" max="15391" width="0.83203125" style="5" customWidth="1"/>
    <col min="15392" max="15392" width="2.6640625" style="5" customWidth="1"/>
    <col min="15393" max="15393" width="1" style="5" customWidth="1"/>
    <col min="15394" max="15394" width="4.33203125" style="5" customWidth="1"/>
    <col min="15395" max="15395" width="1.6640625" style="5" customWidth="1"/>
    <col min="15396" max="15396" width="1.33203125" style="5" customWidth="1"/>
    <col min="15397" max="15397" width="1" style="5" customWidth="1"/>
    <col min="15398" max="15398" width="0.83203125" style="5" customWidth="1"/>
    <col min="15399" max="15399" width="1.5" style="5" customWidth="1"/>
    <col min="15400" max="15400" width="1" style="5" customWidth="1"/>
    <col min="15401" max="15401" width="2.5" style="5" customWidth="1"/>
    <col min="15402" max="15402" width="3.6640625" style="5" customWidth="1"/>
    <col min="15403" max="15405" width="0.1640625" style="5" customWidth="1"/>
    <col min="15406" max="15406" width="0.33203125" style="5" customWidth="1"/>
    <col min="15407" max="15407" width="2.33203125" style="5" customWidth="1"/>
    <col min="15408" max="15408" width="0.1640625" style="5" customWidth="1"/>
    <col min="15409" max="15409" width="0.6640625" style="5" customWidth="1"/>
    <col min="15410" max="15410" width="0.33203125" style="5" customWidth="1"/>
    <col min="15411" max="15411" width="0.5" style="5" customWidth="1"/>
    <col min="15412" max="15412" width="7.1640625" style="5" customWidth="1"/>
    <col min="15413" max="15413" width="1.1640625" style="5" customWidth="1"/>
    <col min="15414" max="15414" width="0.33203125" style="5" customWidth="1"/>
    <col min="15415" max="15415" width="2.33203125" style="5" customWidth="1"/>
    <col min="15416" max="15416" width="0.83203125" style="5" customWidth="1"/>
    <col min="15417" max="15417" width="2.33203125" style="5" customWidth="1"/>
    <col min="15418" max="15418" width="7.33203125" style="5" customWidth="1"/>
    <col min="15419" max="15419" width="2.33203125" style="5" customWidth="1"/>
    <col min="15420" max="15420" width="0.83203125" style="5" customWidth="1"/>
    <col min="15421" max="15421" width="1.1640625" style="5" customWidth="1"/>
    <col min="15422" max="15422" width="8.5" style="5" customWidth="1"/>
    <col min="15423" max="15423" width="2.33203125" style="5" customWidth="1"/>
    <col min="15424" max="15424" width="0.83203125" style="5" customWidth="1"/>
    <col min="15425" max="15425" width="1" style="5" customWidth="1"/>
    <col min="15426" max="15426" width="7.5" style="5" customWidth="1"/>
    <col min="15427" max="15427" width="1.1640625" style="5" customWidth="1"/>
    <col min="15428" max="15616" width="10.83203125" style="5"/>
    <col min="15617" max="15617" width="0.5" style="5" customWidth="1"/>
    <col min="15618" max="15618" width="0.33203125" style="5" customWidth="1"/>
    <col min="15619" max="15619" width="1.5" style="5" customWidth="1"/>
    <col min="15620" max="15620" width="0.33203125" style="5" customWidth="1"/>
    <col min="15621" max="15621" width="0.5" style="5" customWidth="1"/>
    <col min="15622" max="15624" width="2" style="5" customWidth="1"/>
    <col min="15625" max="15625" width="0.1640625" style="5" customWidth="1"/>
    <col min="15626" max="15626" width="2" style="5" customWidth="1"/>
    <col min="15627" max="15629" width="0.1640625" style="5" customWidth="1"/>
    <col min="15630" max="15630" width="13.1640625" style="5" customWidth="1"/>
    <col min="15631" max="15631" width="3" style="5" customWidth="1"/>
    <col min="15632" max="15632" width="11" style="5" customWidth="1"/>
    <col min="15633" max="15633" width="1" style="5" customWidth="1"/>
    <col min="15634" max="15634" width="2.1640625" style="5" customWidth="1"/>
    <col min="15635" max="15635" width="2.33203125" style="5" customWidth="1"/>
    <col min="15636" max="15636" width="0.83203125" style="5" customWidth="1"/>
    <col min="15637" max="15637" width="3.1640625" style="5" customWidth="1"/>
    <col min="15638" max="15638" width="3.5" style="5" customWidth="1"/>
    <col min="15639" max="15639" width="3.1640625" style="5" customWidth="1"/>
    <col min="15640" max="15640" width="2.33203125" style="5" customWidth="1"/>
    <col min="15641" max="15641" width="0.83203125" style="5" customWidth="1"/>
    <col min="15642" max="15642" width="2.5" style="5" customWidth="1"/>
    <col min="15643" max="15643" width="6.6640625" style="5" customWidth="1"/>
    <col min="15644" max="15644" width="0.33203125" style="5" customWidth="1"/>
    <col min="15645" max="15645" width="0.1640625" style="5" customWidth="1"/>
    <col min="15646" max="15646" width="2.33203125" style="5" customWidth="1"/>
    <col min="15647" max="15647" width="0.83203125" style="5" customWidth="1"/>
    <col min="15648" max="15648" width="2.6640625" style="5" customWidth="1"/>
    <col min="15649" max="15649" width="1" style="5" customWidth="1"/>
    <col min="15650" max="15650" width="4.33203125" style="5" customWidth="1"/>
    <col min="15651" max="15651" width="1.6640625" style="5" customWidth="1"/>
    <col min="15652" max="15652" width="1.33203125" style="5" customWidth="1"/>
    <col min="15653" max="15653" width="1" style="5" customWidth="1"/>
    <col min="15654" max="15654" width="0.83203125" style="5" customWidth="1"/>
    <col min="15655" max="15655" width="1.5" style="5" customWidth="1"/>
    <col min="15656" max="15656" width="1" style="5" customWidth="1"/>
    <col min="15657" max="15657" width="2.5" style="5" customWidth="1"/>
    <col min="15658" max="15658" width="3.6640625" style="5" customWidth="1"/>
    <col min="15659" max="15661" width="0.1640625" style="5" customWidth="1"/>
    <col min="15662" max="15662" width="0.33203125" style="5" customWidth="1"/>
    <col min="15663" max="15663" width="2.33203125" style="5" customWidth="1"/>
    <col min="15664" max="15664" width="0.1640625" style="5" customWidth="1"/>
    <col min="15665" max="15665" width="0.6640625" style="5" customWidth="1"/>
    <col min="15666" max="15666" width="0.33203125" style="5" customWidth="1"/>
    <col min="15667" max="15667" width="0.5" style="5" customWidth="1"/>
    <col min="15668" max="15668" width="7.1640625" style="5" customWidth="1"/>
    <col min="15669" max="15669" width="1.1640625" style="5" customWidth="1"/>
    <col min="15670" max="15670" width="0.33203125" style="5" customWidth="1"/>
    <col min="15671" max="15671" width="2.33203125" style="5" customWidth="1"/>
    <col min="15672" max="15672" width="0.83203125" style="5" customWidth="1"/>
    <col min="15673" max="15673" width="2.33203125" style="5" customWidth="1"/>
    <col min="15674" max="15674" width="7.33203125" style="5" customWidth="1"/>
    <col min="15675" max="15675" width="2.33203125" style="5" customWidth="1"/>
    <col min="15676" max="15676" width="0.83203125" style="5" customWidth="1"/>
    <col min="15677" max="15677" width="1.1640625" style="5" customWidth="1"/>
    <col min="15678" max="15678" width="8.5" style="5" customWidth="1"/>
    <col min="15679" max="15679" width="2.33203125" style="5" customWidth="1"/>
    <col min="15680" max="15680" width="0.83203125" style="5" customWidth="1"/>
    <col min="15681" max="15681" width="1" style="5" customWidth="1"/>
    <col min="15682" max="15682" width="7.5" style="5" customWidth="1"/>
    <col min="15683" max="15683" width="1.1640625" style="5" customWidth="1"/>
    <col min="15684" max="15872" width="10.83203125" style="5"/>
    <col min="15873" max="15873" width="0.5" style="5" customWidth="1"/>
    <col min="15874" max="15874" width="0.33203125" style="5" customWidth="1"/>
    <col min="15875" max="15875" width="1.5" style="5" customWidth="1"/>
    <col min="15876" max="15876" width="0.33203125" style="5" customWidth="1"/>
    <col min="15877" max="15877" width="0.5" style="5" customWidth="1"/>
    <col min="15878" max="15880" width="2" style="5" customWidth="1"/>
    <col min="15881" max="15881" width="0.1640625" style="5" customWidth="1"/>
    <col min="15882" max="15882" width="2" style="5" customWidth="1"/>
    <col min="15883" max="15885" width="0.1640625" style="5" customWidth="1"/>
    <col min="15886" max="15886" width="13.1640625" style="5" customWidth="1"/>
    <col min="15887" max="15887" width="3" style="5" customWidth="1"/>
    <col min="15888" max="15888" width="11" style="5" customWidth="1"/>
    <col min="15889" max="15889" width="1" style="5" customWidth="1"/>
    <col min="15890" max="15890" width="2.1640625" style="5" customWidth="1"/>
    <col min="15891" max="15891" width="2.33203125" style="5" customWidth="1"/>
    <col min="15892" max="15892" width="0.83203125" style="5" customWidth="1"/>
    <col min="15893" max="15893" width="3.1640625" style="5" customWidth="1"/>
    <col min="15894" max="15894" width="3.5" style="5" customWidth="1"/>
    <col min="15895" max="15895" width="3.1640625" style="5" customWidth="1"/>
    <col min="15896" max="15896" width="2.33203125" style="5" customWidth="1"/>
    <col min="15897" max="15897" width="0.83203125" style="5" customWidth="1"/>
    <col min="15898" max="15898" width="2.5" style="5" customWidth="1"/>
    <col min="15899" max="15899" width="6.6640625" style="5" customWidth="1"/>
    <col min="15900" max="15900" width="0.33203125" style="5" customWidth="1"/>
    <col min="15901" max="15901" width="0.1640625" style="5" customWidth="1"/>
    <col min="15902" max="15902" width="2.33203125" style="5" customWidth="1"/>
    <col min="15903" max="15903" width="0.83203125" style="5" customWidth="1"/>
    <col min="15904" max="15904" width="2.6640625" style="5" customWidth="1"/>
    <col min="15905" max="15905" width="1" style="5" customWidth="1"/>
    <col min="15906" max="15906" width="4.33203125" style="5" customWidth="1"/>
    <col min="15907" max="15907" width="1.6640625" style="5" customWidth="1"/>
    <col min="15908" max="15908" width="1.33203125" style="5" customWidth="1"/>
    <col min="15909" max="15909" width="1" style="5" customWidth="1"/>
    <col min="15910" max="15910" width="0.83203125" style="5" customWidth="1"/>
    <col min="15911" max="15911" width="1.5" style="5" customWidth="1"/>
    <col min="15912" max="15912" width="1" style="5" customWidth="1"/>
    <col min="15913" max="15913" width="2.5" style="5" customWidth="1"/>
    <col min="15914" max="15914" width="3.6640625" style="5" customWidth="1"/>
    <col min="15915" max="15917" width="0.1640625" style="5" customWidth="1"/>
    <col min="15918" max="15918" width="0.33203125" style="5" customWidth="1"/>
    <col min="15919" max="15919" width="2.33203125" style="5" customWidth="1"/>
    <col min="15920" max="15920" width="0.1640625" style="5" customWidth="1"/>
    <col min="15921" max="15921" width="0.6640625" style="5" customWidth="1"/>
    <col min="15922" max="15922" width="0.33203125" style="5" customWidth="1"/>
    <col min="15923" max="15923" width="0.5" style="5" customWidth="1"/>
    <col min="15924" max="15924" width="7.1640625" style="5" customWidth="1"/>
    <col min="15925" max="15925" width="1.1640625" style="5" customWidth="1"/>
    <col min="15926" max="15926" width="0.33203125" style="5" customWidth="1"/>
    <col min="15927" max="15927" width="2.33203125" style="5" customWidth="1"/>
    <col min="15928" max="15928" width="0.83203125" style="5" customWidth="1"/>
    <col min="15929" max="15929" width="2.33203125" style="5" customWidth="1"/>
    <col min="15930" max="15930" width="7.33203125" style="5" customWidth="1"/>
    <col min="15931" max="15931" width="2.33203125" style="5" customWidth="1"/>
    <col min="15932" max="15932" width="0.83203125" style="5" customWidth="1"/>
    <col min="15933" max="15933" width="1.1640625" style="5" customWidth="1"/>
    <col min="15934" max="15934" width="8.5" style="5" customWidth="1"/>
    <col min="15935" max="15935" width="2.33203125" style="5" customWidth="1"/>
    <col min="15936" max="15936" width="0.83203125" style="5" customWidth="1"/>
    <col min="15937" max="15937" width="1" style="5" customWidth="1"/>
    <col min="15938" max="15938" width="7.5" style="5" customWidth="1"/>
    <col min="15939" max="15939" width="1.1640625" style="5" customWidth="1"/>
    <col min="15940" max="16128" width="10.83203125" style="5"/>
    <col min="16129" max="16129" width="0.5" style="5" customWidth="1"/>
    <col min="16130" max="16130" width="0.33203125" style="5" customWidth="1"/>
    <col min="16131" max="16131" width="1.5" style="5" customWidth="1"/>
    <col min="16132" max="16132" width="0.33203125" style="5" customWidth="1"/>
    <col min="16133" max="16133" width="0.5" style="5" customWidth="1"/>
    <col min="16134" max="16136" width="2" style="5" customWidth="1"/>
    <col min="16137" max="16137" width="0.1640625" style="5" customWidth="1"/>
    <col min="16138" max="16138" width="2" style="5" customWidth="1"/>
    <col min="16139" max="16141" width="0.1640625" style="5" customWidth="1"/>
    <col min="16142" max="16142" width="13.1640625" style="5" customWidth="1"/>
    <col min="16143" max="16143" width="3" style="5" customWidth="1"/>
    <col min="16144" max="16144" width="11" style="5" customWidth="1"/>
    <col min="16145" max="16145" width="1" style="5" customWidth="1"/>
    <col min="16146" max="16146" width="2.1640625" style="5" customWidth="1"/>
    <col min="16147" max="16147" width="2.33203125" style="5" customWidth="1"/>
    <col min="16148" max="16148" width="0.83203125" style="5" customWidth="1"/>
    <col min="16149" max="16149" width="3.1640625" style="5" customWidth="1"/>
    <col min="16150" max="16150" width="3.5" style="5" customWidth="1"/>
    <col min="16151" max="16151" width="3.1640625" style="5" customWidth="1"/>
    <col min="16152" max="16152" width="2.33203125" style="5" customWidth="1"/>
    <col min="16153" max="16153" width="0.83203125" style="5" customWidth="1"/>
    <col min="16154" max="16154" width="2.5" style="5" customWidth="1"/>
    <col min="16155" max="16155" width="6.6640625" style="5" customWidth="1"/>
    <col min="16156" max="16156" width="0.33203125" style="5" customWidth="1"/>
    <col min="16157" max="16157" width="0.1640625" style="5" customWidth="1"/>
    <col min="16158" max="16158" width="2.33203125" style="5" customWidth="1"/>
    <col min="16159" max="16159" width="0.83203125" style="5" customWidth="1"/>
    <col min="16160" max="16160" width="2.6640625" style="5" customWidth="1"/>
    <col min="16161" max="16161" width="1" style="5" customWidth="1"/>
    <col min="16162" max="16162" width="4.33203125" style="5" customWidth="1"/>
    <col min="16163" max="16163" width="1.6640625" style="5" customWidth="1"/>
    <col min="16164" max="16164" width="1.33203125" style="5" customWidth="1"/>
    <col min="16165" max="16165" width="1" style="5" customWidth="1"/>
    <col min="16166" max="16166" width="0.83203125" style="5" customWidth="1"/>
    <col min="16167" max="16167" width="1.5" style="5" customWidth="1"/>
    <col min="16168" max="16168" width="1" style="5" customWidth="1"/>
    <col min="16169" max="16169" width="2.5" style="5" customWidth="1"/>
    <col min="16170" max="16170" width="3.6640625" style="5" customWidth="1"/>
    <col min="16171" max="16173" width="0.1640625" style="5" customWidth="1"/>
    <col min="16174" max="16174" width="0.33203125" style="5" customWidth="1"/>
    <col min="16175" max="16175" width="2.33203125" style="5" customWidth="1"/>
    <col min="16176" max="16176" width="0.1640625" style="5" customWidth="1"/>
    <col min="16177" max="16177" width="0.6640625" style="5" customWidth="1"/>
    <col min="16178" max="16178" width="0.33203125" style="5" customWidth="1"/>
    <col min="16179" max="16179" width="0.5" style="5" customWidth="1"/>
    <col min="16180" max="16180" width="7.1640625" style="5" customWidth="1"/>
    <col min="16181" max="16181" width="1.1640625" style="5" customWidth="1"/>
    <col min="16182" max="16182" width="0.33203125" style="5" customWidth="1"/>
    <col min="16183" max="16183" width="2.33203125" style="5" customWidth="1"/>
    <col min="16184" max="16184" width="0.83203125" style="5" customWidth="1"/>
    <col min="16185" max="16185" width="2.33203125" style="5" customWidth="1"/>
    <col min="16186" max="16186" width="7.33203125" style="5" customWidth="1"/>
    <col min="16187" max="16187" width="2.33203125" style="5" customWidth="1"/>
    <col min="16188" max="16188" width="0.83203125" style="5" customWidth="1"/>
    <col min="16189" max="16189" width="1.1640625" style="5" customWidth="1"/>
    <col min="16190" max="16190" width="8.5" style="5" customWidth="1"/>
    <col min="16191" max="16191" width="2.33203125" style="5" customWidth="1"/>
    <col min="16192" max="16192" width="0.83203125" style="5" customWidth="1"/>
    <col min="16193" max="16193" width="1" style="5" customWidth="1"/>
    <col min="16194" max="16194" width="7.5" style="5" customWidth="1"/>
    <col min="16195" max="16195" width="1.1640625" style="5" customWidth="1"/>
    <col min="16196" max="16384" width="10.83203125" style="5"/>
  </cols>
  <sheetData>
    <row r="1" spans="1:51" ht="19.25" customHeight="1" x14ac:dyDescent="0.2">
      <c r="A1" s="362"/>
      <c r="B1" s="1141" t="s">
        <v>423</v>
      </c>
      <c r="C1" s="1142"/>
      <c r="D1" s="1142"/>
      <c r="E1" s="1142"/>
      <c r="F1" s="1142"/>
      <c r="G1" s="1142"/>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2"/>
      <c r="AH1" s="1142"/>
      <c r="AI1" s="1142"/>
      <c r="AJ1" s="1142"/>
      <c r="AK1" s="1142"/>
      <c r="AL1" s="1142"/>
      <c r="AM1" s="1142"/>
      <c r="AN1" s="1142"/>
      <c r="AO1" s="1142"/>
      <c r="AP1" s="1142"/>
      <c r="AQ1" s="1142"/>
      <c r="AR1" s="1142"/>
      <c r="AS1" s="1142"/>
      <c r="AT1" s="1142"/>
      <c r="AU1" s="1142"/>
      <c r="AV1" s="1142"/>
      <c r="AW1" s="1142"/>
      <c r="AX1" s="1142"/>
      <c r="AY1" s="1142"/>
    </row>
    <row r="2" spans="1:51" ht="12.5" customHeight="1" x14ac:dyDescent="0.2">
      <c r="A2" s="1143"/>
      <c r="B2" s="1010"/>
      <c r="C2" s="1010"/>
      <c r="D2" s="1010"/>
      <c r="E2" s="1010"/>
      <c r="F2" s="1010"/>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10"/>
      <c r="AL2" s="1010"/>
      <c r="AM2" s="1010"/>
      <c r="AN2" s="1010"/>
      <c r="AO2" s="1010"/>
      <c r="AP2" s="1010"/>
      <c r="AQ2" s="1010"/>
      <c r="AR2" s="1010"/>
      <c r="AS2" s="1010"/>
      <c r="AT2" s="1010"/>
      <c r="AU2" s="1010"/>
      <c r="AV2" s="1010"/>
      <c r="AW2" s="1010"/>
      <c r="AX2" s="1144"/>
    </row>
    <row r="3" spans="1:51" ht="13.5" customHeight="1" x14ac:dyDescent="0.2">
      <c r="A3" s="1134" t="s">
        <v>424</v>
      </c>
      <c r="B3" s="1012"/>
      <c r="C3" s="1012"/>
      <c r="D3" s="1012"/>
      <c r="E3" s="1012"/>
      <c r="F3" s="1012"/>
      <c r="G3" s="1012"/>
      <c r="H3" s="1012"/>
      <c r="I3" s="1012"/>
      <c r="J3" s="1012"/>
      <c r="K3" s="1012"/>
      <c r="L3" s="1012"/>
      <c r="M3" s="1012"/>
      <c r="N3" s="1012"/>
      <c r="O3" s="1012"/>
      <c r="P3" s="1012"/>
      <c r="Q3" s="1012"/>
      <c r="R3" s="1012"/>
      <c r="S3" s="1012"/>
      <c r="T3" s="1012"/>
      <c r="U3" s="1040"/>
      <c r="V3" s="1056" t="s">
        <v>425</v>
      </c>
      <c r="W3" s="1057"/>
      <c r="X3" s="1057"/>
      <c r="Y3" s="1057"/>
      <c r="Z3" s="1057"/>
      <c r="AA3" s="1057"/>
      <c r="AB3" s="1057"/>
      <c r="AC3" s="1057"/>
      <c r="AD3" s="1057"/>
      <c r="AE3" s="1057"/>
      <c r="AF3" s="1058"/>
      <c r="AG3" s="1011" t="s">
        <v>426</v>
      </c>
      <c r="AH3" s="1012"/>
      <c r="AI3" s="1012"/>
      <c r="AJ3" s="1012"/>
      <c r="AK3" s="1012"/>
      <c r="AL3" s="1012"/>
      <c r="AM3" s="1012"/>
      <c r="AN3" s="1012"/>
      <c r="AO3" s="1012"/>
      <c r="AP3" s="1012"/>
      <c r="AQ3" s="1012"/>
      <c r="AR3" s="1012"/>
      <c r="AS3" s="1012"/>
      <c r="AT3" s="1012"/>
      <c r="AU3" s="1012"/>
      <c r="AV3" s="1012"/>
      <c r="AW3" s="1012"/>
      <c r="AX3" s="1135"/>
    </row>
    <row r="4" spans="1:51" ht="12.5" customHeight="1" x14ac:dyDescent="0.2">
      <c r="A4" s="1143"/>
      <c r="B4" s="1010"/>
      <c r="C4" s="1010"/>
      <c r="D4" s="1010"/>
      <c r="E4" s="1010"/>
      <c r="F4" s="1010"/>
      <c r="G4" s="1010"/>
      <c r="H4" s="1010"/>
      <c r="I4" s="1010"/>
      <c r="J4" s="1010"/>
      <c r="K4" s="1010"/>
      <c r="L4" s="1010"/>
      <c r="M4" s="1010"/>
      <c r="N4" s="1010"/>
      <c r="O4" s="1010"/>
      <c r="P4" s="1010"/>
      <c r="Q4" s="1010"/>
      <c r="R4" s="1010"/>
      <c r="S4" s="1010"/>
      <c r="T4" s="1010"/>
      <c r="U4" s="1059"/>
      <c r="V4" s="1056" t="s">
        <v>427</v>
      </c>
      <c r="W4" s="1057"/>
      <c r="X4" s="1057"/>
      <c r="Y4" s="1057"/>
      <c r="Z4" s="1057"/>
      <c r="AA4" s="1057"/>
      <c r="AB4" s="1057"/>
      <c r="AC4" s="1057"/>
      <c r="AD4" s="1057"/>
      <c r="AE4" s="1057"/>
      <c r="AF4" s="1058"/>
      <c r="AG4" s="1011" t="s">
        <v>428</v>
      </c>
      <c r="AH4" s="1012"/>
      <c r="AI4" s="1012"/>
      <c r="AJ4" s="1012"/>
      <c r="AK4" s="1012"/>
      <c r="AL4" s="1012"/>
      <c r="AM4" s="1012"/>
      <c r="AN4" s="1012"/>
      <c r="AO4" s="1012"/>
      <c r="AP4" s="1012"/>
      <c r="AQ4" s="1012"/>
      <c r="AR4" s="1012"/>
      <c r="AS4" s="1012"/>
      <c r="AT4" s="1012"/>
      <c r="AU4" s="1012"/>
      <c r="AV4" s="1012"/>
      <c r="AW4" s="1012"/>
      <c r="AX4" s="1135"/>
    </row>
    <row r="5" spans="1:51" ht="1.25" customHeight="1" x14ac:dyDescent="0.2">
      <c r="A5" s="1134" t="s">
        <v>429</v>
      </c>
      <c r="B5" s="1012"/>
      <c r="C5" s="1012"/>
      <c r="D5" s="1012"/>
      <c r="E5" s="1012"/>
      <c r="F5" s="1012"/>
      <c r="G5" s="1012"/>
      <c r="H5" s="1012"/>
      <c r="I5" s="1012"/>
      <c r="J5" s="1012"/>
      <c r="K5" s="1012"/>
      <c r="L5" s="1012"/>
      <c r="M5" s="1012"/>
      <c r="N5" s="1012"/>
      <c r="O5" s="1012"/>
      <c r="P5" s="1012"/>
      <c r="Q5" s="1012"/>
      <c r="R5" s="1012"/>
      <c r="S5" s="1012"/>
      <c r="T5" s="1012"/>
      <c r="U5" s="1040"/>
      <c r="V5" s="1056"/>
      <c r="W5" s="1057"/>
      <c r="X5" s="1057"/>
      <c r="Y5" s="1057"/>
      <c r="Z5" s="1057"/>
      <c r="AA5" s="1057"/>
      <c r="AB5" s="1057"/>
      <c r="AC5" s="1057"/>
      <c r="AD5" s="1057"/>
      <c r="AE5" s="1057"/>
      <c r="AF5" s="1058"/>
      <c r="AG5" s="1011"/>
      <c r="AH5" s="1012"/>
      <c r="AI5" s="1012"/>
      <c r="AJ5" s="1012"/>
      <c r="AK5" s="1012"/>
      <c r="AL5" s="1012"/>
      <c r="AM5" s="1012"/>
      <c r="AN5" s="1012"/>
      <c r="AO5" s="1012"/>
      <c r="AP5" s="1012"/>
      <c r="AQ5" s="1012"/>
      <c r="AR5" s="1012"/>
      <c r="AS5" s="1012"/>
      <c r="AT5" s="1012"/>
      <c r="AU5" s="1012"/>
      <c r="AV5" s="1012"/>
      <c r="AW5" s="1012"/>
      <c r="AX5" s="1135"/>
    </row>
    <row r="6" spans="1:51" ht="12.5" customHeight="1" x14ac:dyDescent="0.2">
      <c r="A6" s="1134"/>
      <c r="B6" s="1012"/>
      <c r="C6" s="1012"/>
      <c r="D6" s="1012"/>
      <c r="E6" s="1012"/>
      <c r="F6" s="1012"/>
      <c r="G6" s="1012"/>
      <c r="H6" s="1012"/>
      <c r="I6" s="1012"/>
      <c r="J6" s="1012"/>
      <c r="K6" s="1012"/>
      <c r="L6" s="1012"/>
      <c r="M6" s="1012"/>
      <c r="N6" s="1012"/>
      <c r="O6" s="1012"/>
      <c r="P6" s="1012"/>
      <c r="Q6" s="1012"/>
      <c r="R6" s="1012"/>
      <c r="S6" s="1012"/>
      <c r="T6" s="1012"/>
      <c r="U6" s="1040"/>
      <c r="V6" s="1009"/>
      <c r="W6" s="1010"/>
      <c r="X6" s="1010"/>
      <c r="Y6" s="1010"/>
      <c r="Z6" s="1010"/>
      <c r="AA6" s="1010"/>
      <c r="AB6" s="1010"/>
      <c r="AC6" s="1010"/>
      <c r="AD6" s="1010"/>
      <c r="AE6" s="1010"/>
      <c r="AF6" s="1010"/>
      <c r="AG6" s="1010"/>
      <c r="AH6" s="1010"/>
      <c r="AI6" s="1010"/>
      <c r="AJ6" s="1010"/>
      <c r="AK6" s="1010"/>
      <c r="AL6" s="1010"/>
      <c r="AM6" s="1010"/>
      <c r="AN6" s="1010"/>
      <c r="AO6" s="1010"/>
      <c r="AP6" s="1010"/>
      <c r="AQ6" s="1010"/>
      <c r="AR6" s="1010"/>
      <c r="AS6" s="1010"/>
      <c r="AT6" s="1010"/>
      <c r="AU6" s="1010"/>
      <c r="AV6" s="1010"/>
      <c r="AW6" s="1010"/>
      <c r="AX6" s="1144"/>
    </row>
    <row r="7" spans="1:51" ht="13.5" customHeight="1" x14ac:dyDescent="0.2">
      <c r="A7" s="1134" t="s">
        <v>430</v>
      </c>
      <c r="B7" s="1012"/>
      <c r="C7" s="1012"/>
      <c r="D7" s="1012"/>
      <c r="E7" s="1012"/>
      <c r="F7" s="1012"/>
      <c r="G7" s="1012"/>
      <c r="H7" s="1012"/>
      <c r="I7" s="1012"/>
      <c r="J7" s="1012"/>
      <c r="K7" s="1012"/>
      <c r="L7" s="1012"/>
      <c r="M7" s="1012"/>
      <c r="N7" s="1012"/>
      <c r="O7" s="1012"/>
      <c r="P7" s="1012"/>
      <c r="Q7" s="1012"/>
      <c r="R7" s="1012"/>
      <c r="S7" s="1012"/>
      <c r="T7" s="1012"/>
      <c r="U7" s="1012"/>
      <c r="V7" s="1012"/>
      <c r="W7" s="1012"/>
      <c r="X7" s="1012"/>
      <c r="Y7" s="1012"/>
      <c r="Z7" s="1012"/>
      <c r="AA7" s="1012"/>
      <c r="AB7" s="1012"/>
      <c r="AC7" s="1012"/>
      <c r="AD7" s="1012"/>
      <c r="AE7" s="1012"/>
      <c r="AF7" s="1012"/>
      <c r="AG7" s="1012"/>
      <c r="AH7" s="1012"/>
      <c r="AI7" s="1012"/>
      <c r="AJ7" s="1012"/>
      <c r="AK7" s="1012"/>
      <c r="AL7" s="1012"/>
      <c r="AM7" s="1012"/>
      <c r="AN7" s="1012"/>
      <c r="AO7" s="1012"/>
      <c r="AP7" s="1012"/>
      <c r="AQ7" s="1012"/>
      <c r="AR7" s="1012"/>
      <c r="AS7" s="1012"/>
      <c r="AT7" s="1012"/>
      <c r="AU7" s="1012"/>
      <c r="AV7" s="1012"/>
      <c r="AW7" s="1012"/>
      <c r="AX7" s="1135"/>
    </row>
    <row r="8" spans="1:51" ht="12.5" customHeight="1" x14ac:dyDescent="0.2">
      <c r="A8" s="1136"/>
      <c r="B8" s="1137"/>
      <c r="C8" s="1137"/>
      <c r="D8" s="1137"/>
      <c r="E8" s="1137"/>
      <c r="F8" s="1137"/>
      <c r="G8" s="1137"/>
      <c r="H8" s="1137"/>
      <c r="I8" s="1137"/>
      <c r="J8" s="1137"/>
      <c r="K8" s="1137"/>
      <c r="L8" s="1137"/>
      <c r="M8" s="1137"/>
      <c r="N8" s="1137"/>
      <c r="O8" s="1137"/>
      <c r="P8" s="1137"/>
      <c r="Q8" s="1137"/>
      <c r="R8" s="1137"/>
      <c r="S8" s="1137"/>
      <c r="T8" s="1137"/>
      <c r="U8" s="1137"/>
      <c r="V8" s="1137"/>
      <c r="W8" s="1137"/>
      <c r="X8" s="1137"/>
      <c r="Y8" s="1137"/>
      <c r="Z8" s="1137"/>
      <c r="AA8" s="1137"/>
      <c r="AB8" s="1137"/>
      <c r="AC8" s="1137"/>
      <c r="AD8" s="1137"/>
      <c r="AE8" s="1137"/>
      <c r="AF8" s="1137"/>
      <c r="AG8" s="1137"/>
      <c r="AH8" s="1137"/>
      <c r="AI8" s="1137"/>
      <c r="AJ8" s="1137"/>
      <c r="AK8" s="1137"/>
      <c r="AL8" s="1137"/>
      <c r="AM8" s="1137"/>
      <c r="AN8" s="1137"/>
      <c r="AO8" s="1137"/>
      <c r="AP8" s="1137"/>
      <c r="AQ8" s="1137"/>
      <c r="AR8" s="1137"/>
      <c r="AS8" s="1137"/>
      <c r="AT8" s="1137"/>
      <c r="AU8" s="1137"/>
      <c r="AV8" s="1137"/>
      <c r="AW8" s="1137"/>
      <c r="AX8" s="1138"/>
    </row>
    <row r="9" spans="1:51" ht="12.5" customHeight="1" x14ac:dyDescent="0.2">
      <c r="A9" s="1139"/>
      <c r="B9" s="1140"/>
      <c r="C9" s="1140"/>
      <c r="D9" s="1140"/>
      <c r="E9" s="1140"/>
      <c r="F9" s="1140"/>
      <c r="G9" s="1140"/>
      <c r="H9" s="1140"/>
      <c r="I9" s="1140"/>
      <c r="J9" s="1140"/>
      <c r="K9" s="1140"/>
      <c r="L9" s="1140"/>
      <c r="M9" s="1140"/>
      <c r="N9" s="1140"/>
      <c r="O9" s="1140"/>
      <c r="P9" s="1140"/>
      <c r="Q9" s="1140"/>
      <c r="R9" s="1140"/>
      <c r="S9" s="1140"/>
      <c r="T9" s="1140"/>
      <c r="U9" s="1140"/>
      <c r="V9" s="1140"/>
      <c r="W9" s="1140"/>
      <c r="X9" s="1140"/>
      <c r="Y9" s="1140"/>
      <c r="Z9" s="1140"/>
      <c r="AA9" s="1140"/>
      <c r="AB9" s="1140"/>
      <c r="AC9" s="1140"/>
      <c r="AD9" s="1140"/>
      <c r="AE9" s="1140"/>
      <c r="AF9" s="1140"/>
      <c r="AG9" s="1140"/>
      <c r="AH9" s="1140"/>
      <c r="AI9" s="1140"/>
      <c r="AJ9" s="1140"/>
      <c r="AK9" s="1140"/>
      <c r="AL9" s="1140"/>
      <c r="AM9" s="1140"/>
      <c r="AN9" s="1140"/>
      <c r="AO9" s="1140"/>
      <c r="AP9" s="1140"/>
      <c r="AQ9" s="1140"/>
      <c r="AR9" s="1140"/>
      <c r="AS9" s="1140"/>
      <c r="AT9" s="1140"/>
      <c r="AU9" s="1140"/>
      <c r="AV9" s="1140"/>
      <c r="AW9" s="1140"/>
      <c r="AX9" s="1140"/>
    </row>
    <row r="10" spans="1:51" ht="18.25" customHeight="1" x14ac:dyDescent="0.2">
      <c r="A10" s="1020" t="s">
        <v>431</v>
      </c>
      <c r="B10" s="1021"/>
      <c r="C10" s="1021"/>
      <c r="D10" s="1021"/>
      <c r="E10" s="1021"/>
      <c r="F10" s="1021"/>
      <c r="G10" s="1021"/>
      <c r="H10" s="1021"/>
      <c r="I10" s="1021"/>
      <c r="J10" s="1021"/>
      <c r="K10" s="1021"/>
      <c r="L10" s="1021"/>
      <c r="M10" s="1021"/>
      <c r="N10" s="1021"/>
      <c r="O10" s="1021"/>
      <c r="P10" s="1021"/>
      <c r="Q10" s="1021"/>
      <c r="R10" s="1021"/>
      <c r="S10" s="1021"/>
      <c r="T10" s="1021"/>
      <c r="U10" s="1021"/>
      <c r="V10" s="1021"/>
      <c r="W10" s="1021"/>
      <c r="X10" s="1021"/>
      <c r="Y10" s="1021"/>
      <c r="Z10" s="1021"/>
      <c r="AA10" s="1021"/>
      <c r="AB10" s="1021"/>
      <c r="AC10" s="1021"/>
      <c r="AD10" s="1021"/>
      <c r="AE10" s="1021"/>
      <c r="AF10" s="1021"/>
      <c r="AG10" s="1021"/>
      <c r="AH10" s="1021"/>
      <c r="AI10" s="1021"/>
      <c r="AJ10" s="1021"/>
      <c r="AK10" s="1021"/>
      <c r="AL10" s="1021"/>
      <c r="AM10" s="1021"/>
      <c r="AN10" s="1021"/>
      <c r="AO10" s="1021"/>
      <c r="AP10" s="1021"/>
      <c r="AQ10" s="1021"/>
      <c r="AR10" s="1021"/>
      <c r="AS10" s="1021"/>
      <c r="AT10" s="1021"/>
      <c r="AU10" s="1021"/>
      <c r="AV10" s="1021"/>
      <c r="AW10" s="1021"/>
      <c r="AX10" s="1021"/>
    </row>
    <row r="11" spans="1:51" ht="12.5" customHeight="1" x14ac:dyDescent="0.2">
      <c r="A11" s="1022"/>
      <c r="B11" s="1023"/>
      <c r="C11" s="1023"/>
      <c r="D11" s="1023"/>
      <c r="E11" s="1023"/>
      <c r="F11" s="1023"/>
      <c r="G11" s="1023"/>
      <c r="H11" s="1023"/>
      <c r="I11" s="1023"/>
      <c r="J11" s="1023"/>
      <c r="K11" s="1023"/>
      <c r="L11" s="1023"/>
      <c r="M11" s="1023"/>
      <c r="N11" s="1023"/>
      <c r="O11" s="1023"/>
      <c r="P11" s="1023"/>
      <c r="Q11" s="1023"/>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c r="AX11" s="1023"/>
    </row>
    <row r="12" spans="1:51" ht="12.5" customHeight="1" x14ac:dyDescent="0.2">
      <c r="A12" s="1009"/>
      <c r="B12" s="1010"/>
      <c r="C12" s="1010"/>
      <c r="D12" s="1010"/>
      <c r="E12" s="1010"/>
      <c r="F12" s="1010"/>
      <c r="G12" s="1010"/>
      <c r="H12" s="1010"/>
      <c r="I12" s="1010"/>
      <c r="J12" s="1010"/>
      <c r="K12" s="1010"/>
      <c r="L12" s="1010"/>
      <c r="M12" s="1010"/>
      <c r="N12" s="1010"/>
      <c r="O12" s="1010"/>
      <c r="P12" s="1010"/>
      <c r="Q12" s="1010"/>
      <c r="R12" s="1010"/>
      <c r="S12" s="1010"/>
      <c r="T12" s="1010"/>
      <c r="U12" s="1010"/>
      <c r="V12" s="1010"/>
      <c r="W12" s="1010"/>
      <c r="X12" s="1010"/>
      <c r="Y12" s="1010"/>
      <c r="Z12" s="1010"/>
      <c r="AA12" s="1010"/>
      <c r="AB12" s="1010"/>
      <c r="AC12" s="1010"/>
      <c r="AD12" s="1010"/>
      <c r="AE12" s="1010"/>
      <c r="AF12" s="1010"/>
      <c r="AG12" s="1010"/>
      <c r="AH12" s="1010"/>
      <c r="AI12" s="1010"/>
      <c r="AJ12" s="1010"/>
      <c r="AK12" s="1010"/>
      <c r="AL12" s="1010"/>
      <c r="AM12" s="1010"/>
      <c r="AN12" s="1010"/>
      <c r="AO12" s="1010"/>
      <c r="AP12" s="1010"/>
      <c r="AQ12" s="1010"/>
      <c r="AR12" s="1010"/>
      <c r="AS12" s="1010"/>
      <c r="AT12" s="1010"/>
      <c r="AU12" s="1010"/>
      <c r="AV12" s="1010"/>
      <c r="AW12" s="1010"/>
      <c r="AX12" s="1010"/>
    </row>
    <row r="13" spans="1:51" ht="13.5" customHeight="1" x14ac:dyDescent="0.2">
      <c r="A13" s="1078" t="s">
        <v>432</v>
      </c>
      <c r="B13" s="1079"/>
      <c r="C13" s="1079"/>
      <c r="D13" s="1079"/>
      <c r="E13" s="1079"/>
      <c r="F13" s="1079"/>
      <c r="G13" s="1079"/>
      <c r="H13" s="1079"/>
      <c r="I13" s="1079"/>
      <c r="J13" s="1079"/>
      <c r="K13" s="1079"/>
      <c r="L13" s="1079"/>
      <c r="M13" s="1079"/>
      <c r="N13" s="1079"/>
      <c r="O13" s="1079"/>
      <c r="P13" s="1079"/>
      <c r="Q13" s="1079"/>
      <c r="R13" s="1079"/>
      <c r="S13" s="1079"/>
      <c r="T13" s="1079"/>
      <c r="U13" s="1079"/>
      <c r="V13" s="1079"/>
      <c r="W13" s="1079"/>
      <c r="X13" s="1079"/>
      <c r="Y13" s="1079"/>
      <c r="Z13" s="1079"/>
      <c r="AA13" s="1079"/>
      <c r="AB13" s="1079"/>
      <c r="AC13" s="1079"/>
      <c r="AD13" s="1079"/>
      <c r="AE13" s="1079"/>
      <c r="AF13" s="1079"/>
      <c r="AG13" s="1079"/>
      <c r="AH13" s="1079"/>
      <c r="AI13" s="1079"/>
      <c r="AJ13" s="1079"/>
      <c r="AK13" s="1079"/>
      <c r="AL13" s="1079"/>
      <c r="AM13" s="1079"/>
      <c r="AN13" s="1079"/>
      <c r="AO13" s="1079"/>
      <c r="AP13" s="1079"/>
      <c r="AQ13" s="1079"/>
      <c r="AR13" s="1079"/>
      <c r="AS13" s="1079"/>
      <c r="AT13" s="1079"/>
      <c r="AU13" s="1079"/>
      <c r="AV13" s="1079"/>
      <c r="AW13" s="1079"/>
      <c r="AX13" s="1079"/>
    </row>
    <row r="14" spans="1:51" ht="13.5" customHeight="1" x14ac:dyDescent="0.2">
      <c r="A14" s="1011" t="s">
        <v>433</v>
      </c>
      <c r="B14" s="1012"/>
      <c r="C14" s="1012"/>
      <c r="D14" s="1012"/>
      <c r="E14" s="1012"/>
      <c r="F14" s="1012"/>
      <c r="G14" s="1012"/>
      <c r="H14" s="1012"/>
      <c r="I14" s="1012"/>
      <c r="J14" s="1012"/>
      <c r="K14" s="1012"/>
      <c r="L14" s="1012"/>
      <c r="M14" s="1012"/>
      <c r="N14" s="1012"/>
      <c r="O14" s="1012"/>
      <c r="P14" s="1012"/>
      <c r="Q14" s="1012"/>
      <c r="R14" s="1012"/>
      <c r="S14" s="1012"/>
      <c r="T14" s="1012"/>
      <c r="U14" s="1040"/>
      <c r="V14" s="1056" t="s">
        <v>434</v>
      </c>
      <c r="W14" s="1057"/>
      <c r="X14" s="1057"/>
      <c r="Y14" s="1057"/>
      <c r="Z14" s="1057"/>
      <c r="AA14" s="1057"/>
      <c r="AB14" s="1057"/>
      <c r="AC14" s="1057"/>
      <c r="AD14" s="1057"/>
      <c r="AE14" s="1057"/>
      <c r="AF14" s="1058"/>
      <c r="AG14" s="1011" t="s">
        <v>435</v>
      </c>
      <c r="AH14" s="1012"/>
      <c r="AI14" s="1012"/>
      <c r="AJ14" s="1012"/>
      <c r="AK14" s="1012"/>
      <c r="AL14" s="1012"/>
      <c r="AM14" s="1012"/>
      <c r="AN14" s="1012"/>
      <c r="AO14" s="1012"/>
      <c r="AP14" s="1012"/>
      <c r="AQ14" s="1012"/>
      <c r="AR14" s="1012"/>
      <c r="AS14" s="1012"/>
      <c r="AT14" s="1012"/>
      <c r="AU14" s="1012"/>
      <c r="AV14" s="1012"/>
      <c r="AW14" s="1012"/>
      <c r="AX14" s="1012"/>
    </row>
    <row r="15" spans="1:51" ht="13.5" customHeight="1" x14ac:dyDescent="0.2">
      <c r="A15" s="1011" t="s">
        <v>436</v>
      </c>
      <c r="B15" s="1012"/>
      <c r="C15" s="1012"/>
      <c r="D15" s="1012"/>
      <c r="E15" s="1012"/>
      <c r="F15" s="1012"/>
      <c r="G15" s="1012"/>
      <c r="H15" s="1012"/>
      <c r="I15" s="1012"/>
      <c r="J15" s="1012"/>
      <c r="K15" s="1012"/>
      <c r="L15" s="1012"/>
      <c r="M15" s="1012"/>
      <c r="N15" s="1012"/>
      <c r="O15" s="1012"/>
      <c r="P15" s="1012"/>
      <c r="Q15" s="1012"/>
      <c r="R15" s="1012"/>
      <c r="S15" s="1012"/>
      <c r="T15" s="1012"/>
      <c r="U15" s="1040"/>
      <c r="V15" s="1056" t="s">
        <v>437</v>
      </c>
      <c r="W15" s="1057"/>
      <c r="X15" s="1057"/>
      <c r="Y15" s="1057"/>
      <c r="Z15" s="1057"/>
      <c r="AA15" s="1057"/>
      <c r="AB15" s="1057"/>
      <c r="AC15" s="1057"/>
      <c r="AD15" s="1057"/>
      <c r="AE15" s="1057"/>
      <c r="AF15" s="1058"/>
      <c r="AG15" s="1132" t="str">
        <f>HYPERLINK("http://www.bome.it/","www.bome.it")</f>
        <v>www.bome.it</v>
      </c>
      <c r="AH15" s="1133"/>
      <c r="AI15" s="1133"/>
      <c r="AJ15" s="1133"/>
      <c r="AK15" s="1133"/>
      <c r="AL15" s="1133"/>
      <c r="AM15" s="1133"/>
      <c r="AN15" s="1133"/>
      <c r="AO15" s="1133"/>
      <c r="AP15" s="1133"/>
      <c r="AQ15" s="1133"/>
      <c r="AR15" s="1133"/>
      <c r="AS15" s="1133"/>
      <c r="AT15" s="1133"/>
      <c r="AU15" s="1133"/>
      <c r="AV15" s="1133"/>
      <c r="AW15" s="1133"/>
      <c r="AX15" s="1133"/>
    </row>
    <row r="16" spans="1:51" ht="13.5" customHeight="1" x14ac:dyDescent="0.2">
      <c r="A16" s="1011" t="s">
        <v>438</v>
      </c>
      <c r="B16" s="1012"/>
      <c r="C16" s="1012"/>
      <c r="D16" s="1012"/>
      <c r="E16" s="1012"/>
      <c r="F16" s="1012"/>
      <c r="G16" s="1012"/>
      <c r="H16" s="1012"/>
      <c r="I16" s="1012"/>
      <c r="J16" s="1012"/>
      <c r="K16" s="1012"/>
      <c r="L16" s="1012"/>
      <c r="M16" s="1012"/>
      <c r="N16" s="1012"/>
      <c r="O16" s="1012"/>
      <c r="P16" s="1012"/>
      <c r="Q16" s="1012"/>
      <c r="R16" s="1012"/>
      <c r="S16" s="1012"/>
      <c r="T16" s="1012"/>
      <c r="U16" s="1040"/>
      <c r="V16" s="1009"/>
      <c r="W16" s="1010"/>
      <c r="X16" s="1010"/>
      <c r="Y16" s="1010"/>
      <c r="Z16" s="1010"/>
      <c r="AA16" s="1010"/>
      <c r="AB16" s="1010"/>
      <c r="AC16" s="1010"/>
      <c r="AD16" s="1010"/>
      <c r="AE16" s="1010"/>
      <c r="AF16" s="1010"/>
      <c r="AG16" s="1010"/>
      <c r="AH16" s="1010"/>
      <c r="AI16" s="1010"/>
      <c r="AJ16" s="1010"/>
      <c r="AK16" s="1010"/>
      <c r="AL16" s="1010"/>
      <c r="AM16" s="1010"/>
      <c r="AN16" s="1010"/>
      <c r="AO16" s="1010"/>
      <c r="AP16" s="1010"/>
      <c r="AQ16" s="1010"/>
      <c r="AR16" s="1010"/>
      <c r="AS16" s="1010"/>
      <c r="AT16" s="1010"/>
      <c r="AU16" s="1010"/>
      <c r="AV16" s="1010"/>
      <c r="AW16" s="1010"/>
      <c r="AX16" s="1010"/>
    </row>
    <row r="17" spans="1:50" ht="12.5" customHeight="1" x14ac:dyDescent="0.2">
      <c r="A17" s="1009"/>
      <c r="B17" s="1010"/>
      <c r="C17" s="1010"/>
      <c r="D17" s="1010"/>
      <c r="E17" s="1010"/>
      <c r="F17" s="1010"/>
      <c r="G17" s="1010"/>
      <c r="H17" s="1010"/>
      <c r="I17" s="1010"/>
      <c r="J17" s="1010"/>
      <c r="K17" s="1010"/>
      <c r="L17" s="1010"/>
      <c r="M17" s="1010"/>
      <c r="N17" s="1010"/>
      <c r="O17" s="1010"/>
      <c r="P17" s="1010"/>
      <c r="Q17" s="1010"/>
      <c r="R17" s="1010"/>
      <c r="S17" s="1010"/>
      <c r="T17" s="1010"/>
      <c r="U17" s="1010"/>
      <c r="V17" s="1010"/>
      <c r="W17" s="1010"/>
      <c r="X17" s="1010"/>
      <c r="Y17" s="1010"/>
      <c r="Z17" s="1010"/>
      <c r="AA17" s="1010"/>
      <c r="AB17" s="1010"/>
      <c r="AC17" s="1010"/>
      <c r="AD17" s="1010"/>
      <c r="AE17" s="1010"/>
      <c r="AF17" s="1010"/>
      <c r="AG17" s="1010"/>
      <c r="AH17" s="1010"/>
      <c r="AI17" s="1010"/>
      <c r="AJ17" s="1010"/>
      <c r="AK17" s="1010"/>
      <c r="AL17" s="1010"/>
      <c r="AM17" s="1010"/>
      <c r="AN17" s="1010"/>
      <c r="AO17" s="1010"/>
      <c r="AP17" s="1010"/>
      <c r="AQ17" s="1010"/>
      <c r="AR17" s="1010"/>
      <c r="AS17" s="1010"/>
      <c r="AT17" s="1010"/>
      <c r="AU17" s="1010"/>
      <c r="AV17" s="1010"/>
      <c r="AW17" s="1010"/>
      <c r="AX17" s="1010"/>
    </row>
    <row r="18" spans="1:50" ht="13.5" customHeight="1" x14ac:dyDescent="0.2">
      <c r="A18" s="1078" t="s">
        <v>439</v>
      </c>
      <c r="B18" s="1079"/>
      <c r="C18" s="1079"/>
      <c r="D18" s="1079"/>
      <c r="E18" s="1079"/>
      <c r="F18" s="1079"/>
      <c r="G18" s="1079"/>
      <c r="H18" s="1079"/>
      <c r="I18" s="1079"/>
      <c r="J18" s="1079"/>
      <c r="K18" s="1079"/>
      <c r="L18" s="1079"/>
      <c r="M18" s="1079"/>
      <c r="N18" s="1079"/>
      <c r="O18" s="1079"/>
      <c r="P18" s="1079"/>
      <c r="Q18" s="1079"/>
      <c r="R18" s="1079"/>
      <c r="S18" s="1079"/>
      <c r="T18" s="1079"/>
      <c r="U18" s="1079"/>
      <c r="V18" s="1079"/>
      <c r="W18" s="1079"/>
      <c r="X18" s="1079"/>
      <c r="Y18" s="1079"/>
      <c r="Z18" s="1079"/>
      <c r="AA18" s="1079"/>
      <c r="AB18" s="1079"/>
      <c r="AC18" s="1079"/>
      <c r="AD18" s="1079"/>
      <c r="AE18" s="1079"/>
      <c r="AF18" s="1079"/>
      <c r="AG18" s="1079"/>
      <c r="AH18" s="1079"/>
      <c r="AI18" s="1079"/>
      <c r="AJ18" s="1079"/>
      <c r="AK18" s="1079"/>
      <c r="AL18" s="1079"/>
      <c r="AM18" s="1079"/>
      <c r="AN18" s="1079"/>
      <c r="AO18" s="1079"/>
      <c r="AP18" s="1079"/>
      <c r="AQ18" s="1079"/>
      <c r="AR18" s="1079"/>
      <c r="AS18" s="1079"/>
      <c r="AT18" s="1079"/>
      <c r="AU18" s="1079"/>
      <c r="AV18" s="1079"/>
      <c r="AW18" s="1079"/>
      <c r="AX18" s="1079"/>
    </row>
    <row r="19" spans="1:50" ht="13.5" customHeight="1" x14ac:dyDescent="0.2">
      <c r="A19" s="1011" t="s">
        <v>440</v>
      </c>
      <c r="B19" s="1012"/>
      <c r="C19" s="1012"/>
      <c r="D19" s="1012"/>
      <c r="E19" s="1012"/>
      <c r="F19" s="1012"/>
      <c r="G19" s="1012"/>
      <c r="H19" s="1012"/>
      <c r="I19" s="1012"/>
      <c r="J19" s="1012"/>
      <c r="K19" s="1012"/>
      <c r="L19" s="1012"/>
      <c r="M19" s="1012"/>
      <c r="N19" s="1012"/>
      <c r="O19" s="1012"/>
      <c r="P19" s="1012"/>
      <c r="Q19" s="1012"/>
      <c r="R19" s="1012"/>
      <c r="S19" s="1012"/>
      <c r="T19" s="1012"/>
      <c r="U19" s="1040"/>
      <c r="V19" s="1056" t="s">
        <v>434</v>
      </c>
      <c r="W19" s="1057"/>
      <c r="X19" s="1057"/>
      <c r="Y19" s="1057"/>
      <c r="Z19" s="1057"/>
      <c r="AA19" s="1057"/>
      <c r="AB19" s="1057"/>
      <c r="AC19" s="1057"/>
      <c r="AD19" s="1057"/>
      <c r="AE19" s="1057"/>
      <c r="AF19" s="1058"/>
      <c r="AG19" s="1011" t="s">
        <v>435</v>
      </c>
      <c r="AH19" s="1012"/>
      <c r="AI19" s="1012"/>
      <c r="AJ19" s="1012"/>
      <c r="AK19" s="1012"/>
      <c r="AL19" s="1012"/>
      <c r="AM19" s="1012"/>
      <c r="AN19" s="1012"/>
      <c r="AO19" s="1012"/>
      <c r="AP19" s="1012"/>
      <c r="AQ19" s="1012"/>
      <c r="AR19" s="1012"/>
      <c r="AS19" s="1012"/>
      <c r="AT19" s="1012"/>
      <c r="AU19" s="1012"/>
      <c r="AV19" s="1012"/>
      <c r="AW19" s="1012"/>
      <c r="AX19" s="1012"/>
    </row>
    <row r="20" spans="1:50" ht="13.5" customHeight="1" x14ac:dyDescent="0.2">
      <c r="A20" s="1011" t="s">
        <v>436</v>
      </c>
      <c r="B20" s="1012"/>
      <c r="C20" s="1012"/>
      <c r="D20" s="1012"/>
      <c r="E20" s="1012"/>
      <c r="F20" s="1012"/>
      <c r="G20" s="1012"/>
      <c r="H20" s="1012"/>
      <c r="I20" s="1012"/>
      <c r="J20" s="1012"/>
      <c r="K20" s="1012"/>
      <c r="L20" s="1012"/>
      <c r="M20" s="1012"/>
      <c r="N20" s="1012"/>
      <c r="O20" s="1012"/>
      <c r="P20" s="1012"/>
      <c r="Q20" s="1012"/>
      <c r="R20" s="1012"/>
      <c r="S20" s="1012"/>
      <c r="T20" s="1012"/>
      <c r="U20" s="1040"/>
      <c r="V20" s="1009"/>
      <c r="W20" s="1010"/>
      <c r="X20" s="1010"/>
      <c r="Y20" s="1010"/>
      <c r="Z20" s="1010"/>
      <c r="AA20" s="1010"/>
      <c r="AB20" s="1010"/>
      <c r="AC20" s="1010"/>
      <c r="AD20" s="1010"/>
      <c r="AE20" s="1010"/>
      <c r="AF20" s="1010"/>
      <c r="AG20" s="1010"/>
      <c r="AH20" s="1010"/>
      <c r="AI20" s="1010"/>
      <c r="AJ20" s="1010"/>
      <c r="AK20" s="1010"/>
      <c r="AL20" s="1010"/>
      <c r="AM20" s="1010"/>
      <c r="AN20" s="1010"/>
      <c r="AO20" s="1010"/>
      <c r="AP20" s="1010"/>
      <c r="AQ20" s="1010"/>
      <c r="AR20" s="1010"/>
      <c r="AS20" s="1010"/>
      <c r="AT20" s="1010"/>
      <c r="AU20" s="1010"/>
      <c r="AV20" s="1010"/>
      <c r="AW20" s="1010"/>
      <c r="AX20" s="1010"/>
    </row>
    <row r="21" spans="1:50" ht="13.5" customHeight="1" x14ac:dyDescent="0.2">
      <c r="A21" s="1011" t="s">
        <v>441</v>
      </c>
      <c r="B21" s="1012"/>
      <c r="C21" s="1012"/>
      <c r="D21" s="1012"/>
      <c r="E21" s="1012"/>
      <c r="F21" s="1012"/>
      <c r="G21" s="1012"/>
      <c r="H21" s="1012"/>
      <c r="I21" s="1012"/>
      <c r="J21" s="1012"/>
      <c r="K21" s="1012"/>
      <c r="L21" s="1012"/>
      <c r="M21" s="1012"/>
      <c r="N21" s="1012"/>
      <c r="O21" s="1012"/>
      <c r="P21" s="1012"/>
      <c r="Q21" s="1012"/>
      <c r="R21" s="1012"/>
      <c r="S21" s="1012"/>
      <c r="T21" s="1012"/>
      <c r="U21" s="1040"/>
      <c r="V21" s="1009"/>
      <c r="W21" s="1010"/>
      <c r="X21" s="1010"/>
      <c r="Y21" s="1010"/>
      <c r="Z21" s="1010"/>
      <c r="AA21" s="1010"/>
      <c r="AB21" s="1010"/>
      <c r="AC21" s="1010"/>
      <c r="AD21" s="1010"/>
      <c r="AE21" s="1010"/>
      <c r="AF21" s="1010"/>
      <c r="AG21" s="1010"/>
      <c r="AH21" s="1010"/>
      <c r="AI21" s="1010"/>
      <c r="AJ21" s="1010"/>
      <c r="AK21" s="1010"/>
      <c r="AL21" s="1010"/>
      <c r="AM21" s="1010"/>
      <c r="AN21" s="1010"/>
      <c r="AO21" s="1010"/>
      <c r="AP21" s="1010"/>
      <c r="AQ21" s="1010"/>
      <c r="AR21" s="1010"/>
      <c r="AS21" s="1010"/>
      <c r="AT21" s="1010"/>
      <c r="AU21" s="1010"/>
      <c r="AV21" s="1010"/>
      <c r="AW21" s="1010"/>
      <c r="AX21" s="1010"/>
    </row>
    <row r="22" spans="1:50" ht="12.5" customHeight="1" x14ac:dyDescent="0.2">
      <c r="A22" s="1009"/>
      <c r="B22" s="1010"/>
      <c r="C22" s="1010"/>
      <c r="D22" s="1010"/>
      <c r="E22" s="1010"/>
      <c r="F22" s="1010"/>
      <c r="G22" s="1010"/>
      <c r="H22" s="1010"/>
      <c r="I22" s="1010"/>
      <c r="J22" s="1010"/>
      <c r="K22" s="1010"/>
      <c r="L22" s="1010"/>
      <c r="M22" s="1010"/>
      <c r="N22" s="1010"/>
      <c r="O22" s="1010"/>
      <c r="P22" s="1010"/>
      <c r="Q22" s="1010"/>
      <c r="R22" s="1010"/>
      <c r="S22" s="1010"/>
      <c r="T22" s="1010"/>
      <c r="U22" s="1010"/>
      <c r="V22" s="1010"/>
      <c r="W22" s="1010"/>
      <c r="X22" s="1010"/>
      <c r="Y22" s="1010"/>
      <c r="Z22" s="1010"/>
      <c r="AA22" s="1010"/>
      <c r="AB22" s="1010"/>
      <c r="AC22" s="1010"/>
      <c r="AD22" s="1010"/>
      <c r="AE22" s="1010"/>
      <c r="AF22" s="1010"/>
      <c r="AG22" s="1010"/>
      <c r="AH22" s="1010"/>
      <c r="AI22" s="1010"/>
      <c r="AJ22" s="1010"/>
      <c r="AK22" s="1010"/>
      <c r="AL22" s="1010"/>
      <c r="AM22" s="1010"/>
      <c r="AN22" s="1010"/>
      <c r="AO22" s="1010"/>
      <c r="AP22" s="1010"/>
      <c r="AQ22" s="1010"/>
      <c r="AR22" s="1010"/>
      <c r="AS22" s="1010"/>
      <c r="AT22" s="1010"/>
      <c r="AU22" s="1010"/>
      <c r="AV22" s="1010"/>
      <c r="AW22" s="1010"/>
      <c r="AX22" s="1010"/>
    </row>
    <row r="23" spans="1:50" ht="12.5" customHeight="1" x14ac:dyDescent="0.2">
      <c r="A23" s="1018"/>
      <c r="B23" s="1019"/>
      <c r="C23" s="1019"/>
      <c r="D23" s="1019"/>
      <c r="E23" s="1019"/>
      <c r="F23" s="1019"/>
      <c r="G23" s="1019"/>
      <c r="H23" s="1019"/>
      <c r="I23" s="1019"/>
      <c r="J23" s="1019"/>
      <c r="K23" s="1019"/>
      <c r="L23" s="1019"/>
      <c r="M23" s="1019"/>
      <c r="N23" s="1019"/>
      <c r="O23" s="1019"/>
      <c r="P23" s="1019"/>
      <c r="Q23" s="1019"/>
      <c r="R23" s="1019"/>
      <c r="S23" s="1019"/>
      <c r="T23" s="1019"/>
      <c r="U23" s="1019"/>
      <c r="V23" s="1019"/>
      <c r="W23" s="1019"/>
      <c r="X23" s="1019"/>
      <c r="Y23" s="1019"/>
      <c r="Z23" s="1019"/>
      <c r="AA23" s="1019"/>
      <c r="AB23" s="1019"/>
      <c r="AC23" s="1019"/>
      <c r="AD23" s="1019"/>
      <c r="AE23" s="1019"/>
      <c r="AF23" s="1019"/>
      <c r="AG23" s="1019"/>
      <c r="AH23" s="1019"/>
      <c r="AI23" s="1019"/>
      <c r="AJ23" s="1019"/>
      <c r="AK23" s="1019"/>
      <c r="AL23" s="1019"/>
      <c r="AM23" s="1019"/>
      <c r="AN23" s="1019"/>
      <c r="AO23" s="1019"/>
      <c r="AP23" s="1019"/>
      <c r="AQ23" s="1019"/>
      <c r="AR23" s="1019"/>
      <c r="AS23" s="1019"/>
      <c r="AT23" s="1019"/>
      <c r="AU23" s="1019"/>
      <c r="AV23" s="1019"/>
      <c r="AW23" s="1019"/>
      <c r="AX23" s="1019"/>
    </row>
    <row r="24" spans="1:50" ht="18.25" customHeight="1" x14ac:dyDescent="0.2">
      <c r="A24" s="1020" t="s">
        <v>442</v>
      </c>
      <c r="B24" s="1021"/>
      <c r="C24" s="1021"/>
      <c r="D24" s="1021"/>
      <c r="E24" s="1021"/>
      <c r="F24" s="1021"/>
      <c r="G24" s="1021"/>
      <c r="H24" s="1021"/>
      <c r="I24" s="1021"/>
      <c r="J24" s="1021"/>
      <c r="K24" s="1021"/>
      <c r="L24" s="1021"/>
      <c r="M24" s="1021"/>
      <c r="N24" s="1021"/>
      <c r="O24" s="1021"/>
      <c r="P24" s="1021"/>
      <c r="Q24" s="1021"/>
      <c r="R24" s="1021"/>
      <c r="S24" s="1021"/>
      <c r="T24" s="1021"/>
      <c r="U24" s="1021"/>
      <c r="V24" s="1021"/>
      <c r="W24" s="1021"/>
      <c r="X24" s="1021"/>
      <c r="Y24" s="1021"/>
      <c r="Z24" s="1021"/>
      <c r="AA24" s="1021"/>
      <c r="AB24" s="1021"/>
      <c r="AC24" s="1021"/>
      <c r="AD24" s="1021"/>
      <c r="AE24" s="1021"/>
      <c r="AF24" s="1021"/>
      <c r="AG24" s="1021"/>
      <c r="AH24" s="1021"/>
      <c r="AI24" s="1021"/>
      <c r="AJ24" s="1021"/>
      <c r="AK24" s="1021"/>
      <c r="AL24" s="1021"/>
      <c r="AM24" s="1021"/>
      <c r="AN24" s="1021"/>
      <c r="AO24" s="1021"/>
      <c r="AP24" s="1021"/>
      <c r="AQ24" s="1021"/>
      <c r="AR24" s="1021"/>
      <c r="AS24" s="1021"/>
      <c r="AT24" s="1021"/>
      <c r="AU24" s="1021"/>
      <c r="AV24" s="1021"/>
      <c r="AW24" s="1021"/>
      <c r="AX24" s="1021"/>
    </row>
    <row r="25" spans="1:50" ht="12.5" customHeight="1" x14ac:dyDescent="0.2">
      <c r="A25" s="1022"/>
      <c r="B25" s="1023"/>
      <c r="C25" s="1023"/>
      <c r="D25" s="1023"/>
      <c r="E25" s="1023"/>
      <c r="F25" s="1023"/>
      <c r="G25" s="1023"/>
      <c r="H25" s="1023"/>
      <c r="I25" s="1023"/>
      <c r="J25" s="1023"/>
      <c r="K25" s="1023"/>
      <c r="L25" s="1023"/>
      <c r="M25" s="1023"/>
      <c r="N25" s="1023"/>
      <c r="O25" s="1023"/>
      <c r="P25" s="1023"/>
      <c r="Q25" s="1023"/>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c r="AX25" s="1023"/>
    </row>
    <row r="26" spans="1:50" ht="12.5" customHeight="1" x14ac:dyDescent="0.2">
      <c r="A26" s="1009"/>
      <c r="B26" s="1010"/>
      <c r="C26" s="1010"/>
      <c r="D26" s="1010"/>
      <c r="E26" s="1010"/>
      <c r="F26" s="1010"/>
      <c r="G26" s="1010"/>
      <c r="H26" s="1010"/>
      <c r="I26" s="1010"/>
      <c r="J26" s="1010"/>
      <c r="K26" s="1010"/>
      <c r="L26" s="1010"/>
      <c r="M26" s="1010"/>
      <c r="N26" s="1010"/>
      <c r="O26" s="1010"/>
      <c r="P26" s="1010"/>
      <c r="Q26" s="1010"/>
      <c r="R26" s="1010"/>
      <c r="S26" s="1010"/>
      <c r="T26" s="1010"/>
      <c r="U26" s="1010"/>
      <c r="V26" s="1010"/>
      <c r="W26" s="1010"/>
      <c r="X26" s="1010"/>
      <c r="Y26" s="1010"/>
      <c r="Z26" s="1010"/>
      <c r="AA26" s="1010"/>
      <c r="AB26" s="1010"/>
      <c r="AC26" s="1010"/>
      <c r="AD26" s="1010"/>
      <c r="AE26" s="1010"/>
      <c r="AF26" s="1010"/>
      <c r="AG26" s="1010"/>
      <c r="AH26" s="1010"/>
      <c r="AI26" s="1010"/>
      <c r="AJ26" s="1010"/>
      <c r="AK26" s="1010"/>
      <c r="AL26" s="1010"/>
      <c r="AM26" s="1010"/>
      <c r="AN26" s="1010"/>
      <c r="AO26" s="1010"/>
      <c r="AP26" s="1010"/>
      <c r="AQ26" s="1010"/>
      <c r="AR26" s="1010"/>
      <c r="AS26" s="1010"/>
      <c r="AT26" s="1010"/>
      <c r="AU26" s="1010"/>
      <c r="AV26" s="1010"/>
      <c r="AW26" s="1010"/>
      <c r="AX26" s="1010"/>
    </row>
    <row r="27" spans="1:50" ht="13.5" customHeight="1" x14ac:dyDescent="0.2">
      <c r="A27" s="1056" t="s">
        <v>443</v>
      </c>
      <c r="B27" s="1057"/>
      <c r="C27" s="1057"/>
      <c r="D27" s="1057"/>
      <c r="E27" s="1057"/>
      <c r="F27" s="1057"/>
      <c r="G27" s="1057"/>
      <c r="H27" s="1057"/>
      <c r="I27" s="1057"/>
      <c r="J27" s="1057"/>
      <c r="K27" s="1057"/>
      <c r="L27" s="1057"/>
      <c r="M27" s="1057"/>
      <c r="N27" s="1057"/>
      <c r="O27" s="1057"/>
      <c r="P27" s="1057"/>
      <c r="Q27" s="1057"/>
      <c r="R27" s="1057"/>
      <c r="S27" s="1057"/>
      <c r="T27" s="1057"/>
      <c r="U27" s="1057"/>
      <c r="V27" s="1057"/>
      <c r="W27" s="1057"/>
      <c r="X27" s="1057"/>
      <c r="Y27" s="1057"/>
      <c r="Z27" s="1057"/>
      <c r="AA27" s="1057"/>
      <c r="AB27" s="1057"/>
      <c r="AC27" s="1057"/>
      <c r="AD27" s="1057"/>
      <c r="AE27" s="1057"/>
      <c r="AF27" s="1057"/>
      <c r="AG27" s="1057"/>
      <c r="AH27" s="1057"/>
      <c r="AI27" s="1057"/>
      <c r="AJ27" s="1057"/>
      <c r="AK27" s="1057"/>
      <c r="AL27" s="1057"/>
      <c r="AM27" s="1057"/>
      <c r="AN27" s="1057"/>
      <c r="AO27" s="1057"/>
      <c r="AP27" s="1057"/>
      <c r="AQ27" s="1057"/>
      <c r="AR27" s="1057"/>
      <c r="AS27" s="1057"/>
      <c r="AT27" s="1057"/>
      <c r="AU27" s="1057"/>
      <c r="AV27" s="1057"/>
      <c r="AW27" s="1057"/>
      <c r="AX27" s="1057"/>
    </row>
    <row r="28" spans="1:50" ht="13.5" customHeight="1" x14ac:dyDescent="0.2">
      <c r="A28" s="1011" t="s">
        <v>444</v>
      </c>
      <c r="B28" s="1012"/>
      <c r="C28" s="1012"/>
      <c r="D28" s="1012"/>
      <c r="E28" s="1012"/>
      <c r="F28" s="1012"/>
      <c r="G28" s="1012"/>
      <c r="H28" s="1012"/>
      <c r="I28" s="1012"/>
      <c r="J28" s="1012"/>
      <c r="K28" s="1012"/>
      <c r="L28" s="1012"/>
      <c r="M28" s="1012"/>
      <c r="N28" s="1040"/>
      <c r="O28" s="1011" t="s">
        <v>445</v>
      </c>
      <c r="P28" s="1012"/>
      <c r="Q28" s="1012"/>
      <c r="R28" s="1012"/>
      <c r="S28" s="1012"/>
      <c r="T28" s="1012"/>
      <c r="U28" s="1012"/>
      <c r="V28" s="1012"/>
      <c r="W28" s="1012"/>
      <c r="X28" s="1012"/>
      <c r="Y28" s="1012"/>
      <c r="Z28" s="1012"/>
      <c r="AA28" s="1012"/>
      <c r="AB28" s="1012"/>
      <c r="AC28" s="1012"/>
      <c r="AD28" s="1012"/>
      <c r="AE28" s="1012"/>
      <c r="AF28" s="1012"/>
      <c r="AG28" s="1012"/>
      <c r="AH28" s="1012"/>
      <c r="AI28" s="1012"/>
      <c r="AJ28" s="1012"/>
      <c r="AK28" s="1012"/>
      <c r="AL28" s="1012"/>
      <c r="AM28" s="1012"/>
      <c r="AN28" s="1012"/>
      <c r="AO28" s="1012"/>
      <c r="AP28" s="1012"/>
      <c r="AQ28" s="1012"/>
      <c r="AR28" s="1012"/>
      <c r="AS28" s="1012"/>
      <c r="AT28" s="1012"/>
      <c r="AU28" s="1012"/>
      <c r="AV28" s="1012"/>
      <c r="AW28" s="1012"/>
      <c r="AX28" s="1012"/>
    </row>
    <row r="29" spans="1:50" ht="13.5" customHeight="1" x14ac:dyDescent="0.2">
      <c r="A29" s="1016" t="s">
        <v>446</v>
      </c>
      <c r="B29" s="1017"/>
      <c r="C29" s="1017"/>
      <c r="D29" s="1017"/>
      <c r="E29" s="1017"/>
      <c r="F29" s="1017"/>
      <c r="G29" s="1017"/>
      <c r="H29" s="1017"/>
      <c r="I29" s="1017"/>
      <c r="J29" s="1017"/>
      <c r="K29" s="1017"/>
      <c r="L29" s="1017"/>
      <c r="M29" s="1017"/>
      <c r="N29" s="1017"/>
      <c r="O29" s="1017"/>
      <c r="P29" s="1017"/>
      <c r="Q29" s="1017"/>
      <c r="R29" s="1017"/>
      <c r="S29" s="1017"/>
      <c r="T29" s="1017"/>
      <c r="U29" s="1017"/>
      <c r="V29" s="1017"/>
      <c r="W29" s="1017"/>
      <c r="X29" s="1017"/>
      <c r="Y29" s="1017"/>
      <c r="Z29" s="1017"/>
      <c r="AA29" s="1017"/>
      <c r="AB29" s="1017"/>
      <c r="AC29" s="1017"/>
      <c r="AD29" s="1017"/>
      <c r="AE29" s="1017"/>
      <c r="AF29" s="1017"/>
      <c r="AG29" s="1017"/>
      <c r="AH29" s="1017"/>
      <c r="AI29" s="1017"/>
      <c r="AJ29" s="1017"/>
      <c r="AK29" s="1017"/>
      <c r="AL29" s="1017"/>
      <c r="AM29" s="1017"/>
      <c r="AN29" s="1017"/>
      <c r="AO29" s="1017"/>
      <c r="AP29" s="1017"/>
      <c r="AQ29" s="1017"/>
      <c r="AR29" s="1017"/>
      <c r="AS29" s="1017"/>
      <c r="AT29" s="1017"/>
      <c r="AU29" s="1017"/>
      <c r="AV29" s="1017"/>
      <c r="AW29" s="1017"/>
      <c r="AX29" s="1131"/>
    </row>
    <row r="30" spans="1:50" ht="12.5" customHeight="1" x14ac:dyDescent="0.2">
      <c r="A30" s="1009"/>
      <c r="B30" s="1010"/>
      <c r="C30" s="1010"/>
      <c r="D30" s="1010"/>
      <c r="E30" s="1010"/>
      <c r="F30" s="1010"/>
      <c r="G30" s="1010"/>
      <c r="H30" s="1010"/>
      <c r="I30" s="1010"/>
      <c r="J30" s="1010"/>
      <c r="K30" s="1010"/>
      <c r="L30" s="1010"/>
      <c r="M30" s="1010"/>
      <c r="N30" s="1010"/>
      <c r="O30" s="1010"/>
      <c r="P30" s="1010"/>
      <c r="Q30" s="1010"/>
      <c r="R30" s="1010"/>
      <c r="S30" s="1010"/>
      <c r="T30" s="1010"/>
      <c r="U30" s="1010"/>
      <c r="V30" s="1010"/>
      <c r="W30" s="1010"/>
      <c r="X30" s="1010"/>
      <c r="Y30" s="1010"/>
      <c r="Z30" s="1010"/>
      <c r="AA30" s="1010"/>
      <c r="AB30" s="1010"/>
      <c r="AC30" s="1010"/>
      <c r="AD30" s="1010"/>
      <c r="AE30" s="1010"/>
      <c r="AF30" s="1010"/>
      <c r="AG30" s="1010"/>
      <c r="AH30" s="1010"/>
      <c r="AI30" s="1010"/>
      <c r="AJ30" s="1010"/>
      <c r="AK30" s="1010"/>
      <c r="AL30" s="1010"/>
      <c r="AM30" s="1010"/>
      <c r="AN30" s="1010"/>
      <c r="AO30" s="1010"/>
      <c r="AP30" s="1010"/>
      <c r="AQ30" s="1010"/>
      <c r="AR30" s="1010"/>
      <c r="AS30" s="1010"/>
      <c r="AT30" s="1010"/>
      <c r="AU30" s="1010"/>
      <c r="AV30" s="1010"/>
      <c r="AW30" s="1010"/>
      <c r="AX30" s="1010"/>
    </row>
    <row r="31" spans="1:50" ht="13.5" customHeight="1" x14ac:dyDescent="0.2">
      <c r="A31" s="1056" t="s">
        <v>447</v>
      </c>
      <c r="B31" s="1057"/>
      <c r="C31" s="1057"/>
      <c r="D31" s="1057"/>
      <c r="E31" s="1057"/>
      <c r="F31" s="1057"/>
      <c r="G31" s="1057"/>
      <c r="H31" s="1057"/>
      <c r="I31" s="1057"/>
      <c r="J31" s="1057"/>
      <c r="K31" s="1057"/>
      <c r="L31" s="1057"/>
      <c r="M31" s="1057"/>
      <c r="N31" s="1058"/>
      <c r="O31" s="1011" t="s">
        <v>448</v>
      </c>
      <c r="P31" s="1012"/>
      <c r="Q31" s="1012"/>
      <c r="R31" s="1012"/>
      <c r="S31" s="1012"/>
      <c r="T31" s="1012"/>
      <c r="U31" s="1040"/>
      <c r="V31" s="1056" t="s">
        <v>449</v>
      </c>
      <c r="W31" s="1057"/>
      <c r="X31" s="1057"/>
      <c r="Y31" s="1057"/>
      <c r="Z31" s="1057"/>
      <c r="AA31" s="1057"/>
      <c r="AB31" s="1057"/>
      <c r="AC31" s="1057"/>
      <c r="AD31" s="1057"/>
      <c r="AE31" s="1057"/>
      <c r="AF31" s="1058"/>
      <c r="AG31" s="1011" t="s">
        <v>450</v>
      </c>
      <c r="AH31" s="1012"/>
      <c r="AI31" s="1012"/>
      <c r="AJ31" s="1012"/>
      <c r="AK31" s="1012"/>
      <c r="AL31" s="1012"/>
      <c r="AM31" s="1012"/>
      <c r="AN31" s="1012"/>
      <c r="AO31" s="1012"/>
      <c r="AP31" s="1012"/>
      <c r="AQ31" s="1012"/>
      <c r="AR31" s="1012"/>
      <c r="AS31" s="1012"/>
      <c r="AT31" s="1012"/>
      <c r="AU31" s="1012"/>
      <c r="AV31" s="1012"/>
      <c r="AW31" s="1012"/>
      <c r="AX31" s="1012"/>
    </row>
    <row r="32" spans="1:50" ht="12.5" customHeight="1" x14ac:dyDescent="0.2">
      <c r="A32" s="1056" t="s">
        <v>451</v>
      </c>
      <c r="B32" s="1057"/>
      <c r="C32" s="1057"/>
      <c r="D32" s="1057"/>
      <c r="E32" s="1057"/>
      <c r="F32" s="1057"/>
      <c r="G32" s="1057"/>
      <c r="H32" s="1057"/>
      <c r="I32" s="1057"/>
      <c r="J32" s="1057"/>
      <c r="K32" s="1057"/>
      <c r="L32" s="1057"/>
      <c r="M32" s="1057"/>
      <c r="N32" s="1058"/>
      <c r="O32" s="1011" t="s">
        <v>452</v>
      </c>
      <c r="P32" s="1012"/>
      <c r="Q32" s="1012"/>
      <c r="R32" s="1012"/>
      <c r="S32" s="1012"/>
      <c r="T32" s="1012"/>
      <c r="U32" s="1040"/>
      <c r="V32" s="1056"/>
      <c r="W32" s="1057"/>
      <c r="X32" s="1057"/>
      <c r="Y32" s="1057"/>
      <c r="Z32" s="1057"/>
      <c r="AA32" s="1057"/>
      <c r="AB32" s="1057"/>
      <c r="AC32" s="1057"/>
      <c r="AD32" s="1057"/>
      <c r="AE32" s="1057"/>
      <c r="AF32" s="1058"/>
      <c r="AG32" s="1011"/>
      <c r="AH32" s="1012"/>
      <c r="AI32" s="1012"/>
      <c r="AJ32" s="1012"/>
      <c r="AK32" s="1012"/>
      <c r="AL32" s="1012"/>
      <c r="AM32" s="1012"/>
      <c r="AN32" s="1012"/>
      <c r="AO32" s="1012"/>
      <c r="AP32" s="1012"/>
      <c r="AQ32" s="1012"/>
      <c r="AR32" s="1012"/>
      <c r="AS32" s="1012"/>
      <c r="AT32" s="1012"/>
      <c r="AU32" s="1012"/>
      <c r="AV32" s="1012"/>
      <c r="AW32" s="1012"/>
      <c r="AX32" s="1012"/>
    </row>
    <row r="33" spans="1:52" ht="1.25" customHeight="1" x14ac:dyDescent="0.2">
      <c r="A33" s="1056"/>
      <c r="B33" s="1057"/>
      <c r="C33" s="1057"/>
      <c r="D33" s="1057"/>
      <c r="E33" s="1057"/>
      <c r="F33" s="1057"/>
      <c r="G33" s="1057"/>
      <c r="H33" s="1057"/>
      <c r="I33" s="1057"/>
      <c r="J33" s="1057"/>
      <c r="K33" s="1057"/>
      <c r="L33" s="1057"/>
      <c r="M33" s="1057"/>
      <c r="N33" s="1058"/>
      <c r="O33" s="1011"/>
      <c r="P33" s="1012"/>
      <c r="Q33" s="1012"/>
      <c r="R33" s="1012"/>
      <c r="S33" s="1012"/>
      <c r="T33" s="1012"/>
      <c r="U33" s="1040"/>
      <c r="V33" s="1056" t="s">
        <v>453</v>
      </c>
      <c r="W33" s="1057"/>
      <c r="X33" s="1057"/>
      <c r="Y33" s="1057"/>
      <c r="Z33" s="1057"/>
      <c r="AA33" s="1057"/>
      <c r="AB33" s="1057"/>
      <c r="AC33" s="1057"/>
      <c r="AD33" s="1057"/>
      <c r="AE33" s="1057"/>
      <c r="AF33" s="1058"/>
      <c r="AG33" s="1129">
        <v>8</v>
      </c>
      <c r="AH33" s="1130"/>
      <c r="AI33" s="1130"/>
      <c r="AJ33" s="1130"/>
      <c r="AK33" s="1130"/>
      <c r="AL33" s="1130"/>
      <c r="AM33" s="1130"/>
      <c r="AN33" s="1130"/>
      <c r="AO33" s="1130"/>
      <c r="AP33" s="1130"/>
      <c r="AQ33" s="1130"/>
      <c r="AR33" s="1130"/>
      <c r="AS33" s="1130"/>
      <c r="AT33" s="1130"/>
      <c r="AU33" s="1130"/>
      <c r="AV33" s="1130"/>
      <c r="AW33" s="1130"/>
      <c r="AX33" s="1130"/>
    </row>
    <row r="34" spans="1:52" ht="12.5" customHeight="1" x14ac:dyDescent="0.2">
      <c r="A34" s="1056" t="s">
        <v>454</v>
      </c>
      <c r="B34" s="1057"/>
      <c r="C34" s="1057"/>
      <c r="D34" s="1057"/>
      <c r="E34" s="1057"/>
      <c r="F34" s="1057"/>
      <c r="G34" s="1057"/>
      <c r="H34" s="1057"/>
      <c r="I34" s="1057"/>
      <c r="J34" s="1057"/>
      <c r="K34" s="1057"/>
      <c r="L34" s="1057"/>
      <c r="M34" s="1057"/>
      <c r="N34" s="1058"/>
      <c r="O34" s="1126">
        <v>28482</v>
      </c>
      <c r="P34" s="1127"/>
      <c r="Q34" s="1127"/>
      <c r="R34" s="1127"/>
      <c r="S34" s="1127"/>
      <c r="T34" s="1127"/>
      <c r="U34" s="1128"/>
      <c r="V34" s="1056"/>
      <c r="W34" s="1057"/>
      <c r="X34" s="1057"/>
      <c r="Y34" s="1057"/>
      <c r="Z34" s="1057"/>
      <c r="AA34" s="1057"/>
      <c r="AB34" s="1057"/>
      <c r="AC34" s="1057"/>
      <c r="AD34" s="1057"/>
      <c r="AE34" s="1057"/>
      <c r="AF34" s="1058"/>
      <c r="AG34" s="1129"/>
      <c r="AH34" s="1130"/>
      <c r="AI34" s="1130"/>
      <c r="AJ34" s="1130"/>
      <c r="AK34" s="1130"/>
      <c r="AL34" s="1130"/>
      <c r="AM34" s="1130"/>
      <c r="AN34" s="1130"/>
      <c r="AO34" s="1130"/>
      <c r="AP34" s="1130"/>
      <c r="AQ34" s="1130"/>
      <c r="AR34" s="1130"/>
      <c r="AS34" s="1130"/>
      <c r="AT34" s="1130"/>
      <c r="AU34" s="1130"/>
      <c r="AV34" s="1130"/>
      <c r="AW34" s="1130"/>
      <c r="AX34" s="1130"/>
    </row>
    <row r="35" spans="1:52" ht="1.25" customHeight="1" x14ac:dyDescent="0.2">
      <c r="A35" s="1056"/>
      <c r="B35" s="1057"/>
      <c r="C35" s="1057"/>
      <c r="D35" s="1057"/>
      <c r="E35" s="1057"/>
      <c r="F35" s="1057"/>
      <c r="G35" s="1057"/>
      <c r="H35" s="1057"/>
      <c r="I35" s="1057"/>
      <c r="J35" s="1057"/>
      <c r="K35" s="1057"/>
      <c r="L35" s="1057"/>
      <c r="M35" s="1057"/>
      <c r="N35" s="1058"/>
      <c r="O35" s="1126"/>
      <c r="P35" s="1127"/>
      <c r="Q35" s="1127"/>
      <c r="R35" s="1127"/>
      <c r="S35" s="1127"/>
      <c r="T35" s="1127"/>
      <c r="U35" s="1128"/>
      <c r="V35" s="1056" t="s">
        <v>455</v>
      </c>
      <c r="W35" s="1057"/>
      <c r="X35" s="1057"/>
      <c r="Y35" s="1057"/>
      <c r="Z35" s="1057"/>
      <c r="AA35" s="1057"/>
      <c r="AB35" s="1057"/>
      <c r="AC35" s="1057"/>
      <c r="AD35" s="1057"/>
      <c r="AE35" s="1057"/>
      <c r="AF35" s="1058"/>
      <c r="AG35" s="1011" t="s">
        <v>456</v>
      </c>
      <c r="AH35" s="1012"/>
      <c r="AI35" s="1012"/>
      <c r="AJ35" s="1012"/>
      <c r="AK35" s="1012"/>
      <c r="AL35" s="1012"/>
      <c r="AM35" s="1012"/>
      <c r="AN35" s="1012"/>
      <c r="AO35" s="1012"/>
      <c r="AP35" s="1012"/>
      <c r="AQ35" s="1012"/>
      <c r="AR35" s="1012"/>
      <c r="AS35" s="1012"/>
      <c r="AT35" s="1012"/>
      <c r="AU35" s="1012"/>
      <c r="AV35" s="1012"/>
      <c r="AW35" s="1012"/>
      <c r="AX35" s="1012"/>
    </row>
    <row r="36" spans="1:52" ht="12.5" customHeight="1" x14ac:dyDescent="0.2">
      <c r="A36" s="1009"/>
      <c r="B36" s="1010"/>
      <c r="C36" s="1010"/>
      <c r="D36" s="1010"/>
      <c r="E36" s="1010"/>
      <c r="F36" s="1010"/>
      <c r="G36" s="1010"/>
      <c r="H36" s="1010"/>
      <c r="I36" s="1010"/>
      <c r="J36" s="1010"/>
      <c r="K36" s="1010"/>
      <c r="L36" s="1010"/>
      <c r="M36" s="1010"/>
      <c r="N36" s="1010"/>
      <c r="O36" s="1010"/>
      <c r="P36" s="1010"/>
      <c r="Q36" s="1010"/>
      <c r="R36" s="1010"/>
      <c r="S36" s="1010"/>
      <c r="T36" s="1010"/>
      <c r="U36" s="1059"/>
      <c r="V36" s="1056"/>
      <c r="W36" s="1057"/>
      <c r="X36" s="1057"/>
      <c r="Y36" s="1057"/>
      <c r="Z36" s="1057"/>
      <c r="AA36" s="1057"/>
      <c r="AB36" s="1057"/>
      <c r="AC36" s="1057"/>
      <c r="AD36" s="1057"/>
      <c r="AE36" s="1057"/>
      <c r="AF36" s="1058"/>
      <c r="AG36" s="1011"/>
      <c r="AH36" s="1012"/>
      <c r="AI36" s="1012"/>
      <c r="AJ36" s="1012"/>
      <c r="AK36" s="1012"/>
      <c r="AL36" s="1012"/>
      <c r="AM36" s="1012"/>
      <c r="AN36" s="1012"/>
      <c r="AO36" s="1012"/>
      <c r="AP36" s="1012"/>
      <c r="AQ36" s="1012"/>
      <c r="AR36" s="1012"/>
      <c r="AS36" s="1012"/>
      <c r="AT36" s="1012"/>
      <c r="AU36" s="1012"/>
      <c r="AV36" s="1012"/>
      <c r="AW36" s="1012"/>
      <c r="AX36" s="1012"/>
    </row>
    <row r="37" spans="1:52" ht="26" customHeight="1" x14ac:dyDescent="0.2">
      <c r="A37" s="1009"/>
      <c r="B37" s="1010"/>
      <c r="C37" s="1010"/>
      <c r="D37" s="1010"/>
      <c r="E37" s="1010"/>
      <c r="F37" s="1010"/>
      <c r="G37" s="1010"/>
      <c r="H37" s="1010"/>
      <c r="I37" s="1010"/>
      <c r="J37" s="1010"/>
      <c r="K37" s="1010"/>
      <c r="L37" s="1010"/>
      <c r="M37" s="1010"/>
      <c r="N37" s="1010"/>
      <c r="O37" s="1010"/>
      <c r="P37" s="1010"/>
      <c r="Q37" s="1010"/>
      <c r="R37" s="1010"/>
      <c r="S37" s="1010"/>
      <c r="T37" s="1010"/>
      <c r="U37" s="1059"/>
      <c r="V37" s="1056" t="s">
        <v>457</v>
      </c>
      <c r="W37" s="1057"/>
      <c r="X37" s="1057"/>
      <c r="Y37" s="1057"/>
      <c r="Z37" s="1057"/>
      <c r="AA37" s="1057"/>
      <c r="AB37" s="1057"/>
      <c r="AC37" s="1057"/>
      <c r="AD37" s="1057"/>
      <c r="AE37" s="1057"/>
      <c r="AF37" s="1058"/>
      <c r="AG37" s="1011" t="s">
        <v>458</v>
      </c>
      <c r="AH37" s="1012"/>
      <c r="AI37" s="1012"/>
      <c r="AJ37" s="1012"/>
      <c r="AK37" s="1012"/>
      <c r="AL37" s="1012"/>
      <c r="AM37" s="1012"/>
      <c r="AN37" s="1012"/>
      <c r="AO37" s="1012"/>
      <c r="AP37" s="1012"/>
      <c r="AQ37" s="1012"/>
      <c r="AR37" s="1012"/>
      <c r="AS37" s="1012"/>
      <c r="AT37" s="1012"/>
      <c r="AU37" s="1012"/>
      <c r="AV37" s="1012"/>
      <c r="AW37" s="1012"/>
      <c r="AX37" s="1012"/>
    </row>
    <row r="38" spans="1:52" ht="12.5" customHeight="1" x14ac:dyDescent="0.2">
      <c r="A38" s="1009"/>
      <c r="B38" s="1010"/>
      <c r="C38" s="1010"/>
      <c r="D38" s="1010"/>
      <c r="E38" s="1010"/>
      <c r="F38" s="1010"/>
      <c r="G38" s="1010"/>
      <c r="H38" s="1010"/>
      <c r="I38" s="1010"/>
      <c r="J38" s="1010"/>
      <c r="K38" s="1010"/>
      <c r="L38" s="1010"/>
      <c r="M38" s="1010"/>
      <c r="N38" s="1010"/>
      <c r="O38" s="1010"/>
      <c r="P38" s="1010"/>
      <c r="Q38" s="1010"/>
      <c r="R38" s="1010"/>
      <c r="S38" s="1010"/>
      <c r="T38" s="1010"/>
      <c r="U38" s="1010"/>
      <c r="V38" s="1010"/>
      <c r="W38" s="1010"/>
      <c r="X38" s="1010"/>
      <c r="Y38" s="1010"/>
      <c r="Z38" s="1010"/>
      <c r="AA38" s="1010"/>
      <c r="AB38" s="1010"/>
      <c r="AC38" s="1010"/>
      <c r="AD38" s="1010"/>
      <c r="AE38" s="1010"/>
      <c r="AF38" s="1010"/>
      <c r="AG38" s="1010"/>
      <c r="AH38" s="1010"/>
      <c r="AI38" s="1010"/>
      <c r="AJ38" s="1010"/>
      <c r="AK38" s="1010"/>
      <c r="AL38" s="1010"/>
      <c r="AM38" s="1010"/>
      <c r="AN38" s="1010"/>
      <c r="AO38" s="1010"/>
      <c r="AP38" s="1010"/>
      <c r="AQ38" s="1010"/>
      <c r="AR38" s="1010"/>
      <c r="AS38" s="1010"/>
      <c r="AT38" s="1010"/>
      <c r="AU38" s="1010"/>
      <c r="AV38" s="1010"/>
      <c r="AW38" s="1010"/>
      <c r="AX38" s="1010"/>
      <c r="AY38" s="1010"/>
      <c r="AZ38" s="1010"/>
    </row>
    <row r="39" spans="1:52" ht="12.5" customHeight="1" x14ac:dyDescent="0.2">
      <c r="A39" s="1018"/>
      <c r="B39" s="1019"/>
      <c r="C39" s="1019"/>
      <c r="D39" s="1019"/>
      <c r="E39" s="1019"/>
      <c r="F39" s="1019"/>
      <c r="G39" s="1019"/>
      <c r="H39" s="1019"/>
      <c r="I39" s="1019"/>
      <c r="J39" s="1019"/>
      <c r="K39" s="1019"/>
      <c r="L39" s="1019"/>
      <c r="M39" s="1019"/>
      <c r="N39" s="1019"/>
      <c r="O39" s="1019"/>
      <c r="P39" s="1019"/>
      <c r="Q39" s="1019"/>
      <c r="R39" s="1019"/>
      <c r="S39" s="1019"/>
      <c r="T39" s="1019"/>
      <c r="U39" s="1019"/>
      <c r="V39" s="1019"/>
      <c r="W39" s="1019"/>
      <c r="X39" s="1019"/>
      <c r="Y39" s="1019"/>
      <c r="Z39" s="1019"/>
      <c r="AA39" s="1019"/>
      <c r="AB39" s="1019"/>
      <c r="AC39" s="1019"/>
      <c r="AD39" s="1019"/>
      <c r="AE39" s="1019"/>
      <c r="AF39" s="1019"/>
      <c r="AG39" s="1019"/>
      <c r="AH39" s="1019"/>
      <c r="AI39" s="1019"/>
      <c r="AJ39" s="1019"/>
      <c r="AK39" s="1019"/>
      <c r="AL39" s="1019"/>
      <c r="AM39" s="1019"/>
      <c r="AN39" s="1019"/>
      <c r="AO39" s="1019"/>
      <c r="AP39" s="1019"/>
      <c r="AQ39" s="1019"/>
      <c r="AR39" s="1019"/>
      <c r="AS39" s="1019"/>
      <c r="AT39" s="1019"/>
      <c r="AU39" s="1019"/>
      <c r="AV39" s="1019"/>
      <c r="AW39" s="1019"/>
      <c r="AX39" s="1019"/>
    </row>
    <row r="40" spans="1:52" ht="18.25" customHeight="1" x14ac:dyDescent="0.2">
      <c r="A40" s="1020" t="s">
        <v>459</v>
      </c>
      <c r="B40" s="1021"/>
      <c r="C40" s="1021"/>
      <c r="D40" s="1021"/>
      <c r="E40" s="1021"/>
      <c r="F40" s="1021"/>
      <c r="G40" s="1021"/>
      <c r="H40" s="1021"/>
      <c r="I40" s="1021"/>
      <c r="J40" s="1021"/>
      <c r="K40" s="1021"/>
      <c r="L40" s="1021"/>
      <c r="M40" s="1021"/>
      <c r="N40" s="1021"/>
      <c r="O40" s="1021"/>
      <c r="P40" s="1021"/>
      <c r="Q40" s="1021"/>
      <c r="R40" s="1021"/>
      <c r="S40" s="1021"/>
      <c r="T40" s="1021"/>
      <c r="U40" s="1021"/>
      <c r="V40" s="1021"/>
      <c r="W40" s="1021"/>
      <c r="X40" s="1021"/>
      <c r="Y40" s="1021"/>
      <c r="Z40" s="1021"/>
      <c r="AA40" s="1021"/>
      <c r="AB40" s="1021"/>
      <c r="AC40" s="1021"/>
      <c r="AD40" s="1021"/>
      <c r="AE40" s="1021"/>
      <c r="AF40" s="1021"/>
      <c r="AG40" s="1021"/>
      <c r="AH40" s="1021"/>
      <c r="AI40" s="1021"/>
      <c r="AJ40" s="1021"/>
      <c r="AK40" s="1021"/>
      <c r="AL40" s="1021"/>
      <c r="AM40" s="1021"/>
      <c r="AN40" s="1021"/>
      <c r="AO40" s="1021"/>
      <c r="AP40" s="1021"/>
      <c r="AQ40" s="1021"/>
      <c r="AR40" s="1021"/>
      <c r="AS40" s="1021"/>
      <c r="AT40" s="1021"/>
      <c r="AU40" s="1021"/>
      <c r="AV40" s="1021"/>
      <c r="AW40" s="1021"/>
      <c r="AX40" s="1021"/>
    </row>
    <row r="41" spans="1:52" ht="12.5" customHeight="1" x14ac:dyDescent="0.2">
      <c r="A41" s="1022"/>
      <c r="B41" s="1023"/>
      <c r="C41" s="1023"/>
      <c r="D41" s="1023"/>
      <c r="E41" s="1023"/>
      <c r="F41" s="1023"/>
      <c r="G41" s="1023"/>
      <c r="H41" s="1023"/>
      <c r="I41" s="1023"/>
      <c r="J41" s="1023"/>
      <c r="K41" s="1023"/>
      <c r="L41" s="1023"/>
      <c r="M41" s="1023"/>
      <c r="N41" s="1023"/>
      <c r="O41" s="1023"/>
      <c r="P41" s="1023"/>
      <c r="Q41" s="1023"/>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c r="AX41" s="1023"/>
    </row>
    <row r="42" spans="1:52" ht="12.5" customHeight="1" x14ac:dyDescent="0.2">
      <c r="A42" s="1009"/>
      <c r="B42" s="1010"/>
      <c r="C42" s="1010"/>
      <c r="D42" s="1010"/>
      <c r="E42" s="1010"/>
      <c r="F42" s="1010"/>
      <c r="G42" s="1010"/>
      <c r="H42" s="1010"/>
      <c r="I42" s="1010"/>
      <c r="J42" s="1010"/>
      <c r="K42" s="1010"/>
      <c r="L42" s="1010"/>
      <c r="M42" s="1010"/>
      <c r="N42" s="1010"/>
      <c r="O42" s="1010"/>
      <c r="P42" s="1010"/>
      <c r="Q42" s="1010"/>
      <c r="R42" s="1010"/>
      <c r="S42" s="1010"/>
      <c r="T42" s="1010"/>
      <c r="U42" s="1010"/>
      <c r="V42" s="1010"/>
      <c r="W42" s="1010"/>
      <c r="X42" s="1010"/>
      <c r="Y42" s="1010"/>
      <c r="Z42" s="1010"/>
      <c r="AA42" s="1010"/>
      <c r="AB42" s="1010"/>
      <c r="AC42" s="1010"/>
      <c r="AD42" s="1010"/>
      <c r="AE42" s="1010"/>
      <c r="AF42" s="1010"/>
      <c r="AG42" s="1010"/>
      <c r="AH42" s="1010"/>
      <c r="AI42" s="1010"/>
      <c r="AJ42" s="1010"/>
      <c r="AK42" s="1010"/>
      <c r="AL42" s="1010"/>
      <c r="AM42" s="1010"/>
      <c r="AN42" s="1010"/>
      <c r="AO42" s="1010"/>
      <c r="AP42" s="1010"/>
      <c r="AQ42" s="1010"/>
      <c r="AR42" s="1010"/>
      <c r="AS42" s="1010"/>
      <c r="AT42" s="1010"/>
      <c r="AU42" s="1010"/>
      <c r="AV42" s="1010"/>
      <c r="AW42" s="1010"/>
      <c r="AX42" s="1010"/>
    </row>
    <row r="43" spans="1:52" ht="13.5" customHeight="1" x14ac:dyDescent="0.2">
      <c r="A43" s="1056" t="s">
        <v>460</v>
      </c>
      <c r="B43" s="1057"/>
      <c r="C43" s="1057"/>
      <c r="D43" s="1057"/>
      <c r="E43" s="1057"/>
      <c r="F43" s="1057"/>
      <c r="G43" s="1057"/>
      <c r="H43" s="1057"/>
      <c r="I43" s="1057"/>
      <c r="J43" s="1057"/>
      <c r="K43" s="1057"/>
      <c r="L43" s="1057"/>
      <c r="M43" s="1057"/>
      <c r="N43" s="1058"/>
      <c r="O43" s="1011" t="s">
        <v>461</v>
      </c>
      <c r="P43" s="1012"/>
      <c r="Q43" s="1012"/>
      <c r="R43" s="1012"/>
      <c r="S43" s="1012"/>
      <c r="T43" s="1012"/>
      <c r="U43" s="1040"/>
      <c r="V43" s="1056" t="s">
        <v>462</v>
      </c>
      <c r="W43" s="1057"/>
      <c r="X43" s="1057"/>
      <c r="Y43" s="1057"/>
      <c r="Z43" s="1057"/>
      <c r="AA43" s="1057"/>
      <c r="AB43" s="1057"/>
      <c r="AC43" s="1057"/>
      <c r="AD43" s="1057"/>
      <c r="AE43" s="1057"/>
      <c r="AF43" s="1058"/>
      <c r="AG43" s="1011" t="s">
        <v>463</v>
      </c>
      <c r="AH43" s="1012"/>
      <c r="AI43" s="1012"/>
      <c r="AJ43" s="1012"/>
      <c r="AK43" s="1012"/>
      <c r="AL43" s="1012"/>
      <c r="AM43" s="1012"/>
      <c r="AN43" s="1012"/>
      <c r="AO43" s="1012"/>
      <c r="AP43" s="1012"/>
      <c r="AQ43" s="1012"/>
      <c r="AR43" s="1012"/>
      <c r="AS43" s="1012"/>
      <c r="AT43" s="1012"/>
      <c r="AU43" s="1012"/>
      <c r="AV43" s="1012"/>
      <c r="AW43" s="1012"/>
      <c r="AX43" s="1012"/>
    </row>
    <row r="44" spans="1:52" ht="12.5" customHeight="1" x14ac:dyDescent="0.2">
      <c r="A44" s="1056" t="s">
        <v>464</v>
      </c>
      <c r="B44" s="1057"/>
      <c r="C44" s="1057"/>
      <c r="D44" s="1057"/>
      <c r="E44" s="1057"/>
      <c r="F44" s="1057"/>
      <c r="G44" s="1057"/>
      <c r="H44" s="1057"/>
      <c r="I44" s="1057"/>
      <c r="J44" s="1057"/>
      <c r="K44" s="1057"/>
      <c r="L44" s="1057"/>
      <c r="M44" s="1057"/>
      <c r="N44" s="1058"/>
      <c r="O44" s="1011" t="s">
        <v>465</v>
      </c>
      <c r="P44" s="1012"/>
      <c r="Q44" s="1012"/>
      <c r="R44" s="1012"/>
      <c r="S44" s="1012"/>
      <c r="T44" s="1012"/>
      <c r="U44" s="1040"/>
      <c r="V44" s="1056"/>
      <c r="W44" s="1057"/>
      <c r="X44" s="1057"/>
      <c r="Y44" s="1057"/>
      <c r="Z44" s="1057"/>
      <c r="AA44" s="1057"/>
      <c r="AB44" s="1057"/>
      <c r="AC44" s="1057"/>
      <c r="AD44" s="1057"/>
      <c r="AE44" s="1057"/>
      <c r="AF44" s="1058"/>
      <c r="AG44" s="1011"/>
      <c r="AH44" s="1012"/>
      <c r="AI44" s="1012"/>
      <c r="AJ44" s="1012"/>
      <c r="AK44" s="1012"/>
      <c r="AL44" s="1012"/>
      <c r="AM44" s="1012"/>
      <c r="AN44" s="1012"/>
      <c r="AO44" s="1012"/>
      <c r="AP44" s="1012"/>
      <c r="AQ44" s="1012"/>
      <c r="AR44" s="1012"/>
      <c r="AS44" s="1012"/>
      <c r="AT44" s="1012"/>
      <c r="AU44" s="1012"/>
      <c r="AV44" s="1012"/>
      <c r="AW44" s="1012"/>
      <c r="AX44" s="1012"/>
    </row>
    <row r="45" spans="1:52" ht="1.25" customHeight="1" x14ac:dyDescent="0.2">
      <c r="A45" s="1056"/>
      <c r="B45" s="1057"/>
      <c r="C45" s="1057"/>
      <c r="D45" s="1057"/>
      <c r="E45" s="1057"/>
      <c r="F45" s="1057"/>
      <c r="G45" s="1057"/>
      <c r="H45" s="1057"/>
      <c r="I45" s="1057"/>
      <c r="J45" s="1057"/>
      <c r="K45" s="1057"/>
      <c r="L45" s="1057"/>
      <c r="M45" s="1057"/>
      <c r="N45" s="1058"/>
      <c r="O45" s="1011"/>
      <c r="P45" s="1012"/>
      <c r="Q45" s="1012"/>
      <c r="R45" s="1012"/>
      <c r="S45" s="1012"/>
      <c r="T45" s="1012"/>
      <c r="U45" s="1040"/>
      <c r="V45" s="1056" t="s">
        <v>466</v>
      </c>
      <c r="W45" s="1057"/>
      <c r="X45" s="1057"/>
      <c r="Y45" s="1057"/>
      <c r="Z45" s="1057"/>
      <c r="AA45" s="1057"/>
      <c r="AB45" s="1057"/>
      <c r="AC45" s="1057"/>
      <c r="AD45" s="1057"/>
      <c r="AE45" s="1057"/>
      <c r="AF45" s="1058"/>
      <c r="AG45" s="1124">
        <v>4</v>
      </c>
      <c r="AH45" s="1125"/>
      <c r="AI45" s="1125"/>
      <c r="AJ45" s="1125"/>
      <c r="AK45" s="1125"/>
      <c r="AL45" s="1125"/>
      <c r="AM45" s="1125"/>
      <c r="AN45" s="1125"/>
      <c r="AO45" s="1125"/>
      <c r="AP45" s="1125"/>
      <c r="AQ45" s="1125"/>
      <c r="AR45" s="1125"/>
      <c r="AS45" s="1125"/>
      <c r="AT45" s="1125"/>
      <c r="AU45" s="1125"/>
      <c r="AV45" s="1125"/>
      <c r="AW45" s="1125"/>
      <c r="AX45" s="1125"/>
    </row>
    <row r="46" spans="1:52" ht="12.5" customHeight="1" x14ac:dyDescent="0.2">
      <c r="A46" s="1056" t="s">
        <v>467</v>
      </c>
      <c r="B46" s="1057"/>
      <c r="C46" s="1057"/>
      <c r="D46" s="1057"/>
      <c r="E46" s="1057"/>
      <c r="F46" s="1057"/>
      <c r="G46" s="1057"/>
      <c r="H46" s="1057"/>
      <c r="I46" s="1057"/>
      <c r="J46" s="1057"/>
      <c r="K46" s="1057"/>
      <c r="L46" s="1057"/>
      <c r="M46" s="1057"/>
      <c r="N46" s="1058"/>
      <c r="O46" s="1011" t="s">
        <v>468</v>
      </c>
      <c r="P46" s="1012"/>
      <c r="Q46" s="1012"/>
      <c r="R46" s="1012"/>
      <c r="S46" s="1012"/>
      <c r="T46" s="1012"/>
      <c r="U46" s="1040"/>
      <c r="V46" s="1056"/>
      <c r="W46" s="1057"/>
      <c r="X46" s="1057"/>
      <c r="Y46" s="1057"/>
      <c r="Z46" s="1057"/>
      <c r="AA46" s="1057"/>
      <c r="AB46" s="1057"/>
      <c r="AC46" s="1057"/>
      <c r="AD46" s="1057"/>
      <c r="AE46" s="1057"/>
      <c r="AF46" s="1058"/>
      <c r="AG46" s="1124"/>
      <c r="AH46" s="1125"/>
      <c r="AI46" s="1125"/>
      <c r="AJ46" s="1125"/>
      <c r="AK46" s="1125"/>
      <c r="AL46" s="1125"/>
      <c r="AM46" s="1125"/>
      <c r="AN46" s="1125"/>
      <c r="AO46" s="1125"/>
      <c r="AP46" s="1125"/>
      <c r="AQ46" s="1125"/>
      <c r="AR46" s="1125"/>
      <c r="AS46" s="1125"/>
      <c r="AT46" s="1125"/>
      <c r="AU46" s="1125"/>
      <c r="AV46" s="1125"/>
      <c r="AW46" s="1125"/>
      <c r="AX46" s="1125"/>
    </row>
    <row r="47" spans="1:52" ht="1.25" customHeight="1" x14ac:dyDescent="0.2">
      <c r="A47" s="1056"/>
      <c r="B47" s="1057"/>
      <c r="C47" s="1057"/>
      <c r="D47" s="1057"/>
      <c r="E47" s="1057"/>
      <c r="F47" s="1057"/>
      <c r="G47" s="1057"/>
      <c r="H47" s="1057"/>
      <c r="I47" s="1057"/>
      <c r="J47" s="1057"/>
      <c r="K47" s="1057"/>
      <c r="L47" s="1057"/>
      <c r="M47" s="1057"/>
      <c r="N47" s="1058"/>
      <c r="O47" s="1011"/>
      <c r="P47" s="1012"/>
      <c r="Q47" s="1012"/>
      <c r="R47" s="1012"/>
      <c r="S47" s="1012"/>
      <c r="T47" s="1012"/>
      <c r="U47" s="1040"/>
      <c r="V47" s="1056" t="s">
        <v>469</v>
      </c>
      <c r="W47" s="1057"/>
      <c r="X47" s="1057"/>
      <c r="Y47" s="1057"/>
      <c r="Z47" s="1057"/>
      <c r="AA47" s="1057"/>
      <c r="AB47" s="1057"/>
      <c r="AC47" s="1057"/>
      <c r="AD47" s="1057"/>
      <c r="AE47" s="1057"/>
      <c r="AF47" s="1058"/>
      <c r="AG47" s="1124">
        <v>1</v>
      </c>
      <c r="AH47" s="1125"/>
      <c r="AI47" s="1125"/>
      <c r="AJ47" s="1125"/>
      <c r="AK47" s="1125"/>
      <c r="AL47" s="1125"/>
      <c r="AM47" s="1125"/>
      <c r="AN47" s="1125"/>
      <c r="AO47" s="1125"/>
      <c r="AP47" s="1125"/>
      <c r="AQ47" s="1125"/>
      <c r="AR47" s="1125"/>
      <c r="AS47" s="1125"/>
      <c r="AT47" s="1125"/>
      <c r="AU47" s="1125"/>
      <c r="AV47" s="1125"/>
      <c r="AW47" s="1125"/>
      <c r="AX47" s="1125"/>
    </row>
    <row r="48" spans="1:52" ht="12.5" customHeight="1" x14ac:dyDescent="0.2">
      <c r="A48" s="1056" t="s">
        <v>470</v>
      </c>
      <c r="B48" s="1057"/>
      <c r="C48" s="1057"/>
      <c r="D48" s="1057"/>
      <c r="E48" s="1057"/>
      <c r="F48" s="1057"/>
      <c r="G48" s="1057"/>
      <c r="H48" s="1057"/>
      <c r="I48" s="1057"/>
      <c r="J48" s="1057"/>
      <c r="K48" s="1057"/>
      <c r="L48" s="1057"/>
      <c r="M48" s="1057"/>
      <c r="N48" s="1058"/>
      <c r="O48" s="1011" t="s">
        <v>471</v>
      </c>
      <c r="P48" s="1012"/>
      <c r="Q48" s="1012"/>
      <c r="R48" s="1012"/>
      <c r="S48" s="1012"/>
      <c r="T48" s="1012"/>
      <c r="U48" s="1040"/>
      <c r="V48" s="1056"/>
      <c r="W48" s="1057"/>
      <c r="X48" s="1057"/>
      <c r="Y48" s="1057"/>
      <c r="Z48" s="1057"/>
      <c r="AA48" s="1057"/>
      <c r="AB48" s="1057"/>
      <c r="AC48" s="1057"/>
      <c r="AD48" s="1057"/>
      <c r="AE48" s="1057"/>
      <c r="AF48" s="1058"/>
      <c r="AG48" s="1124"/>
      <c r="AH48" s="1125"/>
      <c r="AI48" s="1125"/>
      <c r="AJ48" s="1125"/>
      <c r="AK48" s="1125"/>
      <c r="AL48" s="1125"/>
      <c r="AM48" s="1125"/>
      <c r="AN48" s="1125"/>
      <c r="AO48" s="1125"/>
      <c r="AP48" s="1125"/>
      <c r="AQ48" s="1125"/>
      <c r="AR48" s="1125"/>
      <c r="AS48" s="1125"/>
      <c r="AT48" s="1125"/>
      <c r="AU48" s="1125"/>
      <c r="AV48" s="1125"/>
      <c r="AW48" s="1125"/>
      <c r="AX48" s="1125"/>
    </row>
    <row r="49" spans="1:50" ht="1.25" customHeight="1" x14ac:dyDescent="0.2">
      <c r="A49" s="1056"/>
      <c r="B49" s="1057"/>
      <c r="C49" s="1057"/>
      <c r="D49" s="1057"/>
      <c r="E49" s="1057"/>
      <c r="F49" s="1057"/>
      <c r="G49" s="1057"/>
      <c r="H49" s="1057"/>
      <c r="I49" s="1057"/>
      <c r="J49" s="1057"/>
      <c r="K49" s="1057"/>
      <c r="L49" s="1057"/>
      <c r="M49" s="1057"/>
      <c r="N49" s="1058"/>
      <c r="O49" s="1011"/>
      <c r="P49" s="1012"/>
      <c r="Q49" s="1012"/>
      <c r="R49" s="1012"/>
      <c r="S49" s="1012"/>
      <c r="T49" s="1012"/>
      <c r="U49" s="1040"/>
      <c r="V49" s="1009"/>
      <c r="W49" s="1010"/>
      <c r="X49" s="1010"/>
      <c r="Y49" s="1010"/>
      <c r="Z49" s="1010"/>
      <c r="AA49" s="1010"/>
      <c r="AB49" s="1010"/>
      <c r="AC49" s="1010"/>
      <c r="AD49" s="1010"/>
      <c r="AE49" s="1010"/>
      <c r="AF49" s="1010"/>
      <c r="AG49" s="1010"/>
      <c r="AH49" s="1010"/>
      <c r="AI49" s="1010"/>
      <c r="AJ49" s="1010"/>
      <c r="AK49" s="1010"/>
      <c r="AL49" s="1010"/>
      <c r="AM49" s="1010"/>
      <c r="AN49" s="1010"/>
      <c r="AO49" s="1010"/>
      <c r="AP49" s="1010"/>
      <c r="AQ49" s="1010"/>
      <c r="AR49" s="1010"/>
      <c r="AS49" s="1010"/>
      <c r="AT49" s="1010"/>
      <c r="AU49" s="1010"/>
      <c r="AV49" s="1010"/>
      <c r="AW49" s="1010"/>
      <c r="AX49" s="1010"/>
    </row>
    <row r="50" spans="1:50" ht="13.5" customHeight="1" x14ac:dyDescent="0.2">
      <c r="A50" s="1056" t="s">
        <v>472</v>
      </c>
      <c r="B50" s="1057"/>
      <c r="C50" s="1057"/>
      <c r="D50" s="1057"/>
      <c r="E50" s="1057"/>
      <c r="F50" s="1057"/>
      <c r="G50" s="1057"/>
      <c r="H50" s="1057"/>
      <c r="I50" s="1057"/>
      <c r="J50" s="1057"/>
      <c r="K50" s="1057"/>
      <c r="L50" s="1057"/>
      <c r="M50" s="1057"/>
      <c r="N50" s="1058"/>
      <c r="O50" s="1011" t="s">
        <v>473</v>
      </c>
      <c r="P50" s="1012"/>
      <c r="Q50" s="1012"/>
      <c r="R50" s="1012"/>
      <c r="S50" s="1012"/>
      <c r="T50" s="1012"/>
      <c r="U50" s="1040"/>
      <c r="V50" s="1009"/>
      <c r="W50" s="1010"/>
      <c r="X50" s="1010"/>
      <c r="Y50" s="1010"/>
      <c r="Z50" s="1010"/>
      <c r="AA50" s="1010"/>
      <c r="AB50" s="1010"/>
      <c r="AC50" s="1010"/>
      <c r="AD50" s="1010"/>
      <c r="AE50" s="1010"/>
      <c r="AF50" s="1010"/>
      <c r="AG50" s="1010"/>
      <c r="AH50" s="1010"/>
      <c r="AI50" s="1010"/>
      <c r="AJ50" s="1010"/>
      <c r="AK50" s="1010"/>
      <c r="AL50" s="1010"/>
      <c r="AM50" s="1010"/>
      <c r="AN50" s="1010"/>
      <c r="AO50" s="1010"/>
      <c r="AP50" s="1010"/>
      <c r="AQ50" s="1010"/>
      <c r="AR50" s="1010"/>
      <c r="AS50" s="1010"/>
      <c r="AT50" s="1010"/>
      <c r="AU50" s="1010"/>
      <c r="AV50" s="1010"/>
      <c r="AW50" s="1010"/>
      <c r="AX50" s="1010"/>
    </row>
    <row r="51" spans="1:50" ht="12.5" customHeight="1" x14ac:dyDescent="0.2">
      <c r="A51" s="1009"/>
      <c r="B51" s="1010"/>
      <c r="C51" s="1010"/>
      <c r="D51" s="1010"/>
      <c r="E51" s="1010"/>
      <c r="F51" s="1010"/>
      <c r="G51" s="1010"/>
      <c r="H51" s="1010"/>
      <c r="I51" s="1010"/>
      <c r="J51" s="1010"/>
      <c r="K51" s="1010"/>
      <c r="L51" s="1010"/>
      <c r="M51" s="1010"/>
      <c r="N51" s="1010"/>
      <c r="O51" s="1010"/>
      <c r="P51" s="1010"/>
      <c r="Q51" s="1010"/>
      <c r="R51" s="1010"/>
      <c r="S51" s="1010"/>
      <c r="T51" s="1010"/>
      <c r="U51" s="1010"/>
      <c r="V51" s="1010"/>
      <c r="W51" s="1010"/>
      <c r="X51" s="1010"/>
      <c r="Y51" s="1010"/>
      <c r="Z51" s="1010"/>
      <c r="AA51" s="1010"/>
      <c r="AB51" s="1010"/>
      <c r="AC51" s="1010"/>
      <c r="AD51" s="1010"/>
      <c r="AE51" s="1010"/>
      <c r="AF51" s="1010"/>
      <c r="AG51" s="1010"/>
      <c r="AH51" s="1010"/>
      <c r="AI51" s="1010"/>
      <c r="AJ51" s="1010"/>
      <c r="AK51" s="1010"/>
      <c r="AL51" s="1010"/>
      <c r="AM51" s="1010"/>
      <c r="AN51" s="1010"/>
      <c r="AO51" s="1010"/>
      <c r="AP51" s="1010"/>
      <c r="AQ51" s="1010"/>
      <c r="AR51" s="1010"/>
      <c r="AS51" s="1010"/>
      <c r="AT51" s="1010"/>
      <c r="AU51" s="1010"/>
      <c r="AV51" s="1010"/>
      <c r="AW51" s="1010"/>
      <c r="AX51" s="1010"/>
    </row>
    <row r="52" spans="1:50" ht="13.5" customHeight="1" x14ac:dyDescent="0.2">
      <c r="A52" s="1056" t="s">
        <v>474</v>
      </c>
      <c r="B52" s="1057"/>
      <c r="C52" s="1057"/>
      <c r="D52" s="1057"/>
      <c r="E52" s="1057"/>
      <c r="F52" s="1057"/>
      <c r="G52" s="1057"/>
      <c r="H52" s="1057"/>
      <c r="I52" s="1057"/>
      <c r="J52" s="1057"/>
      <c r="K52" s="1057"/>
      <c r="L52" s="1057"/>
      <c r="M52" s="1057"/>
      <c r="N52" s="1058"/>
      <c r="O52" s="1011" t="s">
        <v>475</v>
      </c>
      <c r="P52" s="1012"/>
      <c r="Q52" s="1012"/>
      <c r="R52" s="1012"/>
      <c r="S52" s="1012"/>
      <c r="T52" s="1012"/>
      <c r="U52" s="1012"/>
      <c r="V52" s="1012"/>
      <c r="W52" s="1012"/>
      <c r="X52" s="1012"/>
      <c r="Y52" s="1012"/>
      <c r="Z52" s="1012"/>
      <c r="AA52" s="1012"/>
      <c r="AB52" s="1012"/>
      <c r="AC52" s="1012"/>
      <c r="AD52" s="1012"/>
      <c r="AE52" s="1012"/>
      <c r="AF52" s="1012"/>
      <c r="AG52" s="1012"/>
      <c r="AH52" s="1012"/>
      <c r="AI52" s="1012"/>
      <c r="AJ52" s="1012"/>
      <c r="AK52" s="1012"/>
      <c r="AL52" s="1012"/>
      <c r="AM52" s="1012"/>
      <c r="AN52" s="1012"/>
      <c r="AO52" s="1012"/>
      <c r="AP52" s="1012"/>
      <c r="AQ52" s="1012"/>
      <c r="AR52" s="1012"/>
      <c r="AS52" s="1012"/>
      <c r="AT52" s="1012"/>
      <c r="AU52" s="1012"/>
      <c r="AV52" s="1012"/>
      <c r="AW52" s="1012"/>
      <c r="AX52" s="1012"/>
    </row>
    <row r="53" spans="1:50" ht="12.5" customHeight="1" x14ac:dyDescent="0.2">
      <c r="A53" s="1009"/>
      <c r="B53" s="1010"/>
      <c r="C53" s="1010"/>
      <c r="D53" s="1010"/>
      <c r="E53" s="1010"/>
      <c r="F53" s="1010"/>
      <c r="G53" s="1010"/>
      <c r="H53" s="1010"/>
      <c r="I53" s="1010"/>
      <c r="J53" s="1010"/>
      <c r="K53" s="1010"/>
      <c r="L53" s="1010"/>
      <c r="M53" s="1010"/>
      <c r="N53" s="1010"/>
      <c r="O53" s="1010"/>
      <c r="P53" s="1010"/>
      <c r="Q53" s="1010"/>
      <c r="R53" s="1010"/>
      <c r="S53" s="1010"/>
      <c r="T53" s="1010"/>
      <c r="U53" s="1010"/>
      <c r="V53" s="1010"/>
      <c r="W53" s="1010"/>
      <c r="X53" s="1010"/>
      <c r="Y53" s="1010"/>
      <c r="Z53" s="1010"/>
      <c r="AA53" s="1010"/>
      <c r="AB53" s="1010"/>
      <c r="AC53" s="1010"/>
      <c r="AD53" s="1010"/>
      <c r="AE53" s="1010"/>
      <c r="AF53" s="1010"/>
      <c r="AG53" s="1010"/>
      <c r="AH53" s="1010"/>
      <c r="AI53" s="1010"/>
      <c r="AJ53" s="1010"/>
      <c r="AK53" s="1010"/>
      <c r="AL53" s="1010"/>
      <c r="AM53" s="1010"/>
      <c r="AN53" s="1010"/>
      <c r="AO53" s="1010"/>
      <c r="AP53" s="1010"/>
      <c r="AQ53" s="1010"/>
      <c r="AR53" s="1010"/>
      <c r="AS53" s="1010"/>
      <c r="AT53" s="1010"/>
      <c r="AU53" s="1010"/>
      <c r="AV53" s="1010"/>
      <c r="AW53" s="1010"/>
      <c r="AX53" s="1010"/>
    </row>
    <row r="54" spans="1:50" ht="12.5" customHeight="1" x14ac:dyDescent="0.2">
      <c r="A54" s="1018"/>
      <c r="B54" s="1019"/>
      <c r="C54" s="1019"/>
      <c r="D54" s="1019"/>
      <c r="E54" s="1019"/>
      <c r="F54" s="1019"/>
      <c r="G54" s="1019"/>
      <c r="H54" s="1019"/>
      <c r="I54" s="1019"/>
      <c r="J54" s="1019"/>
      <c r="K54" s="1019"/>
      <c r="L54" s="1019"/>
      <c r="M54" s="1019"/>
      <c r="N54" s="1019"/>
      <c r="O54" s="1019"/>
      <c r="P54" s="1019"/>
      <c r="Q54" s="1019"/>
      <c r="R54" s="1019"/>
      <c r="S54" s="1019"/>
      <c r="T54" s="1019"/>
      <c r="U54" s="1019"/>
      <c r="V54" s="1019"/>
      <c r="W54" s="1019"/>
      <c r="X54" s="1019"/>
      <c r="Y54" s="1019"/>
      <c r="Z54" s="1019"/>
      <c r="AA54" s="1019"/>
      <c r="AB54" s="1019"/>
      <c r="AC54" s="1019"/>
      <c r="AD54" s="1019"/>
      <c r="AE54" s="1019"/>
      <c r="AF54" s="1019"/>
      <c r="AG54" s="1019"/>
      <c r="AH54" s="1019"/>
      <c r="AI54" s="1019"/>
      <c r="AJ54" s="1019"/>
      <c r="AK54" s="1019"/>
      <c r="AL54" s="1019"/>
      <c r="AM54" s="1019"/>
      <c r="AN54" s="1019"/>
      <c r="AO54" s="1019"/>
      <c r="AP54" s="1019"/>
      <c r="AQ54" s="1019"/>
      <c r="AR54" s="1019"/>
      <c r="AS54" s="1019"/>
      <c r="AT54" s="1019"/>
      <c r="AU54" s="1019"/>
      <c r="AV54" s="1019"/>
      <c r="AW54" s="1019"/>
      <c r="AX54" s="1019"/>
    </row>
    <row r="55" spans="1:50" ht="18.25" customHeight="1" x14ac:dyDescent="0.2">
      <c r="A55" s="1020" t="s">
        <v>476</v>
      </c>
      <c r="B55" s="1021"/>
      <c r="C55" s="1021"/>
      <c r="D55" s="1021"/>
      <c r="E55" s="1021"/>
      <c r="F55" s="1021"/>
      <c r="G55" s="1021"/>
      <c r="H55" s="1021"/>
      <c r="I55" s="1021"/>
      <c r="J55" s="1021"/>
      <c r="K55" s="1021"/>
      <c r="L55" s="1021"/>
      <c r="M55" s="1021"/>
      <c r="N55" s="1021"/>
      <c r="O55" s="1021"/>
      <c r="P55" s="1021"/>
      <c r="Q55" s="1021"/>
      <c r="R55" s="1021"/>
      <c r="S55" s="1021"/>
      <c r="T55" s="1021"/>
      <c r="U55" s="1021"/>
      <c r="V55" s="1021"/>
      <c r="W55" s="1021"/>
      <c r="X55" s="1021"/>
      <c r="Y55" s="1021"/>
      <c r="Z55" s="1021"/>
      <c r="AA55" s="1021"/>
      <c r="AB55" s="1021"/>
      <c r="AC55" s="1021"/>
      <c r="AD55" s="1021"/>
      <c r="AE55" s="1021"/>
      <c r="AF55" s="1021"/>
      <c r="AG55" s="1021"/>
      <c r="AH55" s="1021"/>
      <c r="AI55" s="1021"/>
      <c r="AJ55" s="1021"/>
      <c r="AK55" s="1021"/>
      <c r="AL55" s="1021"/>
      <c r="AM55" s="1021"/>
      <c r="AN55" s="1021"/>
      <c r="AO55" s="1021"/>
      <c r="AP55" s="1021"/>
      <c r="AQ55" s="1021"/>
      <c r="AR55" s="1021"/>
      <c r="AS55" s="1021"/>
      <c r="AT55" s="1021"/>
      <c r="AU55" s="1021"/>
      <c r="AV55" s="1021"/>
      <c r="AW55" s="1021"/>
      <c r="AX55" s="1021"/>
    </row>
    <row r="56" spans="1:50" ht="12.5" customHeight="1" x14ac:dyDescent="0.2">
      <c r="A56" s="1022"/>
      <c r="B56" s="1023"/>
      <c r="C56" s="1023"/>
      <c r="D56" s="1023"/>
      <c r="E56" s="1023"/>
      <c r="F56" s="1023"/>
      <c r="G56" s="1023"/>
      <c r="H56" s="1023"/>
      <c r="I56" s="1023"/>
      <c r="J56" s="1023"/>
      <c r="K56" s="1023"/>
      <c r="L56" s="1023"/>
      <c r="M56" s="1023"/>
      <c r="N56" s="1023"/>
      <c r="O56" s="1023"/>
      <c r="P56" s="1023"/>
      <c r="Q56" s="1023"/>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c r="AX56" s="1023"/>
    </row>
    <row r="57" spans="1:50" ht="12.5" customHeight="1" x14ac:dyDescent="0.2">
      <c r="A57" s="1009"/>
      <c r="B57" s="1010"/>
      <c r="C57" s="1010"/>
      <c r="D57" s="1010"/>
      <c r="E57" s="1010"/>
      <c r="F57" s="1010"/>
      <c r="G57" s="1010"/>
      <c r="H57" s="1010"/>
      <c r="I57" s="1010"/>
      <c r="J57" s="1010"/>
      <c r="K57" s="1010"/>
      <c r="L57" s="1010"/>
      <c r="M57" s="1010"/>
      <c r="N57" s="1010"/>
      <c r="O57" s="1010"/>
      <c r="P57" s="1010"/>
      <c r="Q57" s="1010"/>
      <c r="R57" s="1010"/>
      <c r="S57" s="1010"/>
      <c r="T57" s="1010"/>
      <c r="U57" s="1010"/>
      <c r="V57" s="1010"/>
      <c r="W57" s="1010"/>
      <c r="X57" s="1010"/>
      <c r="Y57" s="1010"/>
      <c r="Z57" s="1010"/>
      <c r="AA57" s="1010"/>
      <c r="AB57" s="1010"/>
      <c r="AC57" s="1010"/>
      <c r="AD57" s="1010"/>
      <c r="AE57" s="1010"/>
      <c r="AF57" s="1010"/>
      <c r="AG57" s="1010"/>
      <c r="AH57" s="1010"/>
      <c r="AI57" s="1010"/>
      <c r="AJ57" s="1010"/>
      <c r="AK57" s="1010"/>
      <c r="AL57" s="1010"/>
      <c r="AM57" s="1010"/>
      <c r="AN57" s="1010"/>
      <c r="AO57" s="1010"/>
      <c r="AP57" s="1010"/>
      <c r="AQ57" s="1010"/>
      <c r="AR57" s="1010"/>
      <c r="AS57" s="1010"/>
      <c r="AT57" s="1010"/>
      <c r="AU57" s="1010"/>
      <c r="AV57" s="1010"/>
      <c r="AW57" s="1010"/>
      <c r="AX57" s="1010"/>
    </row>
    <row r="58" spans="1:50" ht="26" customHeight="1" x14ac:dyDescent="0.2">
      <c r="A58" s="1056" t="s">
        <v>477</v>
      </c>
      <c r="B58" s="1057"/>
      <c r="C58" s="1057"/>
      <c r="D58" s="1057"/>
      <c r="E58" s="1057"/>
      <c r="F58" s="1057"/>
      <c r="G58" s="1057"/>
      <c r="H58" s="1057"/>
      <c r="I58" s="1057"/>
      <c r="J58" s="1057"/>
      <c r="K58" s="1057"/>
      <c r="L58" s="1057"/>
      <c r="M58" s="1057"/>
      <c r="N58" s="1058"/>
      <c r="O58" s="1011" t="s">
        <v>478</v>
      </c>
      <c r="P58" s="1012"/>
      <c r="Q58" s="1012"/>
      <c r="R58" s="1012"/>
      <c r="S58" s="1012"/>
      <c r="T58" s="1012"/>
      <c r="U58" s="1012"/>
      <c r="V58" s="1012"/>
      <c r="W58" s="1012"/>
      <c r="X58" s="1012"/>
      <c r="Y58" s="1012"/>
      <c r="Z58" s="1012"/>
      <c r="AA58" s="1012"/>
      <c r="AB58" s="1012"/>
      <c r="AC58" s="1012"/>
      <c r="AD58" s="1012"/>
      <c r="AE58" s="1012"/>
      <c r="AF58" s="1012"/>
      <c r="AG58" s="1012"/>
      <c r="AH58" s="1012"/>
      <c r="AI58" s="1012"/>
      <c r="AJ58" s="1012"/>
      <c r="AK58" s="1012"/>
      <c r="AL58" s="1012"/>
      <c r="AM58" s="1012"/>
      <c r="AN58" s="1012"/>
      <c r="AO58" s="1012"/>
      <c r="AP58" s="1012"/>
      <c r="AQ58" s="1012"/>
      <c r="AR58" s="1012"/>
      <c r="AS58" s="1012"/>
      <c r="AT58" s="1012"/>
      <c r="AU58" s="1012"/>
      <c r="AV58" s="1012"/>
      <c r="AW58" s="1012"/>
      <c r="AX58" s="1012"/>
    </row>
    <row r="59" spans="1:50" ht="12.5" customHeight="1" x14ac:dyDescent="0.2">
      <c r="A59" s="1009"/>
      <c r="B59" s="1010"/>
      <c r="C59" s="1010"/>
      <c r="D59" s="1010"/>
      <c r="E59" s="1010"/>
      <c r="F59" s="1010"/>
      <c r="G59" s="1010"/>
      <c r="H59" s="1010"/>
      <c r="I59" s="1010"/>
      <c r="J59" s="1010"/>
      <c r="K59" s="1010"/>
      <c r="L59" s="1010"/>
      <c r="M59" s="1010"/>
      <c r="N59" s="1010"/>
      <c r="O59" s="1010"/>
      <c r="P59" s="1010"/>
      <c r="Q59" s="1010"/>
      <c r="R59" s="1010"/>
      <c r="S59" s="1010"/>
      <c r="T59" s="1010"/>
      <c r="U59" s="1010"/>
      <c r="V59" s="1010"/>
      <c r="W59" s="1010"/>
      <c r="X59" s="1010"/>
      <c r="Y59" s="1010"/>
      <c r="Z59" s="1010"/>
      <c r="AA59" s="1010"/>
      <c r="AB59" s="1010"/>
      <c r="AC59" s="1010"/>
      <c r="AD59" s="1010"/>
      <c r="AE59" s="1010"/>
      <c r="AF59" s="1010"/>
      <c r="AG59" s="1010"/>
      <c r="AH59" s="1010"/>
      <c r="AI59" s="1010"/>
      <c r="AJ59" s="1010"/>
      <c r="AK59" s="1010"/>
      <c r="AL59" s="1010"/>
      <c r="AM59" s="1010"/>
      <c r="AN59" s="1010"/>
      <c r="AO59" s="1010"/>
      <c r="AP59" s="1010"/>
      <c r="AQ59" s="1010"/>
      <c r="AR59" s="1010"/>
      <c r="AS59" s="1010"/>
      <c r="AT59" s="1010"/>
      <c r="AU59" s="1010"/>
      <c r="AV59" s="1010"/>
      <c r="AW59" s="1010"/>
      <c r="AX59" s="1010"/>
    </row>
    <row r="60" spans="1:50" ht="13.5" customHeight="1" x14ac:dyDescent="0.2">
      <c r="A60" s="1056" t="s">
        <v>479</v>
      </c>
      <c r="B60" s="1057"/>
      <c r="C60" s="1057"/>
      <c r="D60" s="1057"/>
      <c r="E60" s="1057"/>
      <c r="F60" s="1057"/>
      <c r="G60" s="1057"/>
      <c r="H60" s="1057"/>
      <c r="I60" s="1057"/>
      <c r="J60" s="1057"/>
      <c r="K60" s="1057"/>
      <c r="L60" s="1057"/>
      <c r="M60" s="1057"/>
      <c r="N60" s="1058"/>
      <c r="O60" s="1011" t="s">
        <v>480</v>
      </c>
      <c r="P60" s="1012"/>
      <c r="Q60" s="1012"/>
      <c r="R60" s="1012"/>
      <c r="S60" s="1012"/>
      <c r="T60" s="1012"/>
      <c r="U60" s="1012"/>
      <c r="V60" s="1012"/>
      <c r="W60" s="1012"/>
      <c r="X60" s="1012"/>
      <c r="Y60" s="1012"/>
      <c r="Z60" s="1012"/>
      <c r="AA60" s="1012"/>
      <c r="AB60" s="1012"/>
      <c r="AC60" s="1012"/>
      <c r="AD60" s="1012"/>
      <c r="AE60" s="1012"/>
      <c r="AF60" s="1012"/>
      <c r="AG60" s="1012"/>
      <c r="AH60" s="1012"/>
      <c r="AI60" s="1012"/>
      <c r="AJ60" s="1012"/>
      <c r="AK60" s="1012"/>
      <c r="AL60" s="1012"/>
      <c r="AM60" s="1012"/>
      <c r="AN60" s="1012"/>
      <c r="AO60" s="1012"/>
      <c r="AP60" s="1012"/>
      <c r="AQ60" s="1012"/>
      <c r="AR60" s="1012"/>
      <c r="AS60" s="1012"/>
      <c r="AT60" s="1012"/>
      <c r="AU60" s="1012"/>
      <c r="AV60" s="1012"/>
      <c r="AW60" s="1012"/>
      <c r="AX60" s="1012"/>
    </row>
    <row r="61" spans="1:50" ht="12.5" customHeight="1" x14ac:dyDescent="0.2">
      <c r="A61" s="1009"/>
      <c r="B61" s="1010"/>
      <c r="C61" s="1010"/>
      <c r="D61" s="1010"/>
      <c r="E61" s="1010"/>
      <c r="F61" s="1010"/>
      <c r="G61" s="1010"/>
      <c r="H61" s="1010"/>
      <c r="I61" s="1010"/>
      <c r="J61" s="1010"/>
      <c r="K61" s="1010"/>
      <c r="L61" s="1010"/>
      <c r="M61" s="1010"/>
      <c r="N61" s="1010"/>
      <c r="O61" s="1010"/>
      <c r="P61" s="1010"/>
      <c r="Q61" s="1010"/>
      <c r="R61" s="1010"/>
      <c r="S61" s="1010"/>
      <c r="T61" s="1010"/>
      <c r="U61" s="1010"/>
      <c r="V61" s="1010"/>
      <c r="W61" s="1010"/>
      <c r="X61" s="1010"/>
      <c r="Y61" s="1010"/>
      <c r="Z61" s="1010"/>
      <c r="AA61" s="1010"/>
      <c r="AB61" s="1010"/>
      <c r="AC61" s="1010"/>
      <c r="AD61" s="1010"/>
      <c r="AE61" s="1010"/>
      <c r="AF61" s="1010"/>
      <c r="AG61" s="1010"/>
      <c r="AH61" s="1010"/>
      <c r="AI61" s="1010"/>
      <c r="AJ61" s="1010"/>
      <c r="AK61" s="1010"/>
      <c r="AL61" s="1010"/>
      <c r="AM61" s="1010"/>
      <c r="AN61" s="1010"/>
      <c r="AO61" s="1010"/>
      <c r="AP61" s="1010"/>
      <c r="AQ61" s="1010"/>
      <c r="AR61" s="1010"/>
      <c r="AS61" s="1010"/>
      <c r="AT61" s="1010"/>
      <c r="AU61" s="1010"/>
      <c r="AV61" s="1010"/>
      <c r="AW61" s="1010"/>
      <c r="AX61" s="1010"/>
    </row>
    <row r="62" spans="1:50" ht="13.5" customHeight="1" x14ac:dyDescent="0.2">
      <c r="A62" s="1056" t="s">
        <v>481</v>
      </c>
      <c r="B62" s="1057"/>
      <c r="C62" s="1057"/>
      <c r="D62" s="1057"/>
      <c r="E62" s="1057"/>
      <c r="F62" s="1057"/>
      <c r="G62" s="1057"/>
      <c r="H62" s="1057"/>
      <c r="I62" s="1057"/>
      <c r="J62" s="1057"/>
      <c r="K62" s="1057"/>
      <c r="L62" s="1057"/>
      <c r="M62" s="1057"/>
      <c r="N62" s="1058"/>
      <c r="O62" s="1011" t="s">
        <v>482</v>
      </c>
      <c r="P62" s="1012"/>
      <c r="Q62" s="1012"/>
      <c r="R62" s="1012"/>
      <c r="S62" s="1012"/>
      <c r="T62" s="1012"/>
      <c r="U62" s="1012"/>
      <c r="V62" s="1012"/>
      <c r="W62" s="1012"/>
      <c r="X62" s="1012"/>
      <c r="Y62" s="1012"/>
      <c r="Z62" s="1012"/>
      <c r="AA62" s="1012"/>
      <c r="AB62" s="1012"/>
      <c r="AC62" s="1012"/>
      <c r="AD62" s="1012"/>
      <c r="AE62" s="1012"/>
      <c r="AF62" s="1012"/>
      <c r="AG62" s="1012"/>
      <c r="AH62" s="1012"/>
      <c r="AI62" s="1012"/>
      <c r="AJ62" s="1012"/>
      <c r="AK62" s="1012"/>
      <c r="AL62" s="1012"/>
      <c r="AM62" s="1012"/>
      <c r="AN62" s="1012"/>
      <c r="AO62" s="1012"/>
      <c r="AP62" s="1012"/>
      <c r="AQ62" s="1012"/>
      <c r="AR62" s="1012"/>
      <c r="AS62" s="1012"/>
      <c r="AT62" s="1012"/>
      <c r="AU62" s="1012"/>
      <c r="AV62" s="1012"/>
      <c r="AW62" s="1012"/>
      <c r="AX62" s="1012"/>
    </row>
    <row r="63" spans="1:50" ht="12.5" customHeight="1" x14ac:dyDescent="0.2">
      <c r="A63" s="1009"/>
      <c r="B63" s="1010"/>
      <c r="C63" s="1010"/>
      <c r="D63" s="1010"/>
      <c r="E63" s="1010"/>
      <c r="F63" s="1010"/>
      <c r="G63" s="1010"/>
      <c r="H63" s="1010"/>
      <c r="I63" s="1010"/>
      <c r="J63" s="1010"/>
      <c r="K63" s="1010"/>
      <c r="L63" s="1010"/>
      <c r="M63" s="1010"/>
      <c r="N63" s="1010"/>
      <c r="O63" s="1010"/>
      <c r="P63" s="1010"/>
      <c r="Q63" s="1010"/>
      <c r="R63" s="1010"/>
      <c r="S63" s="1010"/>
      <c r="T63" s="1010"/>
      <c r="U63" s="1010"/>
      <c r="V63" s="1010"/>
      <c r="W63" s="1010"/>
      <c r="X63" s="1010"/>
      <c r="Y63" s="1010"/>
      <c r="Z63" s="1010"/>
      <c r="AA63" s="1010"/>
      <c r="AB63" s="1010"/>
      <c r="AC63" s="1010"/>
      <c r="AD63" s="1010"/>
      <c r="AE63" s="1010"/>
      <c r="AF63" s="1010"/>
      <c r="AG63" s="1010"/>
      <c r="AH63" s="1010"/>
      <c r="AI63" s="1010"/>
      <c r="AJ63" s="1010"/>
      <c r="AK63" s="1010"/>
      <c r="AL63" s="1010"/>
      <c r="AM63" s="1010"/>
      <c r="AN63" s="1010"/>
      <c r="AO63" s="1010"/>
      <c r="AP63" s="1010"/>
      <c r="AQ63" s="1010"/>
      <c r="AR63" s="1010"/>
      <c r="AS63" s="1010"/>
      <c r="AT63" s="1010"/>
      <c r="AU63" s="1010"/>
      <c r="AV63" s="1010"/>
      <c r="AW63" s="1010"/>
      <c r="AX63" s="1010"/>
    </row>
    <row r="64" spans="1:50" ht="13.5" customHeight="1" x14ac:dyDescent="0.2">
      <c r="A64" s="1056" t="s">
        <v>483</v>
      </c>
      <c r="B64" s="1057"/>
      <c r="C64" s="1057"/>
      <c r="D64" s="1057"/>
      <c r="E64" s="1057"/>
      <c r="F64" s="1057"/>
      <c r="G64" s="1057"/>
      <c r="H64" s="1057"/>
      <c r="I64" s="1057"/>
      <c r="J64" s="1057"/>
      <c r="K64" s="1057"/>
      <c r="L64" s="1057"/>
      <c r="M64" s="1057"/>
      <c r="N64" s="1058"/>
      <c r="O64" s="1011" t="s">
        <v>484</v>
      </c>
      <c r="P64" s="1012"/>
      <c r="Q64" s="1012"/>
      <c r="R64" s="1012"/>
      <c r="S64" s="1012"/>
      <c r="T64" s="1012"/>
      <c r="U64" s="1012"/>
      <c r="V64" s="1012"/>
      <c r="W64" s="1012"/>
      <c r="X64" s="1012"/>
      <c r="Y64" s="1012"/>
      <c r="Z64" s="1012"/>
      <c r="AA64" s="1012"/>
      <c r="AB64" s="1012"/>
      <c r="AC64" s="1012"/>
      <c r="AD64" s="1012"/>
      <c r="AE64" s="1012"/>
      <c r="AF64" s="1012"/>
      <c r="AG64" s="1012"/>
      <c r="AH64" s="1012"/>
      <c r="AI64" s="1012"/>
      <c r="AJ64" s="1012"/>
      <c r="AK64" s="1012"/>
      <c r="AL64" s="1012"/>
      <c r="AM64" s="1012"/>
      <c r="AN64" s="1012"/>
      <c r="AO64" s="1012"/>
      <c r="AP64" s="1012"/>
      <c r="AQ64" s="1012"/>
      <c r="AR64" s="1012"/>
      <c r="AS64" s="1012"/>
      <c r="AT64" s="1012"/>
      <c r="AU64" s="1012"/>
      <c r="AV64" s="1012"/>
      <c r="AW64" s="1012"/>
      <c r="AX64" s="1012"/>
    </row>
    <row r="65" spans="1:67" ht="12.5" customHeight="1" x14ac:dyDescent="0.2">
      <c r="A65" s="1009"/>
      <c r="B65" s="1010"/>
      <c r="C65" s="1010"/>
      <c r="D65" s="1010"/>
      <c r="E65" s="1010"/>
      <c r="F65" s="1010"/>
      <c r="G65" s="1010"/>
      <c r="H65" s="1010"/>
      <c r="I65" s="1010"/>
      <c r="J65" s="1010"/>
      <c r="K65" s="1010"/>
      <c r="L65" s="1010"/>
      <c r="M65" s="1010"/>
      <c r="N65" s="1010"/>
      <c r="O65" s="1010"/>
      <c r="P65" s="1010"/>
      <c r="Q65" s="1010"/>
      <c r="R65" s="1010"/>
      <c r="S65" s="1010"/>
      <c r="T65" s="1010"/>
      <c r="U65" s="1010"/>
      <c r="V65" s="1010"/>
      <c r="W65" s="1010"/>
      <c r="X65" s="1010"/>
      <c r="Y65" s="1010"/>
      <c r="Z65" s="1010"/>
      <c r="AA65" s="1010"/>
      <c r="AB65" s="1010"/>
      <c r="AC65" s="1010"/>
      <c r="AD65" s="1010"/>
      <c r="AE65" s="1010"/>
      <c r="AF65" s="1010"/>
      <c r="AG65" s="1010"/>
      <c r="AH65" s="1010"/>
      <c r="AI65" s="1010"/>
      <c r="AJ65" s="1010"/>
      <c r="AK65" s="1010"/>
      <c r="AL65" s="1010"/>
      <c r="AM65" s="1010"/>
      <c r="AN65" s="1010"/>
      <c r="AO65" s="1010"/>
      <c r="AP65" s="1010"/>
      <c r="AQ65" s="1010"/>
      <c r="AR65" s="1010"/>
      <c r="AS65" s="1010"/>
      <c r="AT65" s="1010"/>
      <c r="AU65" s="1010"/>
      <c r="AV65" s="1010"/>
      <c r="AW65" s="1010"/>
      <c r="AX65" s="1010"/>
    </row>
    <row r="66" spans="1:67" ht="13.5" customHeight="1" x14ac:dyDescent="0.2">
      <c r="A66" s="1056" t="s">
        <v>485</v>
      </c>
      <c r="B66" s="1057"/>
      <c r="C66" s="1057"/>
      <c r="D66" s="1057"/>
      <c r="E66" s="1057"/>
      <c r="F66" s="1057"/>
      <c r="G66" s="1057"/>
      <c r="H66" s="1057"/>
      <c r="I66" s="1057"/>
      <c r="J66" s="1057"/>
      <c r="K66" s="1057"/>
      <c r="L66" s="1057"/>
      <c r="M66" s="1057"/>
      <c r="N66" s="1058"/>
      <c r="O66" s="1011" t="s">
        <v>486</v>
      </c>
      <c r="P66" s="1012"/>
      <c r="Q66" s="1012"/>
      <c r="R66" s="1012"/>
      <c r="S66" s="1012"/>
      <c r="T66" s="1012"/>
      <c r="U66" s="1012"/>
      <c r="V66" s="1012"/>
      <c r="W66" s="1012"/>
      <c r="X66" s="1012"/>
      <c r="Y66" s="1012"/>
      <c r="Z66" s="1012"/>
      <c r="AA66" s="1012"/>
      <c r="AB66" s="1012"/>
      <c r="AC66" s="1012"/>
      <c r="AD66" s="1012"/>
      <c r="AE66" s="1012"/>
      <c r="AF66" s="1012"/>
      <c r="AG66" s="1012"/>
      <c r="AH66" s="1012"/>
      <c r="AI66" s="1012"/>
      <c r="AJ66" s="1012"/>
      <c r="AK66" s="1012"/>
      <c r="AL66" s="1012"/>
      <c r="AM66" s="1012"/>
      <c r="AN66" s="1012"/>
      <c r="AO66" s="1012"/>
      <c r="AP66" s="1012"/>
      <c r="AQ66" s="1012"/>
      <c r="AR66" s="1012"/>
      <c r="AS66" s="1012"/>
      <c r="AT66" s="1012"/>
      <c r="AU66" s="1012"/>
      <c r="AV66" s="1012"/>
      <c r="AW66" s="1012"/>
      <c r="AX66" s="1012"/>
    </row>
    <row r="67" spans="1:67" ht="12.5" customHeight="1" x14ac:dyDescent="0.2">
      <c r="A67" s="1009"/>
      <c r="B67" s="1010"/>
      <c r="C67" s="1010"/>
      <c r="D67" s="1010"/>
      <c r="E67" s="1010"/>
      <c r="F67" s="1010"/>
      <c r="G67" s="1010"/>
      <c r="H67" s="1010"/>
      <c r="I67" s="1010"/>
      <c r="J67" s="1010"/>
      <c r="K67" s="1010"/>
      <c r="L67" s="1010"/>
      <c r="M67" s="1010"/>
      <c r="N67" s="1010"/>
      <c r="O67" s="1010"/>
      <c r="P67" s="1010"/>
      <c r="Q67" s="1010"/>
      <c r="R67" s="1010"/>
      <c r="S67" s="1010"/>
      <c r="T67" s="1010"/>
      <c r="U67" s="1010"/>
      <c r="V67" s="1010"/>
      <c r="W67" s="1010"/>
      <c r="X67" s="1010"/>
      <c r="Y67" s="1010"/>
      <c r="Z67" s="1010"/>
      <c r="AA67" s="1010"/>
      <c r="AB67" s="1010"/>
      <c r="AC67" s="1010"/>
      <c r="AD67" s="1010"/>
      <c r="AE67" s="1010"/>
      <c r="AF67" s="1010"/>
      <c r="AG67" s="1010"/>
      <c r="AH67" s="1010"/>
      <c r="AI67" s="1010"/>
      <c r="AJ67" s="1010"/>
      <c r="AK67" s="1010"/>
      <c r="AL67" s="1010"/>
      <c r="AM67" s="1010"/>
      <c r="AN67" s="1010"/>
      <c r="AO67" s="1010"/>
      <c r="AP67" s="1010"/>
      <c r="AQ67" s="1010"/>
      <c r="AR67" s="1010"/>
      <c r="AS67" s="1010"/>
      <c r="AT67" s="1010"/>
      <c r="AU67" s="1010"/>
      <c r="AV67" s="1010"/>
      <c r="AW67" s="1010"/>
      <c r="AX67" s="1010"/>
    </row>
    <row r="68" spans="1:67" ht="12.5" customHeight="1" x14ac:dyDescent="0.2">
      <c r="A68" s="1018"/>
      <c r="B68" s="1019"/>
      <c r="C68" s="1019"/>
      <c r="D68" s="1019"/>
      <c r="E68" s="1019"/>
      <c r="F68" s="1019"/>
      <c r="G68" s="1019"/>
      <c r="H68" s="1019"/>
      <c r="I68" s="1019"/>
      <c r="J68" s="1019"/>
      <c r="K68" s="1019"/>
      <c r="L68" s="1019"/>
      <c r="M68" s="1019"/>
      <c r="N68" s="1019"/>
      <c r="O68" s="1019"/>
      <c r="P68" s="1019"/>
      <c r="Q68" s="1019"/>
      <c r="R68" s="1019"/>
      <c r="S68" s="1019"/>
      <c r="T68" s="1019"/>
      <c r="U68" s="1019"/>
      <c r="V68" s="1019"/>
      <c r="W68" s="1019"/>
      <c r="X68" s="1019"/>
      <c r="Y68" s="1019"/>
      <c r="Z68" s="1019"/>
      <c r="AA68" s="1019"/>
      <c r="AB68" s="1019"/>
      <c r="AC68" s="1019"/>
      <c r="AD68" s="1019"/>
      <c r="AE68" s="1019"/>
      <c r="AF68" s="1019"/>
      <c r="AG68" s="1019"/>
      <c r="AH68" s="1019"/>
      <c r="AI68" s="1019"/>
      <c r="AJ68" s="1019"/>
      <c r="AK68" s="1019"/>
      <c r="AL68" s="1019"/>
      <c r="AM68" s="1019"/>
      <c r="AN68" s="1019"/>
      <c r="AO68" s="1019"/>
      <c r="AP68" s="1019"/>
      <c r="AQ68" s="1019"/>
      <c r="AR68" s="1019"/>
      <c r="AS68" s="1019"/>
      <c r="AT68" s="1019"/>
      <c r="AU68" s="1019"/>
      <c r="AV68" s="1019"/>
      <c r="AW68" s="1019"/>
      <c r="AX68" s="1019"/>
    </row>
    <row r="69" spans="1:67" ht="18.25" customHeight="1" x14ac:dyDescent="0.2">
      <c r="A69" s="1020" t="s">
        <v>487</v>
      </c>
      <c r="B69" s="1021"/>
      <c r="C69" s="1021"/>
      <c r="D69" s="1021"/>
      <c r="E69" s="1021"/>
      <c r="F69" s="1021"/>
      <c r="G69" s="1021"/>
      <c r="H69" s="1021"/>
      <c r="I69" s="1021"/>
      <c r="J69" s="1021"/>
      <c r="K69" s="1021"/>
      <c r="L69" s="1021"/>
      <c r="M69" s="1021"/>
      <c r="N69" s="1021"/>
      <c r="O69" s="1021"/>
      <c r="P69" s="1021"/>
      <c r="Q69" s="1021"/>
      <c r="R69" s="1021"/>
      <c r="S69" s="1021"/>
      <c r="T69" s="1021"/>
      <c r="U69" s="1021"/>
      <c r="V69" s="1021"/>
      <c r="W69" s="1021"/>
      <c r="X69" s="1021"/>
      <c r="Y69" s="1021"/>
      <c r="Z69" s="1021"/>
      <c r="AA69" s="1021"/>
      <c r="AB69" s="1021"/>
      <c r="AC69" s="1021"/>
      <c r="AD69" s="1021"/>
      <c r="AE69" s="1021"/>
      <c r="AF69" s="1021"/>
      <c r="AG69" s="1021"/>
      <c r="AH69" s="1021"/>
      <c r="AI69" s="1021"/>
      <c r="AJ69" s="1021"/>
      <c r="AK69" s="1021"/>
      <c r="AL69" s="1021"/>
      <c r="AM69" s="1021"/>
      <c r="AN69" s="1021"/>
      <c r="AO69" s="1021"/>
      <c r="AP69" s="1021"/>
      <c r="AQ69" s="1021"/>
      <c r="AR69" s="1021"/>
      <c r="AS69" s="1021"/>
      <c r="AT69" s="1021"/>
      <c r="AU69" s="1021"/>
      <c r="AV69" s="1021"/>
      <c r="AW69" s="1021"/>
      <c r="AX69" s="1021"/>
    </row>
    <row r="70" spans="1:67" ht="12.5" customHeight="1" x14ac:dyDescent="0.2">
      <c r="A70" s="1022"/>
      <c r="B70" s="1023"/>
      <c r="C70" s="1023"/>
      <c r="D70" s="1023"/>
      <c r="E70" s="1023"/>
      <c r="F70" s="1023"/>
      <c r="G70" s="1023"/>
      <c r="H70" s="1023"/>
      <c r="I70" s="1023"/>
      <c r="J70" s="1023"/>
      <c r="K70" s="1023"/>
      <c r="L70" s="1023"/>
      <c r="M70" s="1023"/>
      <c r="N70" s="1023"/>
      <c r="O70" s="1023"/>
      <c r="P70" s="1023"/>
      <c r="Q70" s="1023"/>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c r="AX70" s="1023"/>
    </row>
    <row r="71" spans="1:67" ht="12.5" customHeight="1" x14ac:dyDescent="0.2">
      <c r="A71" s="1009"/>
      <c r="B71" s="1010"/>
      <c r="C71" s="1010"/>
      <c r="D71" s="1010"/>
      <c r="E71" s="1010"/>
      <c r="F71" s="1010"/>
      <c r="G71" s="1010"/>
      <c r="H71" s="1010"/>
      <c r="I71" s="1010"/>
      <c r="J71" s="1010"/>
      <c r="K71" s="1010"/>
      <c r="L71" s="1010"/>
      <c r="M71" s="1010"/>
      <c r="N71" s="1010"/>
      <c r="O71" s="1010"/>
      <c r="P71" s="1010"/>
      <c r="Q71" s="1010"/>
      <c r="R71" s="1010"/>
      <c r="S71" s="1010"/>
      <c r="T71" s="1010"/>
      <c r="U71" s="1010"/>
      <c r="V71" s="1010"/>
      <c r="W71" s="1010"/>
      <c r="X71" s="1010"/>
      <c r="Y71" s="1010"/>
      <c r="Z71" s="1010"/>
      <c r="AA71" s="1010"/>
      <c r="AB71" s="1010"/>
      <c r="AC71" s="1010"/>
      <c r="AD71" s="1010"/>
      <c r="AE71" s="1010"/>
      <c r="AF71" s="1010"/>
      <c r="AG71" s="1010"/>
      <c r="AH71" s="1010"/>
      <c r="AI71" s="1010"/>
      <c r="AJ71" s="1010"/>
      <c r="AK71" s="1010"/>
      <c r="AL71" s="1010"/>
      <c r="AM71" s="1010"/>
      <c r="AN71" s="1010"/>
      <c r="AO71" s="1010"/>
      <c r="AP71" s="1010"/>
      <c r="AQ71" s="1010"/>
      <c r="AR71" s="1010"/>
      <c r="AS71" s="1010"/>
      <c r="AT71" s="1010"/>
      <c r="AU71" s="1010"/>
      <c r="AV71" s="1010"/>
      <c r="AW71" s="1010"/>
      <c r="AX71" s="1010"/>
    </row>
    <row r="72" spans="1:67" ht="12.5" customHeight="1" x14ac:dyDescent="0.2">
      <c r="A72" s="1056" t="s">
        <v>488</v>
      </c>
      <c r="B72" s="1057"/>
      <c r="C72" s="1057"/>
      <c r="D72" s="1057"/>
      <c r="E72" s="1057"/>
      <c r="F72" s="1057"/>
      <c r="G72" s="1057"/>
      <c r="H72" s="1057"/>
      <c r="I72" s="1057"/>
      <c r="J72" s="1057"/>
      <c r="K72" s="1057"/>
      <c r="L72" s="1057"/>
      <c r="M72" s="1057"/>
      <c r="N72" s="1057"/>
      <c r="O72" s="1012" t="s">
        <v>489</v>
      </c>
      <c r="P72" s="1012"/>
      <c r="Q72" s="1012"/>
      <c r="R72" s="1012"/>
      <c r="S72" s="1012"/>
      <c r="T72" s="1012"/>
      <c r="U72" s="1012"/>
      <c r="V72" s="1012"/>
      <c r="W72" s="1012"/>
      <c r="X72" s="1012"/>
      <c r="Y72" s="1012"/>
      <c r="Z72" s="1012"/>
      <c r="AA72" s="1012"/>
      <c r="AB72" s="1012"/>
      <c r="AC72" s="1012"/>
      <c r="AD72" s="1012"/>
      <c r="AE72" s="1012"/>
      <c r="AF72" s="1012"/>
      <c r="AG72" s="1012"/>
      <c r="AH72" s="1012"/>
      <c r="AI72" s="1012"/>
      <c r="AJ72" s="1012"/>
      <c r="AK72" s="1012"/>
      <c r="AL72" s="1012"/>
      <c r="AM72" s="1012"/>
      <c r="AN72" s="1012"/>
      <c r="AO72" s="1012"/>
      <c r="AP72" s="1012"/>
      <c r="AQ72" s="1012"/>
      <c r="AR72" s="1012"/>
      <c r="AS72" s="1012"/>
      <c r="AT72" s="1012"/>
      <c r="AU72" s="1012"/>
      <c r="AV72" s="1012"/>
      <c r="AW72" s="1012"/>
      <c r="AX72" s="1012"/>
    </row>
    <row r="73" spans="1:67" ht="12.5" customHeight="1" x14ac:dyDescent="0.2">
      <c r="A73" s="1056" t="s">
        <v>490</v>
      </c>
      <c r="B73" s="1057"/>
      <c r="C73" s="1057"/>
      <c r="D73" s="1057"/>
      <c r="E73" s="1057"/>
      <c r="F73" s="1057"/>
      <c r="G73" s="1057"/>
      <c r="H73" s="1057"/>
      <c r="I73" s="1057"/>
      <c r="J73" s="1057"/>
      <c r="K73" s="1057"/>
      <c r="L73" s="1057"/>
      <c r="M73" s="1057"/>
      <c r="N73" s="1057"/>
      <c r="O73" s="1012" t="s">
        <v>491</v>
      </c>
      <c r="P73" s="1012"/>
      <c r="Q73" s="1012"/>
      <c r="R73" s="1012"/>
      <c r="S73" s="1012"/>
      <c r="T73" s="1012"/>
      <c r="U73" s="1012"/>
      <c r="V73" s="1012"/>
      <c r="W73" s="1012"/>
      <c r="X73" s="1012"/>
      <c r="Y73" s="1012"/>
      <c r="Z73" s="1012"/>
      <c r="AA73" s="1012"/>
      <c r="AB73" s="1012"/>
      <c r="AC73" s="1012"/>
      <c r="AD73" s="1012"/>
      <c r="AE73" s="1012"/>
      <c r="AF73" s="1012"/>
      <c r="AG73" s="1012"/>
      <c r="AH73" s="1012"/>
      <c r="AI73" s="1012"/>
      <c r="AJ73" s="1012"/>
      <c r="AK73" s="1012"/>
      <c r="AL73" s="1012"/>
      <c r="AM73" s="1012"/>
      <c r="AN73" s="1012"/>
      <c r="AO73" s="1012"/>
      <c r="AP73" s="1012"/>
      <c r="AQ73" s="1012"/>
      <c r="AR73" s="1012"/>
      <c r="AS73" s="1012"/>
      <c r="AT73" s="1012"/>
      <c r="AU73" s="1012"/>
      <c r="AV73" s="1012"/>
      <c r="AW73" s="1012"/>
      <c r="AX73" s="1012"/>
    </row>
    <row r="74" spans="1:67" ht="12.5" customHeight="1" x14ac:dyDescent="0.2">
      <c r="A74" s="1056" t="s">
        <v>492</v>
      </c>
      <c r="B74" s="1057"/>
      <c r="C74" s="1057"/>
      <c r="D74" s="1057"/>
      <c r="E74" s="1057"/>
      <c r="F74" s="1057"/>
      <c r="G74" s="1057"/>
      <c r="H74" s="1057"/>
      <c r="I74" s="1057"/>
      <c r="J74" s="1057"/>
      <c r="K74" s="1057"/>
      <c r="L74" s="1057"/>
      <c r="M74" s="1057"/>
      <c r="N74" s="1057"/>
      <c r="O74" s="1012" t="s">
        <v>493</v>
      </c>
      <c r="P74" s="1012"/>
      <c r="Q74" s="1012"/>
      <c r="R74" s="1012"/>
      <c r="S74" s="1012"/>
      <c r="T74" s="1012"/>
      <c r="U74" s="1012"/>
      <c r="V74" s="1012"/>
      <c r="W74" s="1012"/>
      <c r="X74" s="1012"/>
      <c r="Y74" s="1012"/>
      <c r="Z74" s="1012"/>
      <c r="AA74" s="1012"/>
      <c r="AB74" s="1012"/>
      <c r="AC74" s="1012"/>
      <c r="AD74" s="1012"/>
      <c r="AE74" s="1012"/>
      <c r="AF74" s="1012"/>
      <c r="AG74" s="1012"/>
      <c r="AH74" s="1012"/>
      <c r="AI74" s="1012"/>
      <c r="AJ74" s="1012"/>
      <c r="AK74" s="1012"/>
      <c r="AL74" s="1012"/>
      <c r="AM74" s="1012"/>
      <c r="AN74" s="1012"/>
      <c r="AO74" s="1012"/>
      <c r="AP74" s="1012"/>
      <c r="AQ74" s="1012"/>
      <c r="AR74" s="1012"/>
      <c r="AS74" s="1012"/>
      <c r="AT74" s="1012"/>
      <c r="AU74" s="1012"/>
      <c r="AV74" s="1012"/>
      <c r="AW74" s="1012"/>
      <c r="AX74" s="1012"/>
    </row>
    <row r="75" spans="1:67" ht="12.5" customHeight="1" x14ac:dyDescent="0.2">
      <c r="A75" s="1009"/>
      <c r="B75" s="1010"/>
      <c r="C75" s="1010"/>
      <c r="D75" s="1010"/>
      <c r="E75" s="1010"/>
      <c r="F75" s="1010"/>
      <c r="G75" s="1010"/>
      <c r="H75" s="1010"/>
      <c r="I75" s="1010"/>
      <c r="J75" s="1010"/>
      <c r="K75" s="1010"/>
      <c r="L75" s="1010"/>
      <c r="M75" s="1010"/>
      <c r="N75" s="1010"/>
      <c r="O75" s="1010"/>
      <c r="P75" s="1010"/>
      <c r="Q75" s="1010"/>
      <c r="R75" s="1010"/>
      <c r="S75" s="1010"/>
      <c r="T75" s="1010"/>
      <c r="U75" s="1010"/>
      <c r="V75" s="1010"/>
      <c r="W75" s="1010"/>
      <c r="X75" s="1010"/>
      <c r="Y75" s="1010"/>
      <c r="Z75" s="1010"/>
      <c r="AA75" s="1010"/>
      <c r="AB75" s="1010"/>
      <c r="AC75" s="1010"/>
      <c r="AD75" s="1010"/>
      <c r="AE75" s="1010"/>
      <c r="AF75" s="1010"/>
      <c r="AG75" s="1010"/>
      <c r="AH75" s="1010"/>
      <c r="AI75" s="1010"/>
      <c r="AJ75" s="1010"/>
      <c r="AK75" s="1010"/>
      <c r="AL75" s="1010"/>
      <c r="AM75" s="1010"/>
      <c r="AN75" s="1010"/>
      <c r="AO75" s="1010"/>
      <c r="AP75" s="1010"/>
      <c r="AQ75" s="1010"/>
      <c r="AR75" s="1010"/>
      <c r="AS75" s="1010"/>
      <c r="AT75" s="1010"/>
      <c r="AU75" s="1010"/>
      <c r="AV75" s="1010"/>
      <c r="AW75" s="1010"/>
      <c r="AX75" s="1010"/>
    </row>
    <row r="76" spans="1:67" ht="12.5" customHeight="1" x14ac:dyDescent="0.2">
      <c r="A76" s="1018"/>
      <c r="B76" s="1019"/>
      <c r="C76" s="1019"/>
      <c r="D76" s="1019"/>
      <c r="E76" s="1019"/>
      <c r="F76" s="1019"/>
      <c r="G76" s="1019"/>
      <c r="H76" s="1019"/>
      <c r="I76" s="1019"/>
      <c r="J76" s="1019"/>
      <c r="K76" s="1019"/>
      <c r="L76" s="1019"/>
      <c r="M76" s="1019"/>
      <c r="N76" s="1019"/>
      <c r="O76" s="1019"/>
      <c r="P76" s="1019"/>
      <c r="Q76" s="1019"/>
      <c r="R76" s="1019"/>
      <c r="S76" s="1019"/>
      <c r="T76" s="1019"/>
      <c r="U76" s="1019"/>
      <c r="V76" s="1019"/>
      <c r="W76" s="1019"/>
      <c r="X76" s="1019"/>
      <c r="Y76" s="1019"/>
      <c r="Z76" s="1019"/>
      <c r="AA76" s="1019"/>
      <c r="AB76" s="1019"/>
      <c r="AC76" s="1019"/>
      <c r="AD76" s="1019"/>
      <c r="AE76" s="1019"/>
      <c r="AF76" s="1019"/>
      <c r="AG76" s="1019"/>
      <c r="AH76" s="1019"/>
      <c r="AI76" s="1019"/>
      <c r="AJ76" s="1019"/>
      <c r="AK76" s="1019"/>
      <c r="AL76" s="1019"/>
      <c r="AM76" s="1019"/>
      <c r="AN76" s="1019"/>
      <c r="AO76" s="1019"/>
      <c r="AP76" s="1019"/>
      <c r="AQ76" s="1019"/>
      <c r="AR76" s="1019"/>
      <c r="AS76" s="1019"/>
      <c r="AT76" s="1019"/>
      <c r="AU76" s="1019"/>
      <c r="AV76" s="1019"/>
      <c r="AW76" s="1019"/>
      <c r="AX76" s="1019"/>
    </row>
    <row r="77" spans="1:67" ht="18.25" customHeight="1" x14ac:dyDescent="0.2">
      <c r="A77" s="1020" t="s">
        <v>494</v>
      </c>
      <c r="B77" s="1021"/>
      <c r="C77" s="1021"/>
      <c r="D77" s="1021"/>
      <c r="E77" s="1021"/>
      <c r="F77" s="1021"/>
      <c r="G77" s="1021"/>
      <c r="H77" s="1021"/>
      <c r="I77" s="1021"/>
      <c r="J77" s="1021"/>
      <c r="K77" s="1021"/>
      <c r="L77" s="1021"/>
      <c r="M77" s="1021"/>
      <c r="N77" s="1021"/>
      <c r="O77" s="1021"/>
      <c r="P77" s="1021"/>
      <c r="Q77" s="1021"/>
      <c r="R77" s="1021"/>
      <c r="S77" s="1021"/>
      <c r="T77" s="1021"/>
      <c r="U77" s="1021"/>
      <c r="V77" s="1021"/>
      <c r="W77" s="1021"/>
      <c r="X77" s="1021"/>
      <c r="Y77" s="1021"/>
      <c r="Z77" s="1021"/>
      <c r="AA77" s="1021"/>
      <c r="AB77" s="1021"/>
      <c r="AC77" s="1021"/>
      <c r="AD77" s="1021"/>
      <c r="AE77" s="1021"/>
      <c r="AF77" s="1021"/>
      <c r="AG77" s="1021"/>
      <c r="AH77" s="1021"/>
      <c r="AI77" s="1021"/>
      <c r="AJ77" s="1021"/>
      <c r="AK77" s="1021"/>
      <c r="AL77" s="1021"/>
      <c r="AM77" s="1021"/>
      <c r="AN77" s="1021"/>
      <c r="AO77" s="1021"/>
      <c r="AP77" s="1021"/>
      <c r="AQ77" s="1021"/>
      <c r="AR77" s="1021"/>
      <c r="AS77" s="1021"/>
      <c r="AT77" s="1021"/>
      <c r="AU77" s="1021"/>
      <c r="AV77" s="1021"/>
      <c r="AW77" s="1021"/>
      <c r="AX77" s="1021"/>
      <c r="AY77" s="1021"/>
      <c r="AZ77" s="1021"/>
      <c r="BA77" s="1021"/>
      <c r="BB77" s="1021"/>
      <c r="BC77" s="1021"/>
      <c r="BD77" s="1021"/>
      <c r="BE77" s="1021"/>
      <c r="BF77" s="1021"/>
      <c r="BG77" s="1021"/>
      <c r="BH77" s="1021"/>
      <c r="BI77" s="1021"/>
      <c r="BJ77" s="1021"/>
      <c r="BK77" s="1021"/>
      <c r="BL77" s="1021"/>
      <c r="BM77" s="1021"/>
      <c r="BN77" s="1021"/>
    </row>
    <row r="78" spans="1:67" ht="12.5" customHeight="1" x14ac:dyDescent="0.2">
      <c r="A78" s="1022"/>
      <c r="B78" s="1023"/>
      <c r="C78" s="1023"/>
      <c r="D78" s="1023"/>
      <c r="E78" s="1023"/>
      <c r="F78" s="1023"/>
      <c r="G78" s="1023"/>
      <c r="H78" s="1023"/>
      <c r="I78" s="1023"/>
      <c r="J78" s="1023"/>
      <c r="K78" s="1023"/>
      <c r="L78" s="1023"/>
      <c r="M78" s="1023"/>
      <c r="N78" s="1023"/>
      <c r="O78" s="1023"/>
      <c r="P78" s="1023"/>
      <c r="Q78" s="1023"/>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c r="AX78" s="1023"/>
    </row>
    <row r="79" spans="1:67" ht="13.5" customHeight="1" x14ac:dyDescent="0.2">
      <c r="A79" s="1100" t="s">
        <v>456</v>
      </c>
      <c r="B79" s="1100"/>
      <c r="C79" s="1100"/>
      <c r="D79" s="1100"/>
      <c r="E79" s="1100"/>
      <c r="F79" s="1100"/>
      <c r="G79" s="1100"/>
      <c r="H79" s="1100"/>
      <c r="I79" s="1100"/>
      <c r="J79" s="1100"/>
      <c r="K79" s="1100"/>
      <c r="L79" s="1100"/>
      <c r="M79" s="1100"/>
      <c r="N79" s="1100"/>
      <c r="O79" s="1100"/>
      <c r="P79" s="1100"/>
      <c r="Q79" s="1100"/>
      <c r="R79" s="1100"/>
      <c r="S79" s="1070"/>
      <c r="T79" s="1099" t="s">
        <v>450</v>
      </c>
      <c r="U79" s="1099"/>
      <c r="V79" s="1099"/>
      <c r="W79" s="1099"/>
      <c r="X79" s="1070"/>
      <c r="Y79" s="1099" t="s">
        <v>495</v>
      </c>
      <c r="Z79" s="1099"/>
      <c r="AA79" s="1099"/>
      <c r="AB79" s="1099"/>
      <c r="AC79" s="1099"/>
      <c r="AD79" s="1070"/>
      <c r="AE79" s="1099" t="s">
        <v>496</v>
      </c>
      <c r="AF79" s="1099"/>
      <c r="AG79" s="1099"/>
      <c r="AH79" s="1099"/>
      <c r="AI79" s="1099"/>
      <c r="AJ79" s="1070"/>
      <c r="AK79" s="1070"/>
      <c r="AL79" s="1099" t="s">
        <v>497</v>
      </c>
      <c r="AM79" s="1099"/>
      <c r="AN79" s="1099"/>
      <c r="AO79" s="1099"/>
      <c r="AP79" s="1099"/>
      <c r="AQ79" s="1099"/>
      <c r="AR79" s="1099"/>
      <c r="AS79" s="1099"/>
      <c r="AT79" s="1099"/>
      <c r="AU79" s="1070"/>
      <c r="AV79" s="1099" t="s">
        <v>498</v>
      </c>
      <c r="AW79" s="1099"/>
      <c r="AX79" s="1099"/>
      <c r="AY79" s="1099"/>
      <c r="AZ79" s="1099"/>
      <c r="BA79" s="1099"/>
      <c r="BB79" s="1099"/>
      <c r="BC79" s="1070"/>
      <c r="BD79" s="1099" t="s">
        <v>499</v>
      </c>
      <c r="BE79" s="1099"/>
      <c r="BF79" s="1099"/>
      <c r="BG79" s="1070"/>
      <c r="BH79" s="1099" t="s">
        <v>500</v>
      </c>
      <c r="BI79" s="1099"/>
      <c r="BJ79" s="1099"/>
      <c r="BK79" s="1070"/>
      <c r="BL79" s="1099" t="s">
        <v>501</v>
      </c>
      <c r="BM79" s="1099"/>
      <c r="BN79" s="1099"/>
      <c r="BO79" s="1099"/>
    </row>
    <row r="80" spans="1:67" ht="13.5" customHeight="1" x14ac:dyDescent="0.2">
      <c r="A80" s="1101"/>
      <c r="B80" s="1101"/>
      <c r="C80" s="1101"/>
      <c r="D80" s="1101"/>
      <c r="E80" s="1101"/>
      <c r="F80" s="1101"/>
      <c r="G80" s="1101"/>
      <c r="H80" s="1101"/>
      <c r="I80" s="1101"/>
      <c r="J80" s="1101"/>
      <c r="K80" s="1101"/>
      <c r="L80" s="1101"/>
      <c r="M80" s="1101"/>
      <c r="N80" s="1101"/>
      <c r="O80" s="1101"/>
      <c r="P80" s="1101"/>
      <c r="Q80" s="1101"/>
      <c r="R80" s="1101"/>
      <c r="S80" s="1098"/>
      <c r="T80" s="1096" t="s">
        <v>502</v>
      </c>
      <c r="U80" s="1096"/>
      <c r="V80" s="1096"/>
      <c r="W80" s="1096"/>
      <c r="X80" s="1098"/>
      <c r="Y80" s="1096" t="s">
        <v>502</v>
      </c>
      <c r="Z80" s="1096"/>
      <c r="AA80" s="1096"/>
      <c r="AB80" s="1096"/>
      <c r="AC80" s="1096"/>
      <c r="AD80" s="1098"/>
      <c r="AE80" s="1096" t="s">
        <v>502</v>
      </c>
      <c r="AF80" s="1096"/>
      <c r="AG80" s="1096"/>
      <c r="AH80" s="1096"/>
      <c r="AI80" s="1096"/>
      <c r="AJ80" s="1098"/>
      <c r="AK80" s="1098"/>
      <c r="AL80" s="1096" t="s">
        <v>502</v>
      </c>
      <c r="AM80" s="1096"/>
      <c r="AN80" s="1096"/>
      <c r="AO80" s="1096"/>
      <c r="AP80" s="1096"/>
      <c r="AQ80" s="1096"/>
      <c r="AR80" s="1096"/>
      <c r="AS80" s="1096"/>
      <c r="AT80" s="1096"/>
      <c r="AU80" s="1098"/>
      <c r="AV80" s="1096" t="s">
        <v>502</v>
      </c>
      <c r="AW80" s="1096"/>
      <c r="AX80" s="1096"/>
      <c r="AY80" s="1096"/>
      <c r="AZ80" s="1096"/>
      <c r="BA80" s="1096"/>
      <c r="BB80" s="1096"/>
      <c r="BC80" s="1098"/>
      <c r="BD80" s="1096" t="s">
        <v>502</v>
      </c>
      <c r="BE80" s="1096"/>
      <c r="BF80" s="1096"/>
      <c r="BG80" s="1098"/>
      <c r="BH80" s="1096" t="s">
        <v>502</v>
      </c>
      <c r="BI80" s="1096"/>
      <c r="BJ80" s="1096"/>
      <c r="BK80" s="1098"/>
      <c r="BL80" s="1096" t="s">
        <v>502</v>
      </c>
      <c r="BM80" s="1096"/>
      <c r="BN80" s="1096"/>
      <c r="BO80" s="1096"/>
    </row>
    <row r="81" spans="1:67" ht="13.5" customHeight="1" x14ac:dyDescent="0.2">
      <c r="U81" s="1097" t="s">
        <v>503</v>
      </c>
      <c r="V81" s="1097"/>
      <c r="W81" s="1097"/>
      <c r="Z81" s="1097" t="s">
        <v>503</v>
      </c>
      <c r="AA81" s="1097"/>
      <c r="AB81" s="1097"/>
      <c r="AC81" s="1097"/>
      <c r="AF81" s="1097" t="s">
        <v>503</v>
      </c>
      <c r="AG81" s="1097"/>
      <c r="AH81" s="1097"/>
      <c r="AI81" s="1097"/>
      <c r="AM81" s="1097" t="s">
        <v>503</v>
      </c>
      <c r="AN81" s="1097"/>
      <c r="AO81" s="1097"/>
      <c r="AP81" s="1097"/>
      <c r="AQ81" s="1097"/>
      <c r="AR81" s="1097"/>
      <c r="AS81" s="1097"/>
      <c r="AT81" s="1097"/>
      <c r="AX81" s="1097" t="s">
        <v>503</v>
      </c>
      <c r="AY81" s="1097"/>
      <c r="AZ81" s="1097"/>
      <c r="BA81" s="1097"/>
      <c r="BB81" s="1097"/>
      <c r="BE81" s="1097" t="s">
        <v>503</v>
      </c>
      <c r="BF81" s="1097"/>
      <c r="BI81" s="1097" t="s">
        <v>503</v>
      </c>
      <c r="BJ81" s="1097"/>
      <c r="BM81" s="1097" t="s">
        <v>503</v>
      </c>
      <c r="BN81" s="1097"/>
      <c r="BO81" s="1097"/>
    </row>
    <row r="82" spans="1:67" ht="13.5" customHeight="1" x14ac:dyDescent="0.2">
      <c r="U82" s="1030" t="s">
        <v>458</v>
      </c>
      <c r="V82" s="1030"/>
      <c r="W82" s="1030"/>
      <c r="Z82" s="1030" t="s">
        <v>458</v>
      </c>
      <c r="AA82" s="1030"/>
      <c r="AB82" s="1030"/>
      <c r="AC82" s="1030"/>
      <c r="AF82" s="1030" t="s">
        <v>458</v>
      </c>
      <c r="AG82" s="1030"/>
      <c r="AH82" s="1030"/>
      <c r="AI82" s="1030"/>
      <c r="AM82" s="1030" t="s">
        <v>458</v>
      </c>
      <c r="AN82" s="1030"/>
      <c r="AO82" s="1030"/>
      <c r="AP82" s="1030"/>
      <c r="AQ82" s="1030"/>
      <c r="AR82" s="1030"/>
      <c r="AS82" s="1030"/>
      <c r="AT82" s="1030"/>
      <c r="AX82" s="1030" t="s">
        <v>458</v>
      </c>
      <c r="AY82" s="1030"/>
      <c r="AZ82" s="1030"/>
      <c r="BA82" s="1030"/>
      <c r="BB82" s="1030"/>
      <c r="BE82" s="1030" t="s">
        <v>458</v>
      </c>
      <c r="BF82" s="1030"/>
      <c r="BI82" s="1030" t="s">
        <v>458</v>
      </c>
      <c r="BJ82" s="1030"/>
      <c r="BM82" s="1030" t="s">
        <v>458</v>
      </c>
      <c r="BN82" s="1030"/>
      <c r="BO82" s="1030"/>
    </row>
    <row r="83" spans="1:67" ht="13.5" customHeight="1" x14ac:dyDescent="0.2">
      <c r="U83" s="1095" t="s">
        <v>504</v>
      </c>
      <c r="V83" s="1095"/>
      <c r="W83" s="1095"/>
      <c r="Z83" s="1095" t="s">
        <v>504</v>
      </c>
      <c r="AA83" s="1095"/>
      <c r="AB83" s="1095"/>
      <c r="AC83" s="1095"/>
      <c r="AF83" s="1095" t="s">
        <v>504</v>
      </c>
      <c r="AG83" s="1095"/>
      <c r="AH83" s="1095"/>
      <c r="AI83" s="1095"/>
      <c r="AM83" s="1095" t="s">
        <v>504</v>
      </c>
      <c r="AN83" s="1095"/>
      <c r="AO83" s="1095"/>
      <c r="AP83" s="1095"/>
      <c r="AQ83" s="1095"/>
      <c r="AR83" s="1095"/>
      <c r="AS83" s="1095"/>
      <c r="AT83" s="1095"/>
      <c r="AX83" s="1095" t="s">
        <v>504</v>
      </c>
      <c r="AY83" s="1095"/>
      <c r="AZ83" s="1095"/>
      <c r="BA83" s="1095"/>
      <c r="BB83" s="1095"/>
      <c r="BE83" s="1095" t="s">
        <v>504</v>
      </c>
      <c r="BF83" s="1095"/>
      <c r="BI83" s="1095" t="s">
        <v>504</v>
      </c>
      <c r="BJ83" s="1095"/>
      <c r="BM83" s="1095" t="s">
        <v>504</v>
      </c>
      <c r="BN83" s="1095"/>
      <c r="BO83" s="1095"/>
    </row>
    <row r="84" spans="1:67" ht="40.75" customHeight="1" x14ac:dyDescent="0.2">
      <c r="S84" s="1093"/>
      <c r="T84" s="1093"/>
      <c r="U84" s="1083"/>
      <c r="V84" s="1083"/>
      <c r="W84" s="1083"/>
      <c r="X84" s="1093"/>
      <c r="Y84" s="1093"/>
      <c r="Z84" s="1083"/>
      <c r="AA84" s="1083"/>
      <c r="AB84" s="1083"/>
      <c r="AC84" s="1083"/>
      <c r="AD84" s="1093"/>
      <c r="AE84" s="1093"/>
      <c r="AF84" s="1083"/>
      <c r="AG84" s="1083"/>
      <c r="AH84" s="1083"/>
      <c r="AI84" s="1083"/>
      <c r="AJ84" s="1093"/>
      <c r="AK84" s="1093"/>
      <c r="AL84" s="1093"/>
      <c r="AM84" s="1083"/>
      <c r="AN84" s="1083"/>
      <c r="AO84" s="1083"/>
      <c r="AP84" s="1083"/>
      <c r="AQ84" s="1083"/>
      <c r="AR84" s="1083"/>
      <c r="AS84" s="1083"/>
      <c r="AT84" s="1083"/>
      <c r="AU84" s="1093"/>
      <c r="AV84" s="1093"/>
      <c r="AW84" s="1093"/>
      <c r="AX84" s="1083"/>
      <c r="AY84" s="1083"/>
      <c r="AZ84" s="1083"/>
      <c r="BA84" s="1083"/>
      <c r="BB84" s="1083"/>
      <c r="BC84" s="1093"/>
      <c r="BD84" s="1093"/>
      <c r="BE84" s="1083"/>
      <c r="BF84" s="1083"/>
      <c r="BG84" s="1093"/>
      <c r="BH84" s="1093"/>
      <c r="BI84" s="1083"/>
      <c r="BJ84" s="1083"/>
      <c r="BK84" s="1093"/>
      <c r="BL84" s="1093"/>
      <c r="BM84" s="1083"/>
      <c r="BN84" s="1083"/>
      <c r="BO84" s="1083"/>
    </row>
    <row r="85" spans="1:67" ht="13.5" customHeight="1" x14ac:dyDescent="0.2">
      <c r="A85" s="1093"/>
      <c r="B85" s="1093"/>
      <c r="C85" s="1093"/>
      <c r="D85" s="1093"/>
      <c r="E85" s="1093"/>
      <c r="F85" s="1093"/>
      <c r="G85" s="1093"/>
      <c r="H85" s="1093"/>
      <c r="I85" s="1093"/>
      <c r="J85" s="1093"/>
      <c r="K85" s="1093"/>
      <c r="L85" s="1093"/>
      <c r="M85" s="1093"/>
      <c r="N85" s="1093"/>
      <c r="O85" s="1093"/>
      <c r="P85" s="1093"/>
      <c r="Q85" s="1093"/>
      <c r="R85" s="1093"/>
      <c r="S85" s="1083"/>
      <c r="T85" s="1083"/>
      <c r="U85" s="1083"/>
      <c r="V85" s="1083"/>
      <c r="W85" s="1083"/>
      <c r="X85" s="1083"/>
      <c r="Y85" s="1083"/>
      <c r="Z85" s="1083"/>
      <c r="AA85" s="1083"/>
      <c r="AB85" s="1083"/>
      <c r="AC85" s="1083"/>
      <c r="AD85" s="1083"/>
      <c r="AE85" s="1083"/>
      <c r="AF85" s="1083"/>
      <c r="AG85" s="1083"/>
      <c r="AH85" s="1083"/>
      <c r="AI85" s="1083"/>
      <c r="AJ85" s="1083"/>
      <c r="AK85" s="1083"/>
      <c r="AL85" s="1083"/>
      <c r="AM85" s="1083"/>
      <c r="AN85" s="1083"/>
      <c r="AO85" s="1083"/>
      <c r="AP85" s="1083"/>
      <c r="AQ85" s="1083"/>
      <c r="AR85" s="1083"/>
      <c r="AS85" s="1083"/>
      <c r="AT85" s="1083"/>
      <c r="AU85" s="1083"/>
      <c r="AV85" s="1083"/>
      <c r="AW85" s="1083"/>
      <c r="AX85" s="1083"/>
      <c r="AY85" s="1083"/>
      <c r="AZ85" s="1083"/>
      <c r="BA85" s="1083"/>
      <c r="BB85" s="1083"/>
      <c r="BC85" s="1083"/>
      <c r="BD85" s="1083"/>
      <c r="BE85" s="1083"/>
      <c r="BF85" s="1083"/>
      <c r="BG85" s="1083"/>
      <c r="BH85" s="1083"/>
      <c r="BI85" s="1083"/>
      <c r="BJ85" s="1083"/>
      <c r="BK85" s="1083"/>
      <c r="BL85" s="1083"/>
      <c r="BM85" s="1083"/>
      <c r="BN85" s="1083"/>
      <c r="BO85" s="1083"/>
    </row>
    <row r="86" spans="1:67" ht="13.5" customHeight="1" x14ac:dyDescent="0.2">
      <c r="A86" s="1087" t="s">
        <v>505</v>
      </c>
      <c r="B86" s="1087"/>
      <c r="C86" s="1087"/>
      <c r="D86" s="1087"/>
      <c r="E86" s="1087"/>
      <c r="F86" s="1087"/>
      <c r="G86" s="1087"/>
      <c r="H86" s="1087"/>
      <c r="I86" s="1087"/>
      <c r="J86" s="1087"/>
      <c r="K86" s="1087"/>
      <c r="L86" s="1087"/>
      <c r="M86" s="1087"/>
      <c r="N86" s="1087"/>
      <c r="O86" s="1087"/>
      <c r="P86" s="1087"/>
      <c r="Q86" s="1087"/>
      <c r="R86" s="1087"/>
      <c r="S86" s="1086">
        <v>21463379</v>
      </c>
      <c r="T86" s="1086"/>
      <c r="U86" s="1086"/>
      <c r="V86" s="1086"/>
      <c r="W86" s="1086"/>
      <c r="X86" s="1086">
        <v>20988520</v>
      </c>
      <c r="Y86" s="1086"/>
      <c r="Z86" s="1086"/>
      <c r="AA86" s="1086"/>
      <c r="AB86" s="1086"/>
      <c r="AC86" s="1086"/>
      <c r="AD86" s="1086">
        <v>17588847</v>
      </c>
      <c r="AE86" s="1086"/>
      <c r="AF86" s="1086"/>
      <c r="AG86" s="1086"/>
      <c r="AH86" s="1086"/>
      <c r="AI86" s="1086"/>
      <c r="AJ86" s="1086">
        <v>15559839</v>
      </c>
      <c r="AK86" s="1086"/>
      <c r="AL86" s="1086"/>
      <c r="AM86" s="1086"/>
      <c r="AN86" s="1086"/>
      <c r="AO86" s="1086"/>
      <c r="AP86" s="1086"/>
      <c r="AQ86" s="1086"/>
      <c r="AR86" s="1086"/>
      <c r="AS86" s="1086"/>
      <c r="AT86" s="1086"/>
      <c r="AU86" s="1086">
        <v>14316092</v>
      </c>
      <c r="AV86" s="1086"/>
      <c r="AW86" s="1086"/>
      <c r="AX86" s="1086"/>
      <c r="AY86" s="1086"/>
      <c r="AZ86" s="1086"/>
      <c r="BA86" s="1086"/>
      <c r="BB86" s="1086"/>
      <c r="BC86" s="1086">
        <v>13473198</v>
      </c>
      <c r="BD86" s="1086"/>
      <c r="BE86" s="1086"/>
      <c r="BF86" s="1086"/>
      <c r="BG86" s="1086">
        <v>11493812</v>
      </c>
      <c r="BH86" s="1086"/>
      <c r="BI86" s="1086"/>
      <c r="BJ86" s="1086"/>
      <c r="BK86" s="1086">
        <v>9891413</v>
      </c>
      <c r="BL86" s="1086"/>
      <c r="BM86" s="1086"/>
      <c r="BN86" s="1086"/>
      <c r="BO86" s="1086"/>
    </row>
    <row r="87" spans="1:67" ht="13.5" customHeight="1" x14ac:dyDescent="0.2">
      <c r="A87" s="1087" t="s">
        <v>506</v>
      </c>
      <c r="B87" s="1087"/>
      <c r="C87" s="1087"/>
      <c r="D87" s="1087"/>
      <c r="E87" s="1087"/>
      <c r="F87" s="1087"/>
      <c r="G87" s="1087"/>
      <c r="H87" s="1087"/>
      <c r="I87" s="1087"/>
      <c r="J87" s="1087"/>
      <c r="K87" s="1087"/>
      <c r="L87" s="1087"/>
      <c r="M87" s="1087"/>
      <c r="N87" s="1087"/>
      <c r="O87" s="1087"/>
      <c r="P87" s="1087"/>
      <c r="Q87" s="1087"/>
      <c r="R87" s="1087"/>
      <c r="S87" s="1086">
        <v>2527307</v>
      </c>
      <c r="T87" s="1086"/>
      <c r="U87" s="1086"/>
      <c r="V87" s="1086"/>
      <c r="W87" s="1086"/>
      <c r="X87" s="1086">
        <v>2036923</v>
      </c>
      <c r="Y87" s="1086"/>
      <c r="Z87" s="1086"/>
      <c r="AA87" s="1086"/>
      <c r="AB87" s="1086"/>
      <c r="AC87" s="1086"/>
      <c r="AD87" s="1086">
        <v>1835077</v>
      </c>
      <c r="AE87" s="1086"/>
      <c r="AF87" s="1086"/>
      <c r="AG87" s="1086"/>
      <c r="AH87" s="1086"/>
      <c r="AI87" s="1086"/>
      <c r="AJ87" s="1086">
        <v>1897638</v>
      </c>
      <c r="AK87" s="1086"/>
      <c r="AL87" s="1086"/>
      <c r="AM87" s="1086"/>
      <c r="AN87" s="1086"/>
      <c r="AO87" s="1086"/>
      <c r="AP87" s="1086"/>
      <c r="AQ87" s="1086"/>
      <c r="AR87" s="1086"/>
      <c r="AS87" s="1086"/>
      <c r="AT87" s="1086"/>
      <c r="AU87" s="1086">
        <v>1536949</v>
      </c>
      <c r="AV87" s="1086"/>
      <c r="AW87" s="1086"/>
      <c r="AX87" s="1086"/>
      <c r="AY87" s="1086"/>
      <c r="AZ87" s="1086"/>
      <c r="BA87" s="1086"/>
      <c r="BB87" s="1086"/>
      <c r="BC87" s="1086">
        <v>1263505</v>
      </c>
      <c r="BD87" s="1086"/>
      <c r="BE87" s="1086"/>
      <c r="BF87" s="1086"/>
      <c r="BG87" s="1086">
        <v>1249873</v>
      </c>
      <c r="BH87" s="1086"/>
      <c r="BI87" s="1086"/>
      <c r="BJ87" s="1086"/>
      <c r="BK87" s="1086">
        <v>818309</v>
      </c>
      <c r="BL87" s="1086"/>
      <c r="BM87" s="1086"/>
      <c r="BN87" s="1086"/>
      <c r="BO87" s="1086"/>
    </row>
    <row r="88" spans="1:67" ht="13.5" customHeight="1" x14ac:dyDescent="0.2">
      <c r="A88" s="1087" t="s">
        <v>507</v>
      </c>
      <c r="B88" s="1087"/>
      <c r="C88" s="1087"/>
      <c r="D88" s="1087"/>
      <c r="E88" s="1087"/>
      <c r="F88" s="1087"/>
      <c r="G88" s="1087"/>
      <c r="H88" s="1087"/>
      <c r="I88" s="1087"/>
      <c r="J88" s="1087"/>
      <c r="K88" s="1087"/>
      <c r="L88" s="1087"/>
      <c r="M88" s="1087"/>
      <c r="N88" s="1087"/>
      <c r="O88" s="1087"/>
      <c r="P88" s="1087"/>
      <c r="Q88" s="1087"/>
      <c r="R88" s="1087"/>
      <c r="S88" s="1086">
        <v>899733</v>
      </c>
      <c r="T88" s="1086"/>
      <c r="U88" s="1086"/>
      <c r="V88" s="1086"/>
      <c r="W88" s="1086"/>
      <c r="X88" s="1086">
        <v>566667</v>
      </c>
      <c r="Y88" s="1086"/>
      <c r="Z88" s="1086"/>
      <c r="AA88" s="1086"/>
      <c r="AB88" s="1086"/>
      <c r="AC88" s="1086"/>
      <c r="AD88" s="1086">
        <v>678581</v>
      </c>
      <c r="AE88" s="1086"/>
      <c r="AF88" s="1086"/>
      <c r="AG88" s="1086"/>
      <c r="AH88" s="1086"/>
      <c r="AI88" s="1086"/>
      <c r="AJ88" s="1086">
        <v>961303</v>
      </c>
      <c r="AK88" s="1086"/>
      <c r="AL88" s="1086"/>
      <c r="AM88" s="1086"/>
      <c r="AN88" s="1086"/>
      <c r="AO88" s="1086"/>
      <c r="AP88" s="1086"/>
      <c r="AQ88" s="1086"/>
      <c r="AR88" s="1086"/>
      <c r="AS88" s="1086"/>
      <c r="AT88" s="1086"/>
      <c r="AU88" s="1086">
        <v>921282</v>
      </c>
      <c r="AV88" s="1086"/>
      <c r="AW88" s="1086"/>
      <c r="AX88" s="1086"/>
      <c r="AY88" s="1086"/>
      <c r="AZ88" s="1086"/>
      <c r="BA88" s="1086"/>
      <c r="BB88" s="1086"/>
      <c r="BC88" s="1086">
        <v>751636</v>
      </c>
      <c r="BD88" s="1086"/>
      <c r="BE88" s="1086"/>
      <c r="BF88" s="1086"/>
      <c r="BG88" s="1086">
        <v>670425</v>
      </c>
      <c r="BH88" s="1086"/>
      <c r="BI88" s="1086"/>
      <c r="BJ88" s="1086"/>
      <c r="BK88" s="1086">
        <v>364746</v>
      </c>
      <c r="BL88" s="1086"/>
      <c r="BM88" s="1086"/>
      <c r="BN88" s="1086"/>
      <c r="BO88" s="1086"/>
    </row>
    <row r="89" spans="1:67" ht="13.5" customHeight="1" x14ac:dyDescent="0.2">
      <c r="A89" s="1087" t="s">
        <v>508</v>
      </c>
      <c r="B89" s="1087"/>
      <c r="C89" s="1087"/>
      <c r="D89" s="1087"/>
      <c r="E89" s="1087"/>
      <c r="F89" s="1087"/>
      <c r="G89" s="1087"/>
      <c r="H89" s="1087"/>
      <c r="I89" s="1087"/>
      <c r="J89" s="1087"/>
      <c r="K89" s="1087"/>
      <c r="L89" s="1087"/>
      <c r="M89" s="1087"/>
      <c r="N89" s="1087"/>
      <c r="O89" s="1087"/>
      <c r="P89" s="1087"/>
      <c r="Q89" s="1087"/>
      <c r="R89" s="1087"/>
      <c r="S89" s="1086">
        <v>18790859</v>
      </c>
      <c r="T89" s="1086"/>
      <c r="U89" s="1086"/>
      <c r="V89" s="1086"/>
      <c r="W89" s="1086"/>
      <c r="X89" s="1086">
        <v>20554377</v>
      </c>
      <c r="Y89" s="1086"/>
      <c r="Z89" s="1086"/>
      <c r="AA89" s="1086"/>
      <c r="AB89" s="1086"/>
      <c r="AC89" s="1086"/>
      <c r="AD89" s="1086">
        <v>20723060</v>
      </c>
      <c r="AE89" s="1086"/>
      <c r="AF89" s="1086"/>
      <c r="AG89" s="1086"/>
      <c r="AH89" s="1086"/>
      <c r="AI89" s="1086"/>
      <c r="AJ89" s="1086">
        <v>18204611</v>
      </c>
      <c r="AK89" s="1086"/>
      <c r="AL89" s="1086"/>
      <c r="AM89" s="1086"/>
      <c r="AN89" s="1086"/>
      <c r="AO89" s="1086"/>
      <c r="AP89" s="1086"/>
      <c r="AQ89" s="1086"/>
      <c r="AR89" s="1086"/>
      <c r="AS89" s="1086"/>
      <c r="AT89" s="1086"/>
      <c r="AU89" s="1086">
        <v>14795011</v>
      </c>
      <c r="AV89" s="1086"/>
      <c r="AW89" s="1086"/>
      <c r="AX89" s="1086"/>
      <c r="AY89" s="1086"/>
      <c r="AZ89" s="1086"/>
      <c r="BA89" s="1086"/>
      <c r="BB89" s="1086"/>
      <c r="BC89" s="1086">
        <v>9311398</v>
      </c>
      <c r="BD89" s="1086"/>
      <c r="BE89" s="1086"/>
      <c r="BF89" s="1086"/>
      <c r="BG89" s="1086">
        <v>6455031</v>
      </c>
      <c r="BH89" s="1086"/>
      <c r="BI89" s="1086"/>
      <c r="BJ89" s="1086"/>
      <c r="BK89" s="1086">
        <v>6151737</v>
      </c>
      <c r="BL89" s="1086"/>
      <c r="BM89" s="1086"/>
      <c r="BN89" s="1086"/>
      <c r="BO89" s="1086"/>
    </row>
    <row r="90" spans="1:67" ht="13.5" customHeight="1" x14ac:dyDescent="0.2">
      <c r="A90" s="1087" t="s">
        <v>509</v>
      </c>
      <c r="B90" s="1087"/>
      <c r="C90" s="1087"/>
      <c r="D90" s="1087"/>
      <c r="E90" s="1087"/>
      <c r="F90" s="1087"/>
      <c r="G90" s="1087"/>
      <c r="H90" s="1087"/>
      <c r="I90" s="1087"/>
      <c r="J90" s="1087"/>
      <c r="K90" s="1087"/>
      <c r="L90" s="1087"/>
      <c r="M90" s="1087"/>
      <c r="N90" s="1087"/>
      <c r="O90" s="1087"/>
      <c r="P90" s="1087"/>
      <c r="Q90" s="1087"/>
      <c r="R90" s="1087"/>
      <c r="S90" s="1086">
        <v>5757287</v>
      </c>
      <c r="T90" s="1086"/>
      <c r="U90" s="1086"/>
      <c r="V90" s="1086"/>
      <c r="W90" s="1086"/>
      <c r="X90" s="1086">
        <v>5227552</v>
      </c>
      <c r="Y90" s="1086"/>
      <c r="Z90" s="1086"/>
      <c r="AA90" s="1086"/>
      <c r="AB90" s="1086"/>
      <c r="AC90" s="1086"/>
      <c r="AD90" s="1086">
        <v>4660887</v>
      </c>
      <c r="AE90" s="1086"/>
      <c r="AF90" s="1086"/>
      <c r="AG90" s="1086"/>
      <c r="AH90" s="1086"/>
      <c r="AI90" s="1086"/>
      <c r="AJ90" s="1086">
        <v>4082303</v>
      </c>
      <c r="AK90" s="1086"/>
      <c r="AL90" s="1086"/>
      <c r="AM90" s="1086"/>
      <c r="AN90" s="1086"/>
      <c r="AO90" s="1086"/>
      <c r="AP90" s="1086"/>
      <c r="AQ90" s="1086"/>
      <c r="AR90" s="1086"/>
      <c r="AS90" s="1086"/>
      <c r="AT90" s="1086"/>
      <c r="AU90" s="1086">
        <v>3206001</v>
      </c>
      <c r="AV90" s="1086"/>
      <c r="AW90" s="1086"/>
      <c r="AX90" s="1086"/>
      <c r="AY90" s="1086"/>
      <c r="AZ90" s="1086"/>
      <c r="BA90" s="1086"/>
      <c r="BB90" s="1086"/>
      <c r="BC90" s="1086">
        <v>2384718</v>
      </c>
      <c r="BD90" s="1086"/>
      <c r="BE90" s="1086"/>
      <c r="BF90" s="1086"/>
      <c r="BG90" s="1086">
        <v>1733081</v>
      </c>
      <c r="BH90" s="1086"/>
      <c r="BI90" s="1086"/>
      <c r="BJ90" s="1086"/>
      <c r="BK90" s="1086">
        <v>1062658</v>
      </c>
      <c r="BL90" s="1086"/>
      <c r="BM90" s="1086"/>
      <c r="BN90" s="1086"/>
      <c r="BO90" s="1086"/>
    </row>
    <row r="91" spans="1:67" ht="13.5" customHeight="1" x14ac:dyDescent="0.2">
      <c r="A91" s="1087" t="s">
        <v>510</v>
      </c>
      <c r="B91" s="1087"/>
      <c r="C91" s="1087"/>
      <c r="D91" s="1087"/>
      <c r="E91" s="1087"/>
      <c r="F91" s="1087"/>
      <c r="G91" s="1087"/>
      <c r="H91" s="1087"/>
      <c r="I91" s="1087"/>
      <c r="J91" s="1087"/>
      <c r="K91" s="1087"/>
      <c r="L91" s="1087"/>
      <c r="M91" s="1087"/>
      <c r="N91" s="1087"/>
      <c r="O91" s="1087"/>
      <c r="P91" s="1087"/>
      <c r="Q91" s="1087"/>
      <c r="R91" s="1087"/>
      <c r="S91" s="1088">
        <v>8263503</v>
      </c>
      <c r="T91" s="1088"/>
      <c r="U91" s="1088"/>
      <c r="V91" s="1088"/>
      <c r="W91" s="1088"/>
      <c r="X91" s="1088">
        <v>9788289</v>
      </c>
      <c r="Y91" s="1088"/>
      <c r="Z91" s="1088"/>
      <c r="AA91" s="1088"/>
      <c r="AB91" s="1088"/>
      <c r="AC91" s="1088"/>
      <c r="AD91" s="1088">
        <v>10079836</v>
      </c>
      <c r="AE91" s="1088"/>
      <c r="AF91" s="1088"/>
      <c r="AG91" s="1088"/>
      <c r="AH91" s="1088"/>
      <c r="AI91" s="1088"/>
      <c r="AJ91" s="1088">
        <v>8598021</v>
      </c>
      <c r="AK91" s="1088"/>
      <c r="AL91" s="1088"/>
      <c r="AM91" s="1088"/>
      <c r="AN91" s="1088"/>
      <c r="AO91" s="1088"/>
      <c r="AP91" s="1088"/>
      <c r="AQ91" s="1088"/>
      <c r="AR91" s="1088"/>
      <c r="AS91" s="1088"/>
      <c r="AT91" s="1088"/>
      <c r="AU91" s="1088">
        <v>7239662</v>
      </c>
      <c r="AV91" s="1088"/>
      <c r="AW91" s="1088"/>
      <c r="AX91" s="1088"/>
      <c r="AY91" s="1088"/>
      <c r="AZ91" s="1088"/>
      <c r="BA91" s="1088"/>
      <c r="BB91" s="1088"/>
      <c r="BC91" s="1088">
        <v>3375102</v>
      </c>
      <c r="BD91" s="1088"/>
      <c r="BE91" s="1088"/>
      <c r="BF91" s="1088"/>
      <c r="BG91" s="1088">
        <v>2296704</v>
      </c>
      <c r="BH91" s="1088"/>
      <c r="BI91" s="1088"/>
      <c r="BJ91" s="1088"/>
      <c r="BK91" s="1088">
        <v>2193786</v>
      </c>
      <c r="BL91" s="1088"/>
      <c r="BM91" s="1088"/>
      <c r="BN91" s="1088"/>
      <c r="BO91" s="1088"/>
    </row>
    <row r="92" spans="1:67" ht="13.5" customHeight="1" x14ac:dyDescent="0.2">
      <c r="A92" s="1083"/>
      <c r="B92" s="1083"/>
      <c r="C92" s="1083"/>
      <c r="D92" s="1083"/>
      <c r="E92" s="1083"/>
      <c r="F92" s="1083"/>
      <c r="G92" s="1083"/>
      <c r="H92" s="1083"/>
      <c r="I92" s="1083"/>
      <c r="J92" s="1083"/>
      <c r="K92" s="1083"/>
      <c r="L92" s="1083"/>
      <c r="M92" s="1083"/>
      <c r="N92" s="1083"/>
      <c r="O92" s="1083"/>
      <c r="P92" s="1083"/>
      <c r="Q92" s="1083"/>
      <c r="R92" s="1083"/>
      <c r="S92" s="1083"/>
      <c r="T92" s="1083"/>
      <c r="U92" s="1083"/>
      <c r="V92" s="1083"/>
      <c r="W92" s="1083"/>
      <c r="X92" s="1083"/>
      <c r="Y92" s="1083"/>
      <c r="Z92" s="1083"/>
      <c r="AA92" s="1083"/>
      <c r="AB92" s="1083"/>
      <c r="AC92" s="1083"/>
      <c r="AD92" s="1083"/>
      <c r="AE92" s="1083"/>
      <c r="AF92" s="1083"/>
      <c r="AG92" s="1083"/>
      <c r="AH92" s="1083"/>
      <c r="AI92" s="1083"/>
      <c r="AJ92" s="1083"/>
      <c r="AK92" s="1083"/>
      <c r="AL92" s="1083"/>
      <c r="AM92" s="1083"/>
      <c r="AN92" s="1083"/>
      <c r="AO92" s="1083"/>
      <c r="AP92" s="1083"/>
      <c r="AQ92" s="1083"/>
      <c r="AR92" s="1083"/>
      <c r="AS92" s="1083"/>
      <c r="AT92" s="1083"/>
      <c r="AU92" s="1083"/>
      <c r="AV92" s="1083"/>
      <c r="AW92" s="1083"/>
      <c r="AX92" s="1083"/>
      <c r="AY92" s="1083"/>
      <c r="AZ92" s="1083"/>
      <c r="BA92" s="1083"/>
      <c r="BB92" s="1083"/>
      <c r="BC92" s="1083"/>
      <c r="BD92" s="1083"/>
      <c r="BE92" s="1083"/>
      <c r="BF92" s="1083"/>
      <c r="BG92" s="1083"/>
      <c r="BH92" s="1083"/>
      <c r="BI92" s="1083"/>
      <c r="BJ92" s="1083"/>
      <c r="BK92" s="1083"/>
      <c r="BL92" s="1083"/>
      <c r="BM92" s="1083"/>
      <c r="BN92" s="1083"/>
      <c r="BO92" s="1083"/>
    </row>
    <row r="93" spans="1:67" ht="13.5" customHeight="1" x14ac:dyDescent="0.2">
      <c r="A93" s="1087" t="s">
        <v>511</v>
      </c>
      <c r="B93" s="1087"/>
      <c r="C93" s="1087"/>
      <c r="D93" s="1087"/>
      <c r="E93" s="1087"/>
      <c r="F93" s="1087"/>
      <c r="G93" s="1087"/>
      <c r="H93" s="1087"/>
      <c r="I93" s="1087"/>
      <c r="J93" s="1087"/>
      <c r="K93" s="1087"/>
      <c r="L93" s="1087"/>
      <c r="M93" s="1087"/>
      <c r="N93" s="1087"/>
      <c r="O93" s="1087"/>
      <c r="P93" s="1087"/>
      <c r="Q93" s="1087"/>
      <c r="R93" s="1087"/>
      <c r="S93" s="1088">
        <v>11.62</v>
      </c>
      <c r="T93" s="1088"/>
      <c r="U93" s="1088"/>
      <c r="V93" s="1088"/>
      <c r="W93" s="1088"/>
      <c r="X93" s="1088">
        <v>9.51</v>
      </c>
      <c r="Y93" s="1088"/>
      <c r="Z93" s="1088"/>
      <c r="AA93" s="1088"/>
      <c r="AB93" s="1088"/>
      <c r="AC93" s="1088"/>
      <c r="AD93" s="1088">
        <v>10.19</v>
      </c>
      <c r="AE93" s="1088"/>
      <c r="AF93" s="1088"/>
      <c r="AG93" s="1088"/>
      <c r="AH93" s="1088"/>
      <c r="AI93" s="1088"/>
      <c r="AJ93" s="1088">
        <v>12.12</v>
      </c>
      <c r="AK93" s="1088"/>
      <c r="AL93" s="1088"/>
      <c r="AM93" s="1088"/>
      <c r="AN93" s="1088"/>
      <c r="AO93" s="1088"/>
      <c r="AP93" s="1088"/>
      <c r="AQ93" s="1088"/>
      <c r="AR93" s="1088"/>
      <c r="AS93" s="1088"/>
      <c r="AT93" s="1088"/>
      <c r="AU93" s="1088">
        <v>10.69</v>
      </c>
      <c r="AV93" s="1088"/>
      <c r="AW93" s="1088"/>
      <c r="AX93" s="1088"/>
      <c r="AY93" s="1088"/>
      <c r="AZ93" s="1088"/>
      <c r="BA93" s="1088"/>
      <c r="BB93" s="1088"/>
      <c r="BC93" s="1088">
        <v>9.2899999999999991</v>
      </c>
      <c r="BD93" s="1088"/>
      <c r="BE93" s="1088"/>
      <c r="BF93" s="1088"/>
      <c r="BG93" s="1088">
        <v>10.83</v>
      </c>
      <c r="BH93" s="1088"/>
      <c r="BI93" s="1088"/>
      <c r="BJ93" s="1088"/>
      <c r="BK93" s="1088">
        <v>8.25</v>
      </c>
      <c r="BL93" s="1088"/>
      <c r="BM93" s="1088"/>
      <c r="BN93" s="1088"/>
      <c r="BO93" s="1088"/>
    </row>
    <row r="94" spans="1:67" ht="13.5" customHeight="1" x14ac:dyDescent="0.2">
      <c r="A94" s="1087" t="s">
        <v>512</v>
      </c>
      <c r="B94" s="1087"/>
      <c r="C94" s="1087"/>
      <c r="D94" s="1087"/>
      <c r="E94" s="1087"/>
      <c r="F94" s="1087"/>
      <c r="G94" s="1087"/>
      <c r="H94" s="1087"/>
      <c r="I94" s="1087"/>
      <c r="J94" s="1087"/>
      <c r="K94" s="1087"/>
      <c r="L94" s="1087"/>
      <c r="M94" s="1087"/>
      <c r="N94" s="1087"/>
      <c r="O94" s="1087"/>
      <c r="P94" s="1087"/>
      <c r="Q94" s="1087"/>
      <c r="R94" s="1087"/>
      <c r="S94" s="1088">
        <v>7.31</v>
      </c>
      <c r="T94" s="1088"/>
      <c r="U94" s="1088"/>
      <c r="V94" s="1088"/>
      <c r="W94" s="1088"/>
      <c r="X94" s="1088">
        <v>5.22</v>
      </c>
      <c r="Y94" s="1088"/>
      <c r="Z94" s="1088"/>
      <c r="AA94" s="1088"/>
      <c r="AB94" s="1088"/>
      <c r="AC94" s="1088"/>
      <c r="AD94" s="1088">
        <v>5.35</v>
      </c>
      <c r="AE94" s="1088"/>
      <c r="AF94" s="1088"/>
      <c r="AG94" s="1088"/>
      <c r="AH94" s="1088"/>
      <c r="AI94" s="1088"/>
      <c r="AJ94" s="1088">
        <v>9.01</v>
      </c>
      <c r="AK94" s="1088"/>
      <c r="AL94" s="1088"/>
      <c r="AM94" s="1088"/>
      <c r="AN94" s="1088"/>
      <c r="AO94" s="1088"/>
      <c r="AP94" s="1088"/>
      <c r="AQ94" s="1088"/>
      <c r="AR94" s="1088"/>
      <c r="AS94" s="1088"/>
      <c r="AT94" s="1088"/>
      <c r="AU94" s="1088">
        <v>9.41</v>
      </c>
      <c r="AV94" s="1088"/>
      <c r="AW94" s="1088"/>
      <c r="AX94" s="1088"/>
      <c r="AY94" s="1088"/>
      <c r="AZ94" s="1088"/>
      <c r="BA94" s="1088"/>
      <c r="BB94" s="1088"/>
      <c r="BC94" s="1088">
        <v>7.8599999999999994</v>
      </c>
      <c r="BD94" s="1088"/>
      <c r="BE94" s="1088"/>
      <c r="BF94" s="1088"/>
      <c r="BG94" s="1088">
        <v>9.1199999999999992</v>
      </c>
      <c r="BH94" s="1088"/>
      <c r="BI94" s="1088"/>
      <c r="BJ94" s="1088"/>
      <c r="BK94" s="1088">
        <v>6.41</v>
      </c>
      <c r="BL94" s="1088"/>
      <c r="BM94" s="1088"/>
      <c r="BN94" s="1088"/>
      <c r="BO94" s="1088"/>
    </row>
    <row r="95" spans="1:67" ht="13.5" customHeight="1" x14ac:dyDescent="0.2">
      <c r="A95" s="1087" t="s">
        <v>513</v>
      </c>
      <c r="B95" s="1087"/>
      <c r="C95" s="1087"/>
      <c r="D95" s="1087"/>
      <c r="E95" s="1087"/>
      <c r="F95" s="1087"/>
      <c r="G95" s="1087"/>
      <c r="H95" s="1087"/>
      <c r="I95" s="1087"/>
      <c r="J95" s="1087"/>
      <c r="K95" s="1087"/>
      <c r="L95" s="1087"/>
      <c r="M95" s="1087"/>
      <c r="N95" s="1087"/>
      <c r="O95" s="1087"/>
      <c r="P95" s="1087"/>
      <c r="Q95" s="1087"/>
      <c r="R95" s="1087"/>
      <c r="S95" s="1088">
        <v>8.4600000000000009</v>
      </c>
      <c r="T95" s="1088"/>
      <c r="U95" s="1088"/>
      <c r="V95" s="1088"/>
      <c r="W95" s="1088"/>
      <c r="X95" s="1088">
        <v>5.44</v>
      </c>
      <c r="Y95" s="1088"/>
      <c r="Z95" s="1088"/>
      <c r="AA95" s="1088"/>
      <c r="AB95" s="1088"/>
      <c r="AC95" s="1088"/>
      <c r="AD95" s="1088">
        <v>4.6499999999999995</v>
      </c>
      <c r="AE95" s="1088"/>
      <c r="AF95" s="1088"/>
      <c r="AG95" s="1088"/>
      <c r="AH95" s="1088"/>
      <c r="AI95" s="1088"/>
      <c r="AJ95" s="1088">
        <v>7.75</v>
      </c>
      <c r="AK95" s="1088"/>
      <c r="AL95" s="1088"/>
      <c r="AM95" s="1088"/>
      <c r="AN95" s="1088"/>
      <c r="AO95" s="1088"/>
      <c r="AP95" s="1088"/>
      <c r="AQ95" s="1088"/>
      <c r="AR95" s="1088"/>
      <c r="AS95" s="1088"/>
      <c r="AT95" s="1088"/>
      <c r="AU95" s="1088">
        <v>9.1399999999999988</v>
      </c>
      <c r="AV95" s="1088"/>
      <c r="AW95" s="1088"/>
      <c r="AX95" s="1088"/>
      <c r="AY95" s="1088"/>
      <c r="AZ95" s="1088"/>
      <c r="BA95" s="1088"/>
      <c r="BB95" s="1088"/>
      <c r="BC95" s="1088">
        <v>11.49</v>
      </c>
      <c r="BD95" s="1088"/>
      <c r="BE95" s="1088"/>
      <c r="BF95" s="1088"/>
      <c r="BG95" s="1088">
        <v>16.310000000000002</v>
      </c>
      <c r="BH95" s="1088"/>
      <c r="BI95" s="1088"/>
      <c r="BJ95" s="1088"/>
      <c r="BK95" s="1088">
        <v>10.34</v>
      </c>
      <c r="BL95" s="1088"/>
      <c r="BM95" s="1088"/>
      <c r="BN95" s="1088"/>
      <c r="BO95" s="1088"/>
    </row>
    <row r="96" spans="1:67" ht="13.5" customHeight="1" x14ac:dyDescent="0.2">
      <c r="A96" s="1087" t="s">
        <v>514</v>
      </c>
      <c r="B96" s="1087"/>
      <c r="C96" s="1087"/>
      <c r="D96" s="1087"/>
      <c r="E96" s="1087"/>
      <c r="F96" s="1087"/>
      <c r="G96" s="1087"/>
      <c r="H96" s="1087"/>
      <c r="I96" s="1087"/>
      <c r="J96" s="1087"/>
      <c r="K96" s="1087"/>
      <c r="L96" s="1087"/>
      <c r="M96" s="1087"/>
      <c r="N96" s="1087"/>
      <c r="O96" s="1087"/>
      <c r="P96" s="1087"/>
      <c r="Q96" s="1087"/>
      <c r="R96" s="1087"/>
      <c r="S96" s="1088">
        <v>15.629999999999999</v>
      </c>
      <c r="T96" s="1088"/>
      <c r="U96" s="1088"/>
      <c r="V96" s="1088"/>
      <c r="W96" s="1088"/>
      <c r="X96" s="1088">
        <v>10.84</v>
      </c>
      <c r="Y96" s="1088"/>
      <c r="Z96" s="1088"/>
      <c r="AA96" s="1088"/>
      <c r="AB96" s="1088"/>
      <c r="AC96" s="1088"/>
      <c r="AD96" s="1088">
        <v>14.56</v>
      </c>
      <c r="AE96" s="1088"/>
      <c r="AF96" s="1088"/>
      <c r="AG96" s="1088"/>
      <c r="AH96" s="1088"/>
      <c r="AI96" s="1088"/>
      <c r="AJ96" s="1088">
        <v>23.55</v>
      </c>
      <c r="AK96" s="1088"/>
      <c r="AL96" s="1088"/>
      <c r="AM96" s="1088"/>
      <c r="AN96" s="1088"/>
      <c r="AO96" s="1088"/>
      <c r="AP96" s="1088"/>
      <c r="AQ96" s="1088"/>
      <c r="AR96" s="1088"/>
      <c r="AS96" s="1088"/>
      <c r="AT96" s="1088"/>
      <c r="AU96" s="1088">
        <v>28.74</v>
      </c>
      <c r="AV96" s="1088"/>
      <c r="AW96" s="1088"/>
      <c r="AX96" s="1088"/>
      <c r="AY96" s="1088"/>
      <c r="AZ96" s="1088"/>
      <c r="BA96" s="1088"/>
      <c r="BB96" s="1088"/>
      <c r="BC96" s="1088">
        <v>31.52</v>
      </c>
      <c r="BD96" s="1088"/>
      <c r="BE96" s="1088"/>
      <c r="BF96" s="1088"/>
      <c r="BG96" s="1088">
        <v>38.68</v>
      </c>
      <c r="BH96" s="1088"/>
      <c r="BI96" s="1088"/>
      <c r="BJ96" s="1088"/>
      <c r="BK96" s="1088">
        <v>34.32</v>
      </c>
      <c r="BL96" s="1088"/>
      <c r="BM96" s="1088"/>
      <c r="BN96" s="1088"/>
      <c r="BO96" s="1088"/>
    </row>
    <row r="97" spans="1:67" ht="13.5" customHeight="1" x14ac:dyDescent="0.2">
      <c r="A97" s="1087" t="s">
        <v>515</v>
      </c>
      <c r="B97" s="1087"/>
      <c r="C97" s="1087"/>
      <c r="D97" s="1087"/>
      <c r="E97" s="1087"/>
      <c r="F97" s="1087"/>
      <c r="G97" s="1087"/>
      <c r="H97" s="1087"/>
      <c r="I97" s="1087"/>
      <c r="J97" s="1087"/>
      <c r="K97" s="1087"/>
      <c r="L97" s="1087"/>
      <c r="M97" s="1087"/>
      <c r="N97" s="1087"/>
      <c r="O97" s="1087"/>
      <c r="P97" s="1087"/>
      <c r="Q97" s="1087"/>
      <c r="R97" s="1087"/>
      <c r="S97" s="1088">
        <v>1.48</v>
      </c>
      <c r="T97" s="1088"/>
      <c r="U97" s="1088"/>
      <c r="V97" s="1088"/>
      <c r="W97" s="1088"/>
      <c r="X97" s="1088">
        <v>2.04</v>
      </c>
      <c r="Y97" s="1088"/>
      <c r="Z97" s="1088"/>
      <c r="AA97" s="1088"/>
      <c r="AB97" s="1088"/>
      <c r="AC97" s="1088"/>
      <c r="AD97" s="1088">
        <v>2.4099999999999997</v>
      </c>
      <c r="AE97" s="1088"/>
      <c r="AF97" s="1088"/>
      <c r="AG97" s="1088"/>
      <c r="AH97" s="1088"/>
      <c r="AI97" s="1088"/>
      <c r="AJ97" s="1088">
        <v>2.66</v>
      </c>
      <c r="AK97" s="1088"/>
      <c r="AL97" s="1088"/>
      <c r="AM97" s="1088"/>
      <c r="AN97" s="1088"/>
      <c r="AO97" s="1088"/>
      <c r="AP97" s="1088"/>
      <c r="AQ97" s="1088"/>
      <c r="AR97" s="1088"/>
      <c r="AS97" s="1088"/>
      <c r="AT97" s="1088"/>
      <c r="AU97" s="1088">
        <v>2.88</v>
      </c>
      <c r="AV97" s="1088"/>
      <c r="AW97" s="1088"/>
      <c r="AX97" s="1088"/>
      <c r="AY97" s="1088"/>
      <c r="AZ97" s="1088"/>
      <c r="BA97" s="1088"/>
      <c r="BB97" s="1088"/>
      <c r="BC97" s="1088">
        <v>1.6700000000000002</v>
      </c>
      <c r="BD97" s="1088"/>
      <c r="BE97" s="1088"/>
      <c r="BF97" s="1088"/>
      <c r="BG97" s="1088">
        <v>1.52</v>
      </c>
      <c r="BH97" s="1088"/>
      <c r="BI97" s="1088"/>
      <c r="BJ97" s="1088"/>
      <c r="BK97" s="1088">
        <v>2.74</v>
      </c>
      <c r="BL97" s="1088"/>
      <c r="BM97" s="1088"/>
      <c r="BN97" s="1088"/>
      <c r="BO97" s="1088"/>
    </row>
    <row r="98" spans="1:67" ht="13.5" customHeight="1" x14ac:dyDescent="0.2">
      <c r="A98" s="1087" t="s">
        <v>516</v>
      </c>
      <c r="B98" s="1087"/>
      <c r="C98" s="1087"/>
      <c r="D98" s="1087"/>
      <c r="E98" s="1087"/>
      <c r="F98" s="1087"/>
      <c r="G98" s="1087"/>
      <c r="H98" s="1087"/>
      <c r="I98" s="1087"/>
      <c r="J98" s="1087"/>
      <c r="K98" s="1087"/>
      <c r="L98" s="1087"/>
      <c r="M98" s="1087"/>
      <c r="N98" s="1087"/>
      <c r="O98" s="1087"/>
      <c r="P98" s="1087"/>
      <c r="Q98" s="1087"/>
      <c r="R98" s="1087"/>
      <c r="S98" s="1088">
        <v>39.11</v>
      </c>
      <c r="T98" s="1088"/>
      <c r="U98" s="1088"/>
      <c r="V98" s="1088"/>
      <c r="W98" s="1088"/>
      <c r="X98" s="1088">
        <v>49.879999999999995</v>
      </c>
      <c r="Y98" s="1088"/>
      <c r="Z98" s="1088"/>
      <c r="AA98" s="1088"/>
      <c r="AB98" s="1088"/>
      <c r="AC98" s="1088"/>
      <c r="AD98" s="1088">
        <v>62.25</v>
      </c>
      <c r="AE98" s="1088"/>
      <c r="AF98" s="1088"/>
      <c r="AG98" s="1088"/>
      <c r="AH98" s="1088"/>
      <c r="AI98" s="1088"/>
      <c r="AJ98" s="1088">
        <v>69.169999999999987</v>
      </c>
      <c r="AK98" s="1088"/>
      <c r="AL98" s="1088"/>
      <c r="AM98" s="1088"/>
      <c r="AN98" s="1088"/>
      <c r="AO98" s="1088"/>
      <c r="AP98" s="1088"/>
      <c r="AQ98" s="1088"/>
      <c r="AR98" s="1088"/>
      <c r="AS98" s="1088"/>
      <c r="AT98" s="1088"/>
      <c r="AU98" s="1088">
        <v>64.210000000000008</v>
      </c>
      <c r="AV98" s="1088"/>
      <c r="AW98" s="1088"/>
      <c r="AX98" s="1088"/>
      <c r="AY98" s="1088"/>
      <c r="AZ98" s="1088"/>
      <c r="BA98" s="1088"/>
      <c r="BB98" s="1088"/>
      <c r="BC98" s="1088">
        <v>29.25</v>
      </c>
      <c r="BD98" s="1088"/>
      <c r="BE98" s="1088"/>
      <c r="BF98" s="1088"/>
      <c r="BG98" s="1088">
        <v>22.82</v>
      </c>
      <c r="BH98" s="1088"/>
      <c r="BI98" s="1088"/>
      <c r="BJ98" s="1088"/>
      <c r="BK98" s="1088">
        <v>29.3</v>
      </c>
      <c r="BL98" s="1088"/>
      <c r="BM98" s="1088"/>
      <c r="BN98" s="1088"/>
      <c r="BO98" s="1088"/>
    </row>
    <row r="99" spans="1:67" ht="13.5" customHeight="1" x14ac:dyDescent="0.2">
      <c r="A99" s="1087" t="s">
        <v>517</v>
      </c>
      <c r="B99" s="1087"/>
      <c r="C99" s="1087"/>
      <c r="D99" s="1087"/>
      <c r="E99" s="1087"/>
      <c r="F99" s="1087"/>
      <c r="G99" s="1087"/>
      <c r="H99" s="1087"/>
      <c r="I99" s="1087"/>
      <c r="J99" s="1087"/>
      <c r="K99" s="1087"/>
      <c r="L99" s="1087"/>
      <c r="M99" s="1087"/>
      <c r="N99" s="1087"/>
      <c r="O99" s="1087"/>
      <c r="P99" s="1087"/>
      <c r="Q99" s="1087"/>
      <c r="R99" s="1087"/>
      <c r="S99" s="1088">
        <v>3.3699999999999997</v>
      </c>
      <c r="T99" s="1088"/>
      <c r="U99" s="1088"/>
      <c r="V99" s="1088"/>
      <c r="W99" s="1088"/>
      <c r="X99" s="1088">
        <v>5.24</v>
      </c>
      <c r="Y99" s="1088"/>
      <c r="Z99" s="1088"/>
      <c r="AA99" s="1088"/>
      <c r="AB99" s="1088"/>
      <c r="AC99" s="1088"/>
      <c r="AD99" s="1088">
        <v>6.1199999999999992</v>
      </c>
      <c r="AE99" s="1088"/>
      <c r="AF99" s="1088"/>
      <c r="AG99" s="1088"/>
      <c r="AH99" s="1088"/>
      <c r="AI99" s="1088"/>
      <c r="AJ99" s="1088">
        <v>5.73</v>
      </c>
      <c r="AK99" s="1088"/>
      <c r="AL99" s="1088"/>
      <c r="AM99" s="1088"/>
      <c r="AN99" s="1088"/>
      <c r="AO99" s="1088"/>
      <c r="AP99" s="1088"/>
      <c r="AQ99" s="1088"/>
      <c r="AR99" s="1088"/>
      <c r="AS99" s="1088"/>
      <c r="AT99" s="1088"/>
      <c r="AU99" s="1088">
        <v>6</v>
      </c>
      <c r="AV99" s="1088"/>
      <c r="AW99" s="1088"/>
      <c r="AX99" s="1088"/>
      <c r="AY99" s="1088"/>
      <c r="AZ99" s="1088"/>
      <c r="BA99" s="1088"/>
      <c r="BB99" s="1088"/>
      <c r="BC99" s="1088">
        <v>3.15</v>
      </c>
      <c r="BD99" s="1088"/>
      <c r="BE99" s="1088"/>
      <c r="BF99" s="1088"/>
      <c r="BG99" s="1088">
        <v>2.11</v>
      </c>
      <c r="BH99" s="1088"/>
      <c r="BI99" s="1088"/>
      <c r="BJ99" s="1088"/>
      <c r="BK99" s="1088">
        <v>3.55</v>
      </c>
      <c r="BL99" s="1088"/>
      <c r="BM99" s="1088"/>
      <c r="BN99" s="1088"/>
      <c r="BO99" s="1088"/>
    </row>
    <row r="100" spans="1:67" ht="13.5" customHeight="1" x14ac:dyDescent="0.2">
      <c r="A100" s="1087" t="s">
        <v>518</v>
      </c>
      <c r="B100" s="1087"/>
      <c r="C100" s="1087"/>
      <c r="D100" s="1087"/>
      <c r="E100" s="1087"/>
      <c r="F100" s="1087"/>
      <c r="G100" s="1087"/>
      <c r="H100" s="1087"/>
      <c r="I100" s="1087"/>
      <c r="J100" s="1087"/>
      <c r="K100" s="1087"/>
      <c r="L100" s="1087"/>
      <c r="M100" s="1087"/>
      <c r="N100" s="1087"/>
      <c r="O100" s="1087"/>
      <c r="P100" s="1087"/>
      <c r="Q100" s="1087"/>
      <c r="R100" s="1087"/>
      <c r="S100" s="1088">
        <v>1.1400000000000001</v>
      </c>
      <c r="T100" s="1088"/>
      <c r="U100" s="1088"/>
      <c r="V100" s="1088"/>
      <c r="W100" s="1088"/>
      <c r="X100" s="1088">
        <v>1.02</v>
      </c>
      <c r="Y100" s="1088"/>
      <c r="Z100" s="1088"/>
      <c r="AA100" s="1088"/>
      <c r="AB100" s="1088"/>
      <c r="AC100" s="1088"/>
      <c r="AD100" s="1088">
        <v>0.85000000000000009</v>
      </c>
      <c r="AE100" s="1088"/>
      <c r="AF100" s="1088"/>
      <c r="AG100" s="1088"/>
      <c r="AH100" s="1088"/>
      <c r="AI100" s="1088"/>
      <c r="AJ100" s="1088">
        <v>0.85000000000000009</v>
      </c>
      <c r="AK100" s="1088"/>
      <c r="AL100" s="1088"/>
      <c r="AM100" s="1088"/>
      <c r="AN100" s="1088"/>
      <c r="AO100" s="1088"/>
      <c r="AP100" s="1088"/>
      <c r="AQ100" s="1088"/>
      <c r="AR100" s="1088"/>
      <c r="AS100" s="1088"/>
      <c r="AT100" s="1088"/>
      <c r="AU100" s="1088">
        <v>0.97</v>
      </c>
      <c r="AV100" s="1088"/>
      <c r="AW100" s="1088"/>
      <c r="AX100" s="1088"/>
      <c r="AY100" s="1088"/>
      <c r="AZ100" s="1088"/>
      <c r="BA100" s="1088"/>
      <c r="BB100" s="1088"/>
      <c r="BC100" s="1088">
        <v>1.45</v>
      </c>
      <c r="BD100" s="1088"/>
      <c r="BE100" s="1088"/>
      <c r="BF100" s="1088"/>
      <c r="BG100" s="1088">
        <v>1.7800000000000002</v>
      </c>
      <c r="BH100" s="1088"/>
      <c r="BI100" s="1088"/>
      <c r="BJ100" s="1088"/>
      <c r="BK100" s="1088">
        <v>1.61</v>
      </c>
      <c r="BL100" s="1088"/>
      <c r="BM100" s="1088"/>
      <c r="BN100" s="1088"/>
      <c r="BO100" s="1088"/>
    </row>
    <row r="101" spans="1:67" ht="13.5" customHeight="1" x14ac:dyDescent="0.2">
      <c r="A101" s="1083"/>
      <c r="B101" s="1083"/>
      <c r="C101" s="1083"/>
      <c r="D101" s="1083"/>
      <c r="E101" s="1083"/>
      <c r="F101" s="1083"/>
      <c r="G101" s="1083"/>
      <c r="H101" s="1083"/>
      <c r="I101" s="1083"/>
      <c r="J101" s="1083"/>
      <c r="K101" s="1083"/>
      <c r="L101" s="1083"/>
      <c r="M101" s="1083"/>
      <c r="N101" s="1083"/>
      <c r="O101" s="1083"/>
      <c r="P101" s="1083"/>
      <c r="Q101" s="1083"/>
      <c r="R101" s="1083"/>
      <c r="S101" s="1083"/>
      <c r="T101" s="1083"/>
      <c r="U101" s="1083"/>
      <c r="V101" s="1083"/>
      <c r="W101" s="1083"/>
      <c r="X101" s="1083"/>
      <c r="Y101" s="1083"/>
      <c r="Z101" s="1083"/>
      <c r="AA101" s="1083"/>
      <c r="AB101" s="1083"/>
      <c r="AC101" s="1083"/>
      <c r="AD101" s="1083"/>
      <c r="AE101" s="1083"/>
      <c r="AF101" s="1083"/>
      <c r="AG101" s="1083"/>
      <c r="AH101" s="1083"/>
      <c r="AI101" s="1083"/>
      <c r="AJ101" s="1083"/>
      <c r="AK101" s="1083"/>
      <c r="AL101" s="1083"/>
      <c r="AM101" s="1083"/>
      <c r="AN101" s="1083"/>
      <c r="AO101" s="1083"/>
      <c r="AP101" s="1083"/>
      <c r="AQ101" s="1083"/>
      <c r="AR101" s="1083"/>
      <c r="AS101" s="1083"/>
      <c r="AT101" s="1083"/>
      <c r="AU101" s="1083"/>
      <c r="AV101" s="1083"/>
      <c r="AW101" s="1083"/>
      <c r="AX101" s="1083"/>
      <c r="AY101" s="1083"/>
      <c r="AZ101" s="1083"/>
      <c r="BA101" s="1083"/>
      <c r="BB101" s="1083"/>
      <c r="BC101" s="1083"/>
      <c r="BD101" s="1083"/>
      <c r="BE101" s="1083"/>
      <c r="BF101" s="1083"/>
      <c r="BG101" s="1083"/>
      <c r="BH101" s="1083"/>
      <c r="BI101" s="1083"/>
      <c r="BJ101" s="1083"/>
      <c r="BK101" s="1083"/>
      <c r="BL101" s="1083"/>
      <c r="BM101" s="1083"/>
      <c r="BN101" s="1083"/>
      <c r="BO101" s="1083"/>
    </row>
    <row r="102" spans="1:67" ht="13.5" customHeight="1" x14ac:dyDescent="0.2">
      <c r="A102" s="1087" t="s">
        <v>519</v>
      </c>
      <c r="B102" s="1087"/>
      <c r="C102" s="1087"/>
      <c r="D102" s="1087"/>
      <c r="E102" s="1087"/>
      <c r="F102" s="1087"/>
      <c r="G102" s="1087"/>
      <c r="H102" s="1087"/>
      <c r="I102" s="1087"/>
      <c r="J102" s="1087"/>
      <c r="K102" s="1087"/>
      <c r="L102" s="1087"/>
      <c r="M102" s="1087"/>
      <c r="N102" s="1087"/>
      <c r="O102" s="1087"/>
      <c r="P102" s="1087"/>
      <c r="Q102" s="1087"/>
      <c r="R102" s="1087"/>
      <c r="S102" s="1091">
        <v>30</v>
      </c>
      <c r="T102" s="1091"/>
      <c r="U102" s="1091"/>
      <c r="V102" s="1091"/>
      <c r="W102" s="1091"/>
      <c r="X102" s="1091">
        <v>32</v>
      </c>
      <c r="Y102" s="1091"/>
      <c r="Z102" s="1091"/>
      <c r="AA102" s="1091"/>
      <c r="AB102" s="1091"/>
      <c r="AC102" s="1091"/>
      <c r="AD102" s="1091">
        <v>31</v>
      </c>
      <c r="AE102" s="1091"/>
      <c r="AF102" s="1091"/>
      <c r="AG102" s="1091"/>
      <c r="AH102" s="1091"/>
      <c r="AI102" s="1091"/>
      <c r="AJ102" s="1091">
        <v>27</v>
      </c>
      <c r="AK102" s="1091"/>
      <c r="AL102" s="1091"/>
      <c r="AM102" s="1091"/>
      <c r="AN102" s="1091"/>
      <c r="AO102" s="1091"/>
      <c r="AP102" s="1091"/>
      <c r="AQ102" s="1091"/>
      <c r="AR102" s="1091"/>
      <c r="AS102" s="1091"/>
      <c r="AT102" s="1091"/>
      <c r="AU102" s="1091">
        <v>24</v>
      </c>
      <c r="AV102" s="1091"/>
      <c r="AW102" s="1091"/>
      <c r="AX102" s="1091"/>
      <c r="AY102" s="1091"/>
      <c r="AZ102" s="1091"/>
      <c r="BA102" s="1091"/>
      <c r="BB102" s="1091"/>
      <c r="BC102" s="1091">
        <v>25</v>
      </c>
      <c r="BD102" s="1091"/>
      <c r="BE102" s="1091"/>
      <c r="BF102" s="1091"/>
      <c r="BG102" s="1091">
        <v>25</v>
      </c>
      <c r="BH102" s="1091"/>
      <c r="BI102" s="1091"/>
      <c r="BJ102" s="1091"/>
      <c r="BK102" s="1091">
        <v>27</v>
      </c>
      <c r="BL102" s="1091"/>
      <c r="BM102" s="1091"/>
      <c r="BN102" s="1091"/>
      <c r="BO102" s="1091"/>
    </row>
    <row r="103" spans="1:67" ht="13.5" customHeight="1" x14ac:dyDescent="0.2">
      <c r="A103" s="1083"/>
      <c r="B103" s="1083"/>
      <c r="C103" s="1083"/>
      <c r="D103" s="1083"/>
      <c r="E103" s="1083"/>
      <c r="F103" s="1083"/>
      <c r="G103" s="1083"/>
      <c r="H103" s="1083"/>
      <c r="I103" s="1083"/>
      <c r="J103" s="1083"/>
      <c r="K103" s="1083"/>
      <c r="L103" s="1083"/>
      <c r="M103" s="1083"/>
      <c r="N103" s="1083"/>
      <c r="O103" s="1083"/>
      <c r="P103" s="1083"/>
      <c r="Q103" s="1083"/>
      <c r="R103" s="1083"/>
      <c r="S103" s="1083"/>
      <c r="T103" s="1083"/>
      <c r="U103" s="1083"/>
      <c r="V103" s="1083"/>
      <c r="W103" s="1083"/>
      <c r="X103" s="1083"/>
      <c r="Y103" s="1083"/>
      <c r="Z103" s="1083"/>
      <c r="AA103" s="1083"/>
      <c r="AB103" s="1083"/>
      <c r="AC103" s="1083"/>
      <c r="AD103" s="1083"/>
      <c r="AE103" s="1083"/>
      <c r="AF103" s="1083"/>
      <c r="AG103" s="1083"/>
      <c r="AH103" s="1083"/>
      <c r="AI103" s="1083"/>
      <c r="AJ103" s="1083"/>
      <c r="AK103" s="1083"/>
      <c r="AL103" s="1083"/>
      <c r="AM103" s="1083"/>
      <c r="AN103" s="1083"/>
      <c r="AO103" s="1083"/>
      <c r="AP103" s="1083"/>
      <c r="AQ103" s="1083"/>
      <c r="AR103" s="1083"/>
      <c r="AS103" s="1083"/>
      <c r="AT103" s="1083"/>
      <c r="AU103" s="1083"/>
      <c r="AV103" s="1083"/>
      <c r="AW103" s="1083"/>
      <c r="AX103" s="1083"/>
      <c r="AY103" s="1083"/>
      <c r="AZ103" s="1083"/>
      <c r="BA103" s="1083"/>
      <c r="BB103" s="1083"/>
      <c r="BC103" s="1083"/>
      <c r="BD103" s="1083"/>
      <c r="BE103" s="1083"/>
      <c r="BF103" s="1083"/>
      <c r="BG103" s="1083"/>
      <c r="BH103" s="1083"/>
      <c r="BI103" s="1083"/>
      <c r="BJ103" s="1083"/>
      <c r="BK103" s="1083"/>
      <c r="BL103" s="1083"/>
      <c r="BM103" s="1083"/>
      <c r="BN103" s="1083"/>
      <c r="BO103" s="1083"/>
    </row>
    <row r="104" spans="1:67" ht="12.5" customHeight="1" x14ac:dyDescent="0.2">
      <c r="A104" s="1084"/>
      <c r="B104" s="1085"/>
      <c r="C104" s="1085"/>
      <c r="D104" s="1085"/>
      <c r="E104" s="1085"/>
      <c r="F104" s="1085"/>
      <c r="G104" s="1085"/>
      <c r="H104" s="1085"/>
      <c r="I104" s="1085"/>
      <c r="J104" s="1085"/>
      <c r="K104" s="1085"/>
      <c r="L104" s="1085"/>
      <c r="M104" s="1085"/>
      <c r="N104" s="1085"/>
      <c r="O104" s="1085"/>
      <c r="P104" s="1085"/>
      <c r="Q104" s="1085"/>
      <c r="R104" s="1085"/>
      <c r="S104" s="1085"/>
      <c r="T104" s="1085"/>
      <c r="U104" s="1085"/>
      <c r="V104" s="1085"/>
      <c r="W104" s="1085"/>
      <c r="X104" s="1085"/>
      <c r="Y104" s="1085"/>
      <c r="Z104" s="1085"/>
      <c r="AA104" s="1085"/>
      <c r="AB104" s="1085"/>
      <c r="AC104" s="1085"/>
      <c r="AD104" s="1085"/>
      <c r="AE104" s="1085"/>
      <c r="AF104" s="1085"/>
      <c r="AG104" s="1085"/>
      <c r="AH104" s="1085"/>
      <c r="AI104" s="1085"/>
      <c r="AJ104" s="1085"/>
      <c r="AK104" s="1085"/>
      <c r="AL104" s="1085"/>
      <c r="AM104" s="1085"/>
      <c r="AN104" s="1085"/>
      <c r="AO104" s="1085"/>
      <c r="AP104" s="1085"/>
      <c r="AQ104" s="1085"/>
      <c r="AR104" s="1085"/>
      <c r="AS104" s="1085"/>
      <c r="AT104" s="1085"/>
      <c r="AU104" s="1085"/>
      <c r="AV104" s="1085"/>
      <c r="AW104" s="1085"/>
      <c r="AX104" s="1085"/>
    </row>
    <row r="105" spans="1:67" ht="18.25" customHeight="1" x14ac:dyDescent="0.2">
      <c r="A105" s="1020" t="s">
        <v>520</v>
      </c>
      <c r="B105" s="1021"/>
      <c r="C105" s="1021"/>
      <c r="D105" s="1021"/>
      <c r="E105" s="1021"/>
      <c r="F105" s="1021"/>
      <c r="G105" s="1021"/>
      <c r="H105" s="1021"/>
      <c r="I105" s="1021"/>
      <c r="J105" s="1021"/>
      <c r="K105" s="1021"/>
      <c r="L105" s="1021"/>
      <c r="M105" s="1021"/>
      <c r="N105" s="1021"/>
      <c r="O105" s="1021"/>
      <c r="P105" s="1021"/>
      <c r="Q105" s="1021"/>
      <c r="R105" s="1021"/>
      <c r="S105" s="1021"/>
      <c r="T105" s="1021"/>
      <c r="U105" s="1021"/>
      <c r="V105" s="1021"/>
      <c r="W105" s="1021"/>
      <c r="X105" s="1021"/>
      <c r="Y105" s="1021"/>
      <c r="Z105" s="1021"/>
      <c r="AA105" s="1021"/>
      <c r="AB105" s="1021"/>
      <c r="AC105" s="1021"/>
      <c r="AD105" s="1021"/>
      <c r="AE105" s="1021"/>
      <c r="AF105" s="1021"/>
      <c r="AG105" s="1021"/>
      <c r="AH105" s="1021"/>
      <c r="AI105" s="1021"/>
      <c r="AJ105" s="1021"/>
      <c r="AK105" s="1021"/>
      <c r="AL105" s="1021"/>
      <c r="AM105" s="1021"/>
      <c r="AN105" s="1021"/>
      <c r="AO105" s="1021"/>
      <c r="AP105" s="1021"/>
      <c r="AQ105" s="1021"/>
      <c r="AR105" s="1021"/>
      <c r="AS105" s="1021"/>
      <c r="AT105" s="1021"/>
      <c r="AU105" s="1021"/>
      <c r="AV105" s="1021"/>
      <c r="AW105" s="1021"/>
      <c r="AX105" s="1021"/>
      <c r="AY105" s="1021"/>
      <c r="AZ105" s="1021"/>
      <c r="BA105" s="1021"/>
      <c r="BB105" s="1021"/>
      <c r="BC105" s="1021"/>
      <c r="BD105" s="1021"/>
      <c r="BE105" s="1021"/>
      <c r="BF105" s="1021"/>
      <c r="BG105" s="1021"/>
      <c r="BH105" s="1021"/>
      <c r="BI105" s="1021"/>
      <c r="BJ105" s="1021"/>
      <c r="BK105" s="1021"/>
      <c r="BL105" s="1021"/>
      <c r="BM105" s="1021"/>
      <c r="BN105" s="1021"/>
    </row>
    <row r="106" spans="1:67" ht="12.5" customHeight="1" x14ac:dyDescent="0.2">
      <c r="A106" s="1022"/>
      <c r="B106" s="1023"/>
      <c r="C106" s="1023"/>
      <c r="D106" s="1023"/>
      <c r="E106" s="1023"/>
      <c r="F106" s="1023"/>
      <c r="G106" s="1023"/>
      <c r="H106" s="1023"/>
      <c r="I106" s="1023"/>
      <c r="J106" s="1023"/>
      <c r="K106" s="1023"/>
      <c r="L106" s="1023"/>
      <c r="M106" s="1023"/>
      <c r="N106" s="1023"/>
      <c r="O106" s="1023"/>
      <c r="P106" s="1023"/>
      <c r="Q106" s="1023"/>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c r="AX106" s="1023"/>
    </row>
    <row r="107" spans="1:67" ht="13.5" customHeight="1" x14ac:dyDescent="0.2">
      <c r="A107" s="1100" t="s">
        <v>456</v>
      </c>
      <c r="B107" s="1100"/>
      <c r="C107" s="1100"/>
      <c r="D107" s="1100"/>
      <c r="E107" s="1100"/>
      <c r="F107" s="1100"/>
      <c r="G107" s="1100"/>
      <c r="H107" s="1100"/>
      <c r="I107" s="1100"/>
      <c r="J107" s="1100"/>
      <c r="K107" s="1100"/>
      <c r="L107" s="1100"/>
      <c r="M107" s="1100"/>
      <c r="N107" s="1100"/>
      <c r="O107" s="1100"/>
      <c r="P107" s="1100"/>
      <c r="Q107" s="1100"/>
      <c r="R107" s="1100"/>
      <c r="S107" s="1070"/>
      <c r="T107" s="1099" t="s">
        <v>450</v>
      </c>
      <c r="U107" s="1099"/>
      <c r="V107" s="1099"/>
      <c r="W107" s="1099"/>
      <c r="X107" s="1070"/>
      <c r="Y107" s="1099" t="s">
        <v>495</v>
      </c>
      <c r="Z107" s="1099"/>
      <c r="AA107" s="1099"/>
      <c r="AB107" s="1099"/>
      <c r="AC107" s="1099"/>
      <c r="AD107" s="1070"/>
      <c r="AE107" s="1099" t="s">
        <v>496</v>
      </c>
      <c r="AF107" s="1099"/>
      <c r="AG107" s="1099"/>
      <c r="AH107" s="1099"/>
      <c r="AI107" s="1099"/>
      <c r="AJ107" s="1070"/>
      <c r="AK107" s="1070"/>
      <c r="AL107" s="1099" t="s">
        <v>497</v>
      </c>
      <c r="AM107" s="1099"/>
      <c r="AN107" s="1099"/>
      <c r="AO107" s="1099"/>
      <c r="AP107" s="1099"/>
      <c r="AQ107" s="1099"/>
      <c r="AR107" s="1099"/>
      <c r="AS107" s="1099"/>
      <c r="AT107" s="1099"/>
      <c r="AU107" s="1070"/>
      <c r="AV107" s="1099" t="s">
        <v>498</v>
      </c>
      <c r="AW107" s="1099"/>
      <c r="AX107" s="1099"/>
      <c r="AY107" s="1099"/>
      <c r="AZ107" s="1099"/>
      <c r="BA107" s="1099"/>
      <c r="BB107" s="1099"/>
      <c r="BC107" s="1070"/>
      <c r="BD107" s="1099" t="s">
        <v>499</v>
      </c>
      <c r="BE107" s="1099"/>
      <c r="BF107" s="1099"/>
      <c r="BG107" s="1070"/>
      <c r="BH107" s="1099" t="s">
        <v>500</v>
      </c>
      <c r="BI107" s="1099"/>
      <c r="BJ107" s="1099"/>
      <c r="BK107" s="1070"/>
      <c r="BL107" s="1099" t="s">
        <v>501</v>
      </c>
      <c r="BM107" s="1099"/>
      <c r="BN107" s="1099"/>
      <c r="BO107" s="1099"/>
    </row>
    <row r="108" spans="1:67" ht="13.5" customHeight="1" x14ac:dyDescent="0.2">
      <c r="A108" s="1101"/>
      <c r="B108" s="1101"/>
      <c r="C108" s="1101"/>
      <c r="D108" s="1101"/>
      <c r="E108" s="1101"/>
      <c r="F108" s="1101"/>
      <c r="G108" s="1101"/>
      <c r="H108" s="1101"/>
      <c r="I108" s="1101"/>
      <c r="J108" s="1101"/>
      <c r="K108" s="1101"/>
      <c r="L108" s="1101"/>
      <c r="M108" s="1101"/>
      <c r="N108" s="1101"/>
      <c r="O108" s="1101"/>
      <c r="P108" s="1101"/>
      <c r="Q108" s="1101"/>
      <c r="R108" s="1101"/>
      <c r="S108" s="1098"/>
      <c r="T108" s="1096" t="s">
        <v>502</v>
      </c>
      <c r="U108" s="1096"/>
      <c r="V108" s="1096"/>
      <c r="W108" s="1096"/>
      <c r="X108" s="1098"/>
      <c r="Y108" s="1096" t="s">
        <v>502</v>
      </c>
      <c r="Z108" s="1096"/>
      <c r="AA108" s="1096"/>
      <c r="AB108" s="1096"/>
      <c r="AC108" s="1096"/>
      <c r="AD108" s="1098"/>
      <c r="AE108" s="1096" t="s">
        <v>502</v>
      </c>
      <c r="AF108" s="1096"/>
      <c r="AG108" s="1096"/>
      <c r="AH108" s="1096"/>
      <c r="AI108" s="1096"/>
      <c r="AJ108" s="1098"/>
      <c r="AK108" s="1098"/>
      <c r="AL108" s="1096" t="s">
        <v>502</v>
      </c>
      <c r="AM108" s="1096"/>
      <c r="AN108" s="1096"/>
      <c r="AO108" s="1096"/>
      <c r="AP108" s="1096"/>
      <c r="AQ108" s="1096"/>
      <c r="AR108" s="1096"/>
      <c r="AS108" s="1096"/>
      <c r="AT108" s="1096"/>
      <c r="AU108" s="1098"/>
      <c r="AV108" s="1096" t="s">
        <v>502</v>
      </c>
      <c r="AW108" s="1096"/>
      <c r="AX108" s="1096"/>
      <c r="AY108" s="1096"/>
      <c r="AZ108" s="1096"/>
      <c r="BA108" s="1096"/>
      <c r="BB108" s="1096"/>
      <c r="BC108" s="1098"/>
      <c r="BD108" s="1096" t="s">
        <v>502</v>
      </c>
      <c r="BE108" s="1096"/>
      <c r="BF108" s="1096"/>
      <c r="BG108" s="1098"/>
      <c r="BH108" s="1096" t="s">
        <v>502</v>
      </c>
      <c r="BI108" s="1096"/>
      <c r="BJ108" s="1096"/>
      <c r="BK108" s="1098"/>
      <c r="BL108" s="1096" t="s">
        <v>502</v>
      </c>
      <c r="BM108" s="1096"/>
      <c r="BN108" s="1096"/>
      <c r="BO108" s="1096"/>
    </row>
    <row r="109" spans="1:67" ht="13.5" customHeight="1" x14ac:dyDescent="0.2">
      <c r="U109" s="1097" t="s">
        <v>503</v>
      </c>
      <c r="V109" s="1097"/>
      <c r="W109" s="1097"/>
      <c r="Z109" s="1097" t="s">
        <v>503</v>
      </c>
      <c r="AA109" s="1097"/>
      <c r="AB109" s="1097"/>
      <c r="AC109" s="1097"/>
      <c r="AF109" s="1097" t="s">
        <v>503</v>
      </c>
      <c r="AG109" s="1097"/>
      <c r="AH109" s="1097"/>
      <c r="AI109" s="1097"/>
      <c r="AM109" s="1097" t="s">
        <v>503</v>
      </c>
      <c r="AN109" s="1097"/>
      <c r="AO109" s="1097"/>
      <c r="AP109" s="1097"/>
      <c r="AQ109" s="1097"/>
      <c r="AR109" s="1097"/>
      <c r="AS109" s="1097"/>
      <c r="AT109" s="1097"/>
      <c r="AX109" s="1097" t="s">
        <v>503</v>
      </c>
      <c r="AY109" s="1097"/>
      <c r="AZ109" s="1097"/>
      <c r="BA109" s="1097"/>
      <c r="BB109" s="1097"/>
      <c r="BE109" s="1097" t="s">
        <v>503</v>
      </c>
      <c r="BF109" s="1097"/>
      <c r="BI109" s="1097" t="s">
        <v>503</v>
      </c>
      <c r="BJ109" s="1097"/>
      <c r="BM109" s="1097" t="s">
        <v>503</v>
      </c>
      <c r="BN109" s="1097"/>
      <c r="BO109" s="1097"/>
    </row>
    <row r="110" spans="1:67" ht="13.5" customHeight="1" x14ac:dyDescent="0.2">
      <c r="U110" s="1030" t="s">
        <v>458</v>
      </c>
      <c r="V110" s="1030"/>
      <c r="W110" s="1030"/>
      <c r="Z110" s="1030" t="s">
        <v>458</v>
      </c>
      <c r="AA110" s="1030"/>
      <c r="AB110" s="1030"/>
      <c r="AC110" s="1030"/>
      <c r="AF110" s="1030" t="s">
        <v>458</v>
      </c>
      <c r="AG110" s="1030"/>
      <c r="AH110" s="1030"/>
      <c r="AI110" s="1030"/>
      <c r="AM110" s="1030" t="s">
        <v>458</v>
      </c>
      <c r="AN110" s="1030"/>
      <c r="AO110" s="1030"/>
      <c r="AP110" s="1030"/>
      <c r="AQ110" s="1030"/>
      <c r="AR110" s="1030"/>
      <c r="AS110" s="1030"/>
      <c r="AT110" s="1030"/>
      <c r="AX110" s="1030" t="s">
        <v>458</v>
      </c>
      <c r="AY110" s="1030"/>
      <c r="AZ110" s="1030"/>
      <c r="BA110" s="1030"/>
      <c r="BB110" s="1030"/>
      <c r="BE110" s="1030" t="s">
        <v>458</v>
      </c>
      <c r="BF110" s="1030"/>
      <c r="BI110" s="1030" t="s">
        <v>458</v>
      </c>
      <c r="BJ110" s="1030"/>
      <c r="BM110" s="1030" t="s">
        <v>458</v>
      </c>
      <c r="BN110" s="1030"/>
      <c r="BO110" s="1030"/>
    </row>
    <row r="111" spans="1:67" ht="13.5" customHeight="1" x14ac:dyDescent="0.2">
      <c r="U111" s="1095" t="s">
        <v>504</v>
      </c>
      <c r="V111" s="1095"/>
      <c r="W111" s="1095"/>
      <c r="Z111" s="1095" t="s">
        <v>504</v>
      </c>
      <c r="AA111" s="1095"/>
      <c r="AB111" s="1095"/>
      <c r="AC111" s="1095"/>
      <c r="AF111" s="1095" t="s">
        <v>504</v>
      </c>
      <c r="AG111" s="1095"/>
      <c r="AH111" s="1095"/>
      <c r="AI111" s="1095"/>
      <c r="AM111" s="1095" t="s">
        <v>504</v>
      </c>
      <c r="AN111" s="1095"/>
      <c r="AO111" s="1095"/>
      <c r="AP111" s="1095"/>
      <c r="AQ111" s="1095"/>
      <c r="AR111" s="1095"/>
      <c r="AS111" s="1095"/>
      <c r="AT111" s="1095"/>
      <c r="AX111" s="1095" t="s">
        <v>504</v>
      </c>
      <c r="AY111" s="1095"/>
      <c r="AZ111" s="1095"/>
      <c r="BA111" s="1095"/>
      <c r="BB111" s="1095"/>
      <c r="BE111" s="1095" t="s">
        <v>504</v>
      </c>
      <c r="BF111" s="1095"/>
      <c r="BI111" s="1095" t="s">
        <v>504</v>
      </c>
      <c r="BJ111" s="1095"/>
      <c r="BM111" s="1095" t="s">
        <v>504</v>
      </c>
      <c r="BN111" s="1095"/>
      <c r="BO111" s="1095"/>
    </row>
    <row r="112" spans="1:67" ht="40.75" customHeight="1" x14ac:dyDescent="0.2">
      <c r="S112" s="1093"/>
      <c r="T112" s="1093"/>
      <c r="U112" s="1083"/>
      <c r="V112" s="1083"/>
      <c r="W112" s="1083"/>
      <c r="X112" s="1093"/>
      <c r="Y112" s="1093"/>
      <c r="Z112" s="1083"/>
      <c r="AA112" s="1083"/>
      <c r="AB112" s="1083"/>
      <c r="AC112" s="1083"/>
      <c r="AD112" s="1093"/>
      <c r="AE112" s="1093"/>
      <c r="AF112" s="1083"/>
      <c r="AG112" s="1083"/>
      <c r="AH112" s="1083"/>
      <c r="AI112" s="1083"/>
      <c r="AJ112" s="1093"/>
      <c r="AK112" s="1093"/>
      <c r="AL112" s="1093"/>
      <c r="AM112" s="1083"/>
      <c r="AN112" s="1083"/>
      <c r="AO112" s="1083"/>
      <c r="AP112" s="1083"/>
      <c r="AQ112" s="1083"/>
      <c r="AR112" s="1083"/>
      <c r="AS112" s="1083"/>
      <c r="AT112" s="1083"/>
      <c r="AU112" s="1093"/>
      <c r="AV112" s="1093"/>
      <c r="AW112" s="1093"/>
      <c r="AX112" s="1083"/>
      <c r="AY112" s="1083"/>
      <c r="AZ112" s="1083"/>
      <c r="BA112" s="1083"/>
      <c r="BB112" s="1083"/>
      <c r="BC112" s="1093"/>
      <c r="BD112" s="1093"/>
      <c r="BE112" s="1083"/>
      <c r="BF112" s="1083"/>
      <c r="BG112" s="1093"/>
      <c r="BH112" s="1093"/>
      <c r="BI112" s="1083"/>
      <c r="BJ112" s="1083"/>
      <c r="BK112" s="1093"/>
      <c r="BL112" s="1093"/>
      <c r="BM112" s="1083"/>
      <c r="BN112" s="1083"/>
      <c r="BO112" s="1083"/>
    </row>
    <row r="113" spans="1:71" ht="13.5" customHeight="1" x14ac:dyDescent="0.2">
      <c r="A113" s="1094" t="s">
        <v>521</v>
      </c>
      <c r="B113" s="1094"/>
      <c r="C113" s="1094"/>
      <c r="D113" s="1094"/>
      <c r="E113" s="1094"/>
      <c r="F113" s="1094"/>
      <c r="G113" s="1094"/>
      <c r="H113" s="1094"/>
      <c r="I113" s="1094"/>
      <c r="J113" s="1094"/>
      <c r="K113" s="1094"/>
      <c r="L113" s="1094"/>
      <c r="M113" s="1094"/>
      <c r="N113" s="1094"/>
      <c r="O113" s="1094"/>
      <c r="P113" s="1094"/>
      <c r="Q113" s="1094"/>
      <c r="R113" s="1094"/>
      <c r="S113" s="1089"/>
      <c r="T113" s="1089"/>
      <c r="U113" s="1089"/>
      <c r="V113" s="1089"/>
      <c r="W113" s="1089"/>
      <c r="X113" s="1089"/>
      <c r="Y113" s="1089"/>
      <c r="Z113" s="1089"/>
      <c r="AA113" s="1089"/>
      <c r="AB113" s="1089"/>
      <c r="AC113" s="1089"/>
      <c r="AD113" s="1089"/>
      <c r="AE113" s="1089"/>
      <c r="AF113" s="1089"/>
      <c r="AG113" s="1089"/>
      <c r="AH113" s="1089"/>
      <c r="AI113" s="1089"/>
      <c r="AJ113" s="1089"/>
      <c r="AK113" s="1089"/>
      <c r="AL113" s="1089"/>
      <c r="AM113" s="1089"/>
      <c r="AN113" s="1089"/>
      <c r="AO113" s="1089"/>
      <c r="AP113" s="1089"/>
      <c r="AQ113" s="1089"/>
      <c r="AR113" s="1089"/>
      <c r="AS113" s="1089"/>
      <c r="AT113" s="1089"/>
      <c r="AU113" s="1089"/>
      <c r="AV113" s="1089"/>
      <c r="AW113" s="1089"/>
      <c r="AX113" s="1089"/>
      <c r="AY113" s="1089"/>
      <c r="AZ113" s="1089"/>
      <c r="BA113" s="1089"/>
      <c r="BB113" s="1089"/>
      <c r="BC113" s="1089"/>
      <c r="BD113" s="1089"/>
      <c r="BE113" s="1089"/>
      <c r="BF113" s="1089"/>
      <c r="BG113" s="1089"/>
      <c r="BH113" s="1089"/>
      <c r="BI113" s="1089"/>
      <c r="BJ113" s="1089"/>
      <c r="BK113" s="1089"/>
      <c r="BL113" s="1089"/>
      <c r="BM113" s="1089"/>
      <c r="BN113" s="1089"/>
      <c r="BO113" s="1089"/>
    </row>
    <row r="114" spans="1:71" ht="13.5" customHeight="1" x14ac:dyDescent="0.2">
      <c r="A114" s="1087" t="s">
        <v>522</v>
      </c>
      <c r="B114" s="1087"/>
      <c r="C114" s="1087"/>
      <c r="D114" s="1087"/>
      <c r="E114" s="1087"/>
      <c r="F114" s="1087"/>
      <c r="G114" s="1087"/>
      <c r="H114" s="1087"/>
      <c r="I114" s="1087"/>
      <c r="J114" s="1087"/>
      <c r="K114" s="1087"/>
      <c r="L114" s="1087"/>
      <c r="M114" s="1087"/>
      <c r="N114" s="1087"/>
      <c r="O114" s="1087"/>
      <c r="P114" s="1087"/>
      <c r="Q114" s="1087"/>
      <c r="R114" s="1087"/>
      <c r="S114" s="1086">
        <v>0</v>
      </c>
      <c r="T114" s="1086"/>
      <c r="U114" s="1086"/>
      <c r="V114" s="1086"/>
      <c r="W114" s="1086"/>
      <c r="X114" s="1086">
        <v>0</v>
      </c>
      <c r="Y114" s="1086"/>
      <c r="Z114" s="1086"/>
      <c r="AA114" s="1086"/>
      <c r="AB114" s="1086"/>
      <c r="AC114" s="1086"/>
      <c r="AD114" s="1086">
        <v>0</v>
      </c>
      <c r="AE114" s="1086"/>
      <c r="AF114" s="1086"/>
      <c r="AG114" s="1086"/>
      <c r="AH114" s="1086"/>
      <c r="AI114" s="1086"/>
      <c r="AJ114" s="1086">
        <v>0</v>
      </c>
      <c r="AK114" s="1086"/>
      <c r="AL114" s="1086"/>
      <c r="AM114" s="1086"/>
      <c r="AN114" s="1086"/>
      <c r="AO114" s="1086"/>
      <c r="AP114" s="1086"/>
      <c r="AQ114" s="1086"/>
      <c r="AR114" s="1086"/>
      <c r="AS114" s="1086"/>
      <c r="AT114" s="1086"/>
      <c r="AU114" s="1086">
        <v>0</v>
      </c>
      <c r="AV114" s="1086"/>
      <c r="AW114" s="1086"/>
      <c r="AX114" s="1086"/>
      <c r="AY114" s="1086"/>
      <c r="AZ114" s="1086"/>
      <c r="BA114" s="1086"/>
      <c r="BB114" s="1086"/>
      <c r="BC114" s="1086">
        <v>0</v>
      </c>
      <c r="BD114" s="1086"/>
      <c r="BE114" s="1086"/>
      <c r="BF114" s="1086"/>
      <c r="BG114" s="1086">
        <v>0</v>
      </c>
      <c r="BH114" s="1086"/>
      <c r="BI114" s="1086"/>
      <c r="BJ114" s="1086"/>
      <c r="BK114" s="1086">
        <v>0</v>
      </c>
      <c r="BL114" s="1086"/>
      <c r="BM114" s="1086"/>
      <c r="BN114" s="1086"/>
      <c r="BO114" s="1086"/>
    </row>
    <row r="115" spans="1:71" ht="13.5" customHeight="1" x14ac:dyDescent="0.2">
      <c r="A115" s="1087" t="s">
        <v>523</v>
      </c>
      <c r="B115" s="1087"/>
      <c r="C115" s="1087"/>
      <c r="D115" s="1087"/>
      <c r="E115" s="1087"/>
      <c r="F115" s="1087"/>
      <c r="G115" s="1087"/>
      <c r="H115" s="1087"/>
      <c r="I115" s="1087"/>
      <c r="J115" s="1087"/>
      <c r="K115" s="1087"/>
      <c r="L115" s="1087"/>
      <c r="M115" s="1087"/>
      <c r="N115" s="1087"/>
      <c r="O115" s="1087"/>
      <c r="P115" s="1087"/>
      <c r="Q115" s="1087"/>
      <c r="R115" s="1087"/>
      <c r="S115" s="1086">
        <v>0</v>
      </c>
      <c r="T115" s="1086"/>
      <c r="U115" s="1086"/>
      <c r="V115" s="1086"/>
      <c r="W115" s="1086"/>
      <c r="X115" s="1086">
        <v>0</v>
      </c>
      <c r="Y115" s="1086"/>
      <c r="Z115" s="1086"/>
      <c r="AA115" s="1086"/>
      <c r="AB115" s="1086"/>
      <c r="AC115" s="1086"/>
      <c r="AD115" s="1086">
        <v>0</v>
      </c>
      <c r="AE115" s="1086"/>
      <c r="AF115" s="1086"/>
      <c r="AG115" s="1086"/>
      <c r="AH115" s="1086"/>
      <c r="AI115" s="1086"/>
      <c r="AJ115" s="1086">
        <v>0</v>
      </c>
      <c r="AK115" s="1086"/>
      <c r="AL115" s="1086"/>
      <c r="AM115" s="1086"/>
      <c r="AN115" s="1086"/>
      <c r="AO115" s="1086"/>
      <c r="AP115" s="1086"/>
      <c r="AQ115" s="1086"/>
      <c r="AR115" s="1086"/>
      <c r="AS115" s="1086"/>
      <c r="AT115" s="1086"/>
      <c r="AU115" s="1086">
        <v>0</v>
      </c>
      <c r="AV115" s="1086"/>
      <c r="AW115" s="1086"/>
      <c r="AX115" s="1086"/>
      <c r="AY115" s="1086"/>
      <c r="AZ115" s="1086"/>
      <c r="BA115" s="1086"/>
      <c r="BB115" s="1086"/>
      <c r="BC115" s="1086">
        <v>0</v>
      </c>
      <c r="BD115" s="1086"/>
      <c r="BE115" s="1086"/>
      <c r="BF115" s="1086"/>
      <c r="BG115" s="1086">
        <v>0</v>
      </c>
      <c r="BH115" s="1086"/>
      <c r="BI115" s="1086"/>
      <c r="BJ115" s="1086"/>
      <c r="BK115" s="1086">
        <v>0</v>
      </c>
      <c r="BL115" s="1086"/>
      <c r="BM115" s="1086"/>
      <c r="BN115" s="1086"/>
      <c r="BO115" s="1086"/>
    </row>
    <row r="116" spans="1:71" ht="13.5" customHeight="1" x14ac:dyDescent="0.2">
      <c r="A116" s="1083"/>
      <c r="B116" s="1083"/>
      <c r="C116" s="1083"/>
      <c r="D116" s="1083"/>
      <c r="E116" s="1083"/>
      <c r="F116" s="1083"/>
      <c r="G116" s="1083"/>
      <c r="H116" s="1083"/>
      <c r="I116" s="1083"/>
      <c r="J116" s="1083"/>
      <c r="K116" s="1083"/>
      <c r="L116" s="1083"/>
      <c r="M116" s="1083"/>
      <c r="N116" s="1083"/>
      <c r="O116" s="1083"/>
      <c r="P116" s="1083"/>
      <c r="Q116" s="1083"/>
      <c r="R116" s="1083"/>
      <c r="S116" s="1083"/>
      <c r="T116" s="1083"/>
      <c r="U116" s="1083"/>
      <c r="V116" s="1083"/>
      <c r="W116" s="1083"/>
      <c r="X116" s="1083"/>
      <c r="Y116" s="1083"/>
      <c r="Z116" s="1083"/>
      <c r="AA116" s="1083"/>
      <c r="AB116" s="1083"/>
      <c r="AC116" s="1083"/>
      <c r="AD116" s="1083"/>
      <c r="AE116" s="1083"/>
      <c r="AF116" s="1083"/>
      <c r="AG116" s="1083"/>
      <c r="AH116" s="1083"/>
      <c r="AI116" s="1083"/>
      <c r="AJ116" s="1083"/>
      <c r="AK116" s="1083"/>
      <c r="AL116" s="1083"/>
      <c r="AM116" s="1083"/>
      <c r="AN116" s="1083"/>
      <c r="AO116" s="1083"/>
      <c r="AP116" s="1083"/>
      <c r="AQ116" s="1083"/>
      <c r="AR116" s="1083"/>
      <c r="AS116" s="1083"/>
      <c r="AT116" s="1083"/>
      <c r="AU116" s="1083"/>
      <c r="AV116" s="1083"/>
      <c r="AW116" s="1083"/>
      <c r="AX116" s="1083"/>
      <c r="AY116" s="1083"/>
      <c r="AZ116" s="1083"/>
      <c r="BA116" s="1083"/>
      <c r="BB116" s="1083"/>
      <c r="BC116" s="1083"/>
      <c r="BD116" s="1083"/>
      <c r="BE116" s="1083"/>
      <c r="BF116" s="1083"/>
      <c r="BG116" s="1083"/>
      <c r="BH116" s="1083"/>
      <c r="BI116" s="1083"/>
      <c r="BJ116" s="1083"/>
      <c r="BK116" s="1083"/>
      <c r="BL116" s="1083"/>
      <c r="BM116" s="1083"/>
      <c r="BN116" s="1083"/>
      <c r="BO116" s="1083"/>
      <c r="BQ116" s="366"/>
    </row>
    <row r="117" spans="1:71" ht="26" customHeight="1" x14ac:dyDescent="0.2">
      <c r="A117" s="1087" t="s">
        <v>524</v>
      </c>
      <c r="B117" s="1087"/>
      <c r="C117" s="1087"/>
      <c r="D117" s="1087"/>
      <c r="E117" s="1087"/>
      <c r="F117" s="1087"/>
      <c r="G117" s="1087"/>
      <c r="H117" s="1087"/>
      <c r="I117" s="1087"/>
      <c r="J117" s="1087"/>
      <c r="K117" s="1087"/>
      <c r="L117" s="1087"/>
      <c r="M117" s="1087"/>
      <c r="N117" s="1087"/>
      <c r="O117" s="1087"/>
      <c r="P117" s="1087"/>
      <c r="Q117" s="1087"/>
      <c r="R117" s="1087"/>
      <c r="S117" s="1086">
        <v>8842950</v>
      </c>
      <c r="T117" s="1086"/>
      <c r="U117" s="1086"/>
      <c r="V117" s="1086"/>
      <c r="W117" s="1086"/>
      <c r="X117" s="1086">
        <v>9182852</v>
      </c>
      <c r="Y117" s="1086"/>
      <c r="Z117" s="1086"/>
      <c r="AA117" s="1086"/>
      <c r="AB117" s="1086"/>
      <c r="AC117" s="1086"/>
      <c r="AD117" s="1086">
        <v>9614947</v>
      </c>
      <c r="AE117" s="1086"/>
      <c r="AF117" s="1086"/>
      <c r="AG117" s="1086"/>
      <c r="AH117" s="1086"/>
      <c r="AI117" s="1086"/>
      <c r="AJ117" s="1086">
        <v>9565702</v>
      </c>
      <c r="AK117" s="1086"/>
      <c r="AL117" s="1086"/>
      <c r="AM117" s="1086"/>
      <c r="AN117" s="1086"/>
      <c r="AO117" s="1086"/>
      <c r="AP117" s="1086"/>
      <c r="AQ117" s="1086"/>
      <c r="AR117" s="1086"/>
      <c r="AS117" s="1086"/>
      <c r="AT117" s="1086"/>
      <c r="AU117" s="1086">
        <v>7073181</v>
      </c>
      <c r="AV117" s="1086"/>
      <c r="AW117" s="1086"/>
      <c r="AX117" s="1086"/>
      <c r="AY117" s="1086"/>
      <c r="AZ117" s="1086"/>
      <c r="BA117" s="1086"/>
      <c r="BB117" s="1086"/>
      <c r="BC117" s="1086">
        <v>2616289</v>
      </c>
      <c r="BD117" s="1086"/>
      <c r="BE117" s="1086"/>
      <c r="BF117" s="1086"/>
      <c r="BG117" s="1086">
        <v>1201123</v>
      </c>
      <c r="BH117" s="1086"/>
      <c r="BI117" s="1086"/>
      <c r="BJ117" s="1086"/>
      <c r="BK117" s="1086">
        <v>908499</v>
      </c>
      <c r="BL117" s="1086"/>
      <c r="BM117" s="1086"/>
      <c r="BN117" s="1086"/>
      <c r="BO117" s="1086"/>
      <c r="BP117" s="5" t="s">
        <v>1440</v>
      </c>
      <c r="BQ117" s="366">
        <f>S331+S332</f>
        <v>916802</v>
      </c>
      <c r="BR117" s="366">
        <f>X332+X331</f>
        <v>899828</v>
      </c>
      <c r="BS117" s="366">
        <f>AD331+AD332</f>
        <v>856051</v>
      </c>
    </row>
    <row r="118" spans="1:71" ht="13.5" customHeight="1" x14ac:dyDescent="0.2">
      <c r="A118" s="1087" t="s">
        <v>525</v>
      </c>
      <c r="B118" s="1087"/>
      <c r="C118" s="1087"/>
      <c r="D118" s="1087"/>
      <c r="E118" s="1087"/>
      <c r="F118" s="1087"/>
      <c r="G118" s="1087"/>
      <c r="H118" s="1087"/>
      <c r="I118" s="1087"/>
      <c r="J118" s="1087"/>
      <c r="K118" s="1087"/>
      <c r="L118" s="1087"/>
      <c r="M118" s="1087"/>
      <c r="N118" s="1087"/>
      <c r="O118" s="1087"/>
      <c r="P118" s="1087"/>
      <c r="Q118" s="1087"/>
      <c r="R118" s="1087"/>
      <c r="S118" s="1086">
        <v>89523</v>
      </c>
      <c r="T118" s="1086"/>
      <c r="U118" s="1086"/>
      <c r="V118" s="1086"/>
      <c r="W118" s="1086"/>
      <c r="X118" s="1086">
        <v>106380</v>
      </c>
      <c r="Y118" s="1086"/>
      <c r="Z118" s="1086"/>
      <c r="AA118" s="1086"/>
      <c r="AB118" s="1086"/>
      <c r="AC118" s="1086"/>
      <c r="AD118" s="1086">
        <v>139717</v>
      </c>
      <c r="AE118" s="1086"/>
      <c r="AF118" s="1086"/>
      <c r="AG118" s="1086"/>
      <c r="AH118" s="1086"/>
      <c r="AI118" s="1086"/>
      <c r="AJ118" s="1086">
        <v>76490</v>
      </c>
      <c r="AK118" s="1086"/>
      <c r="AL118" s="1086"/>
      <c r="AM118" s="1086"/>
      <c r="AN118" s="1086"/>
      <c r="AO118" s="1086"/>
      <c r="AP118" s="1086"/>
      <c r="AQ118" s="1086"/>
      <c r="AR118" s="1086"/>
      <c r="AS118" s="1086"/>
      <c r="AT118" s="1086"/>
      <c r="AU118" s="1086">
        <v>33453</v>
      </c>
      <c r="AV118" s="1086"/>
      <c r="AW118" s="1086"/>
      <c r="AX118" s="1086"/>
      <c r="AY118" s="1086"/>
      <c r="AZ118" s="1086"/>
      <c r="BA118" s="1086"/>
      <c r="BB118" s="1086"/>
      <c r="BC118" s="1086">
        <v>7543</v>
      </c>
      <c r="BD118" s="1086"/>
      <c r="BE118" s="1086"/>
      <c r="BF118" s="1086"/>
      <c r="BG118" s="1086">
        <v>0</v>
      </c>
      <c r="BH118" s="1086"/>
      <c r="BI118" s="1086"/>
      <c r="BJ118" s="1086"/>
      <c r="BK118" s="1086">
        <v>1977</v>
      </c>
      <c r="BL118" s="1086"/>
      <c r="BM118" s="1086"/>
      <c r="BN118" s="1086"/>
      <c r="BO118" s="1086"/>
      <c r="BP118" s="5" t="s">
        <v>1441</v>
      </c>
      <c r="BQ118" s="366">
        <f>S117-X117</f>
        <v>-339902</v>
      </c>
      <c r="BR118" s="366">
        <f>X117-AD117</f>
        <v>-432095</v>
      </c>
      <c r="BS118" s="366">
        <f>AD117-AJ117</f>
        <v>49245</v>
      </c>
    </row>
    <row r="119" spans="1:71" ht="13.5" customHeight="1" x14ac:dyDescent="0.2">
      <c r="A119" s="1087" t="s">
        <v>526</v>
      </c>
      <c r="B119" s="1087"/>
      <c r="C119" s="1087"/>
      <c r="D119" s="1087"/>
      <c r="E119" s="1087"/>
      <c r="F119" s="1087"/>
      <c r="G119" s="1087"/>
      <c r="H119" s="1087"/>
      <c r="I119" s="1087"/>
      <c r="J119" s="1087"/>
      <c r="K119" s="1087"/>
      <c r="L119" s="1087"/>
      <c r="M119" s="1087"/>
      <c r="N119" s="1087"/>
      <c r="O119" s="1087"/>
      <c r="P119" s="1087"/>
      <c r="Q119" s="1087"/>
      <c r="R119" s="1087"/>
      <c r="S119" s="1086">
        <v>0</v>
      </c>
      <c r="T119" s="1086"/>
      <c r="U119" s="1086"/>
      <c r="V119" s="1086"/>
      <c r="W119" s="1086"/>
      <c r="X119" s="1086">
        <v>0</v>
      </c>
      <c r="Y119" s="1086"/>
      <c r="Z119" s="1086"/>
      <c r="AA119" s="1086"/>
      <c r="AB119" s="1086"/>
      <c r="AC119" s="1086"/>
      <c r="AD119" s="1086">
        <v>0</v>
      </c>
      <c r="AE119" s="1086"/>
      <c r="AF119" s="1086"/>
      <c r="AG119" s="1086"/>
      <c r="AH119" s="1086"/>
      <c r="AI119" s="1086"/>
      <c r="AJ119" s="1086">
        <v>0</v>
      </c>
      <c r="AK119" s="1086"/>
      <c r="AL119" s="1086"/>
      <c r="AM119" s="1086"/>
      <c r="AN119" s="1086"/>
      <c r="AO119" s="1086"/>
      <c r="AP119" s="1086"/>
      <c r="AQ119" s="1086"/>
      <c r="AR119" s="1086"/>
      <c r="AS119" s="1086"/>
      <c r="AT119" s="1086"/>
      <c r="AU119" s="1086">
        <v>0</v>
      </c>
      <c r="AV119" s="1086"/>
      <c r="AW119" s="1086"/>
      <c r="AX119" s="1086"/>
      <c r="AY119" s="1086"/>
      <c r="AZ119" s="1086"/>
      <c r="BA119" s="1086"/>
      <c r="BB119" s="1086"/>
      <c r="BC119" s="1086">
        <v>0</v>
      </c>
      <c r="BD119" s="1086"/>
      <c r="BE119" s="1086"/>
      <c r="BF119" s="1086"/>
      <c r="BG119" s="1086">
        <v>0</v>
      </c>
      <c r="BH119" s="1086"/>
      <c r="BI119" s="1086"/>
      <c r="BJ119" s="1086"/>
      <c r="BK119" s="1086">
        <v>0</v>
      </c>
      <c r="BL119" s="1086"/>
      <c r="BM119" s="1086"/>
      <c r="BN119" s="1086"/>
      <c r="BO119" s="1086"/>
    </row>
    <row r="120" spans="1:71" ht="13.5" customHeight="1" x14ac:dyDescent="0.2">
      <c r="A120" s="1087" t="s">
        <v>527</v>
      </c>
      <c r="B120" s="1087"/>
      <c r="C120" s="1087"/>
      <c r="D120" s="1087"/>
      <c r="E120" s="1087"/>
      <c r="F120" s="1087"/>
      <c r="G120" s="1087"/>
      <c r="H120" s="1087"/>
      <c r="I120" s="1087"/>
      <c r="J120" s="1087"/>
      <c r="K120" s="1087"/>
      <c r="L120" s="1087"/>
      <c r="M120" s="1087"/>
      <c r="N120" s="1087"/>
      <c r="O120" s="1087"/>
      <c r="P120" s="1087"/>
      <c r="Q120" s="1087"/>
      <c r="R120" s="1087"/>
      <c r="S120" s="1086">
        <v>0</v>
      </c>
      <c r="T120" s="1086"/>
      <c r="U120" s="1086"/>
      <c r="V120" s="1086"/>
      <c r="W120" s="1086"/>
      <c r="X120" s="1086">
        <v>0</v>
      </c>
      <c r="Y120" s="1086"/>
      <c r="Z120" s="1086"/>
      <c r="AA120" s="1086"/>
      <c r="AB120" s="1086"/>
      <c r="AC120" s="1086"/>
      <c r="AD120" s="1086">
        <v>0</v>
      </c>
      <c r="AE120" s="1086"/>
      <c r="AF120" s="1086"/>
      <c r="AG120" s="1086"/>
      <c r="AH120" s="1086"/>
      <c r="AI120" s="1086"/>
      <c r="AJ120" s="1086">
        <v>0</v>
      </c>
      <c r="AK120" s="1086"/>
      <c r="AL120" s="1086"/>
      <c r="AM120" s="1086"/>
      <c r="AN120" s="1086"/>
      <c r="AO120" s="1086"/>
      <c r="AP120" s="1086"/>
      <c r="AQ120" s="1086"/>
      <c r="AR120" s="1086"/>
      <c r="AS120" s="1086"/>
      <c r="AT120" s="1086"/>
      <c r="AU120" s="1086">
        <v>0</v>
      </c>
      <c r="AV120" s="1086"/>
      <c r="AW120" s="1086"/>
      <c r="AX120" s="1086"/>
      <c r="AY120" s="1086"/>
      <c r="AZ120" s="1086"/>
      <c r="BA120" s="1086"/>
      <c r="BB120" s="1086"/>
      <c r="BC120" s="1086">
        <v>0</v>
      </c>
      <c r="BD120" s="1086"/>
      <c r="BE120" s="1086"/>
      <c r="BF120" s="1086"/>
      <c r="BG120" s="1086">
        <v>0</v>
      </c>
      <c r="BH120" s="1086"/>
      <c r="BI120" s="1086"/>
      <c r="BJ120" s="1086"/>
      <c r="BK120" s="1086">
        <v>0</v>
      </c>
      <c r="BL120" s="1086"/>
      <c r="BM120" s="1086"/>
      <c r="BN120" s="1086"/>
      <c r="BO120" s="1086"/>
    </row>
    <row r="121" spans="1:71" ht="13.5" customHeight="1" x14ac:dyDescent="0.2">
      <c r="A121" s="1087" t="s">
        <v>528</v>
      </c>
      <c r="B121" s="1087"/>
      <c r="C121" s="1087"/>
      <c r="D121" s="1087"/>
      <c r="E121" s="1087"/>
      <c r="F121" s="1087"/>
      <c r="G121" s="1087"/>
      <c r="H121" s="1087"/>
      <c r="I121" s="1087"/>
      <c r="J121" s="1087"/>
      <c r="K121" s="1087"/>
      <c r="L121" s="1087"/>
      <c r="M121" s="1087"/>
      <c r="N121" s="1087"/>
      <c r="O121" s="1087"/>
      <c r="P121" s="1087"/>
      <c r="Q121" s="1087"/>
      <c r="R121" s="1087"/>
      <c r="S121" s="1086">
        <v>64590</v>
      </c>
      <c r="T121" s="1086"/>
      <c r="U121" s="1086"/>
      <c r="V121" s="1086"/>
      <c r="W121" s="1086"/>
      <c r="X121" s="1086">
        <v>97381</v>
      </c>
      <c r="Y121" s="1086"/>
      <c r="Z121" s="1086"/>
      <c r="AA121" s="1086"/>
      <c r="AB121" s="1086"/>
      <c r="AC121" s="1086"/>
      <c r="AD121" s="1086">
        <v>130172</v>
      </c>
      <c r="AE121" s="1086"/>
      <c r="AF121" s="1086"/>
      <c r="AG121" s="1086"/>
      <c r="AH121" s="1086"/>
      <c r="AI121" s="1086"/>
      <c r="AJ121" s="1086">
        <v>3968</v>
      </c>
      <c r="AK121" s="1086"/>
      <c r="AL121" s="1086"/>
      <c r="AM121" s="1086"/>
      <c r="AN121" s="1086"/>
      <c r="AO121" s="1086"/>
      <c r="AP121" s="1086"/>
      <c r="AQ121" s="1086"/>
      <c r="AR121" s="1086"/>
      <c r="AS121" s="1086"/>
      <c r="AT121" s="1086"/>
      <c r="AU121" s="1086">
        <v>4960</v>
      </c>
      <c r="AV121" s="1086"/>
      <c r="AW121" s="1086"/>
      <c r="AX121" s="1086"/>
      <c r="AY121" s="1086"/>
      <c r="AZ121" s="1086"/>
      <c r="BA121" s="1086"/>
      <c r="BB121" s="1086"/>
      <c r="BC121" s="1086">
        <v>0</v>
      </c>
      <c r="BD121" s="1086"/>
      <c r="BE121" s="1086"/>
      <c r="BF121" s="1086"/>
      <c r="BG121" s="1086">
        <v>0</v>
      </c>
      <c r="BH121" s="1086"/>
      <c r="BI121" s="1086"/>
      <c r="BJ121" s="1086"/>
      <c r="BK121" s="1086">
        <v>0</v>
      </c>
      <c r="BL121" s="1086"/>
      <c r="BM121" s="1086"/>
      <c r="BN121" s="1086"/>
      <c r="BO121" s="1086"/>
    </row>
    <row r="122" spans="1:71" ht="13.5" customHeight="1" x14ac:dyDescent="0.2">
      <c r="A122" s="1087" t="s">
        <v>529</v>
      </c>
      <c r="B122" s="1087"/>
      <c r="C122" s="1087"/>
      <c r="D122" s="1087"/>
      <c r="E122" s="1087"/>
      <c r="F122" s="1087"/>
      <c r="G122" s="1087"/>
      <c r="H122" s="1087"/>
      <c r="I122" s="1087"/>
      <c r="J122" s="1087"/>
      <c r="K122" s="1087"/>
      <c r="L122" s="1087"/>
      <c r="M122" s="1087"/>
      <c r="N122" s="1087"/>
      <c r="O122" s="1087"/>
      <c r="P122" s="1087"/>
      <c r="Q122" s="1087"/>
      <c r="R122" s="1087"/>
      <c r="S122" s="1086">
        <v>8453</v>
      </c>
      <c r="T122" s="1086"/>
      <c r="U122" s="1086"/>
      <c r="V122" s="1086"/>
      <c r="W122" s="1086"/>
      <c r="X122" s="1086">
        <v>8999</v>
      </c>
      <c r="Y122" s="1086"/>
      <c r="Z122" s="1086"/>
      <c r="AA122" s="1086"/>
      <c r="AB122" s="1086"/>
      <c r="AC122" s="1086"/>
      <c r="AD122" s="1086">
        <v>9545</v>
      </c>
      <c r="AE122" s="1086"/>
      <c r="AF122" s="1086"/>
      <c r="AG122" s="1086"/>
      <c r="AH122" s="1086"/>
      <c r="AI122" s="1086"/>
      <c r="AJ122" s="1086">
        <v>0</v>
      </c>
      <c r="AK122" s="1086"/>
      <c r="AL122" s="1086"/>
      <c r="AM122" s="1086"/>
      <c r="AN122" s="1086"/>
      <c r="AO122" s="1086"/>
      <c r="AP122" s="1086"/>
      <c r="AQ122" s="1086"/>
      <c r="AR122" s="1086"/>
      <c r="AS122" s="1086"/>
      <c r="AT122" s="1086"/>
      <c r="AU122" s="1086">
        <v>0</v>
      </c>
      <c r="AV122" s="1086"/>
      <c r="AW122" s="1086"/>
      <c r="AX122" s="1086"/>
      <c r="AY122" s="1086"/>
      <c r="AZ122" s="1086"/>
      <c r="BA122" s="1086"/>
      <c r="BB122" s="1086"/>
      <c r="BC122" s="1086">
        <v>0</v>
      </c>
      <c r="BD122" s="1086"/>
      <c r="BE122" s="1086"/>
      <c r="BF122" s="1086"/>
      <c r="BG122" s="1086">
        <v>0</v>
      </c>
      <c r="BH122" s="1086"/>
      <c r="BI122" s="1086"/>
      <c r="BJ122" s="1086"/>
      <c r="BK122" s="1086">
        <v>0</v>
      </c>
      <c r="BL122" s="1086"/>
      <c r="BM122" s="1086"/>
      <c r="BN122" s="1086"/>
      <c r="BO122" s="1086"/>
    </row>
    <row r="123" spans="1:71" ht="13.5" customHeight="1" x14ac:dyDescent="0.2">
      <c r="A123" s="1087" t="s">
        <v>530</v>
      </c>
      <c r="B123" s="1087"/>
      <c r="C123" s="1087"/>
      <c r="D123" s="1087"/>
      <c r="E123" s="1087"/>
      <c r="F123" s="1087"/>
      <c r="G123" s="1087"/>
      <c r="H123" s="1087"/>
      <c r="I123" s="1087"/>
      <c r="J123" s="1087"/>
      <c r="K123" s="1087"/>
      <c r="L123" s="1087"/>
      <c r="M123" s="1087"/>
      <c r="N123" s="1087"/>
      <c r="O123" s="1087"/>
      <c r="P123" s="1087"/>
      <c r="Q123" s="1087"/>
      <c r="R123" s="1087"/>
      <c r="S123" s="1086">
        <v>0</v>
      </c>
      <c r="T123" s="1086"/>
      <c r="U123" s="1086"/>
      <c r="V123" s="1086"/>
      <c r="W123" s="1086"/>
      <c r="X123" s="1086">
        <v>0</v>
      </c>
      <c r="Y123" s="1086"/>
      <c r="Z123" s="1086"/>
      <c r="AA123" s="1086"/>
      <c r="AB123" s="1086"/>
      <c r="AC123" s="1086"/>
      <c r="AD123" s="1086">
        <v>0</v>
      </c>
      <c r="AE123" s="1086"/>
      <c r="AF123" s="1086"/>
      <c r="AG123" s="1086"/>
      <c r="AH123" s="1086"/>
      <c r="AI123" s="1086"/>
      <c r="AJ123" s="1086">
        <v>0</v>
      </c>
      <c r="AK123" s="1086"/>
      <c r="AL123" s="1086"/>
      <c r="AM123" s="1086"/>
      <c r="AN123" s="1086"/>
      <c r="AO123" s="1086"/>
      <c r="AP123" s="1086"/>
      <c r="AQ123" s="1086"/>
      <c r="AR123" s="1086"/>
      <c r="AS123" s="1086"/>
      <c r="AT123" s="1086"/>
      <c r="AU123" s="1086">
        <v>0</v>
      </c>
      <c r="AV123" s="1086"/>
      <c r="AW123" s="1086"/>
      <c r="AX123" s="1086"/>
      <c r="AY123" s="1086"/>
      <c r="AZ123" s="1086"/>
      <c r="BA123" s="1086"/>
      <c r="BB123" s="1086"/>
      <c r="BC123" s="1086">
        <v>0</v>
      </c>
      <c r="BD123" s="1086"/>
      <c r="BE123" s="1086"/>
      <c r="BF123" s="1086"/>
      <c r="BG123" s="1086">
        <v>0</v>
      </c>
      <c r="BH123" s="1086"/>
      <c r="BI123" s="1086"/>
      <c r="BJ123" s="1086"/>
      <c r="BK123" s="1086">
        <v>0</v>
      </c>
      <c r="BL123" s="1086"/>
      <c r="BM123" s="1086"/>
      <c r="BN123" s="1086"/>
      <c r="BO123" s="1086"/>
    </row>
    <row r="124" spans="1:71" ht="13.5" customHeight="1" x14ac:dyDescent="0.2">
      <c r="A124" s="1087" t="s">
        <v>531</v>
      </c>
      <c r="B124" s="1087"/>
      <c r="C124" s="1087"/>
      <c r="D124" s="1087"/>
      <c r="E124" s="1087"/>
      <c r="F124" s="1087"/>
      <c r="G124" s="1087"/>
      <c r="H124" s="1087"/>
      <c r="I124" s="1087"/>
      <c r="J124" s="1087"/>
      <c r="K124" s="1087"/>
      <c r="L124" s="1087"/>
      <c r="M124" s="1087"/>
      <c r="N124" s="1087"/>
      <c r="O124" s="1087"/>
      <c r="P124" s="1087"/>
      <c r="Q124" s="1087"/>
      <c r="R124" s="1087"/>
      <c r="S124" s="1086">
        <v>0</v>
      </c>
      <c r="T124" s="1086"/>
      <c r="U124" s="1086"/>
      <c r="V124" s="1086"/>
      <c r="W124" s="1086"/>
      <c r="X124" s="1086">
        <v>0</v>
      </c>
      <c r="Y124" s="1086"/>
      <c r="Z124" s="1086"/>
      <c r="AA124" s="1086"/>
      <c r="AB124" s="1086"/>
      <c r="AC124" s="1086"/>
      <c r="AD124" s="1086">
        <v>0</v>
      </c>
      <c r="AE124" s="1086"/>
      <c r="AF124" s="1086"/>
      <c r="AG124" s="1086"/>
      <c r="AH124" s="1086"/>
      <c r="AI124" s="1086"/>
      <c r="AJ124" s="1086">
        <v>0</v>
      </c>
      <c r="AK124" s="1086"/>
      <c r="AL124" s="1086"/>
      <c r="AM124" s="1086"/>
      <c r="AN124" s="1086"/>
      <c r="AO124" s="1086"/>
      <c r="AP124" s="1086"/>
      <c r="AQ124" s="1086"/>
      <c r="AR124" s="1086"/>
      <c r="AS124" s="1086"/>
      <c r="AT124" s="1086"/>
      <c r="AU124" s="1086">
        <v>0</v>
      </c>
      <c r="AV124" s="1086"/>
      <c r="AW124" s="1086"/>
      <c r="AX124" s="1086"/>
      <c r="AY124" s="1086"/>
      <c r="AZ124" s="1086"/>
      <c r="BA124" s="1086"/>
      <c r="BB124" s="1086"/>
      <c r="BC124" s="1086">
        <v>0</v>
      </c>
      <c r="BD124" s="1086"/>
      <c r="BE124" s="1086"/>
      <c r="BF124" s="1086"/>
      <c r="BG124" s="1086">
        <v>0</v>
      </c>
      <c r="BH124" s="1086"/>
      <c r="BI124" s="1086"/>
      <c r="BJ124" s="1086"/>
      <c r="BK124" s="1086">
        <v>0</v>
      </c>
      <c r="BL124" s="1086"/>
      <c r="BM124" s="1086"/>
      <c r="BN124" s="1086"/>
      <c r="BO124" s="1086"/>
    </row>
    <row r="125" spans="1:71" ht="13.5" customHeight="1" x14ac:dyDescent="0.2">
      <c r="A125" s="1087" t="s">
        <v>532</v>
      </c>
      <c r="B125" s="1087"/>
      <c r="C125" s="1087"/>
      <c r="D125" s="1087"/>
      <c r="E125" s="1087"/>
      <c r="F125" s="1087"/>
      <c r="G125" s="1087"/>
      <c r="H125" s="1087"/>
      <c r="I125" s="1087"/>
      <c r="J125" s="1087"/>
      <c r="K125" s="1087"/>
      <c r="L125" s="1087"/>
      <c r="M125" s="1087"/>
      <c r="N125" s="1087"/>
      <c r="O125" s="1087"/>
      <c r="P125" s="1087"/>
      <c r="Q125" s="1087"/>
      <c r="R125" s="1087"/>
      <c r="S125" s="1086">
        <v>0</v>
      </c>
      <c r="T125" s="1086"/>
      <c r="U125" s="1086"/>
      <c r="V125" s="1086"/>
      <c r="W125" s="1086"/>
      <c r="X125" s="1086">
        <v>0</v>
      </c>
      <c r="Y125" s="1086"/>
      <c r="Z125" s="1086"/>
      <c r="AA125" s="1086"/>
      <c r="AB125" s="1086"/>
      <c r="AC125" s="1086"/>
      <c r="AD125" s="1086">
        <v>0</v>
      </c>
      <c r="AE125" s="1086"/>
      <c r="AF125" s="1086"/>
      <c r="AG125" s="1086"/>
      <c r="AH125" s="1086"/>
      <c r="AI125" s="1086"/>
      <c r="AJ125" s="1086">
        <v>67622</v>
      </c>
      <c r="AK125" s="1086"/>
      <c r="AL125" s="1086"/>
      <c r="AM125" s="1086"/>
      <c r="AN125" s="1086"/>
      <c r="AO125" s="1086"/>
      <c r="AP125" s="1086"/>
      <c r="AQ125" s="1086"/>
      <c r="AR125" s="1086"/>
      <c r="AS125" s="1086"/>
      <c r="AT125" s="1086"/>
      <c r="AU125" s="1086">
        <v>28493</v>
      </c>
      <c r="AV125" s="1086"/>
      <c r="AW125" s="1086"/>
      <c r="AX125" s="1086"/>
      <c r="AY125" s="1086"/>
      <c r="AZ125" s="1086"/>
      <c r="BA125" s="1086"/>
      <c r="BB125" s="1086"/>
      <c r="BC125" s="1086">
        <v>7543</v>
      </c>
      <c r="BD125" s="1086"/>
      <c r="BE125" s="1086"/>
      <c r="BF125" s="1086"/>
      <c r="BG125" s="1086">
        <v>0</v>
      </c>
      <c r="BH125" s="1086"/>
      <c r="BI125" s="1086"/>
      <c r="BJ125" s="1086"/>
      <c r="BK125" s="1086">
        <v>0</v>
      </c>
      <c r="BL125" s="1086"/>
      <c r="BM125" s="1086"/>
      <c r="BN125" s="1086"/>
      <c r="BO125" s="1086"/>
    </row>
    <row r="126" spans="1:71" ht="13.5" customHeight="1" x14ac:dyDescent="0.2">
      <c r="A126" s="1087" t="s">
        <v>533</v>
      </c>
      <c r="B126" s="1087"/>
      <c r="C126" s="1087"/>
      <c r="D126" s="1087"/>
      <c r="E126" s="1087"/>
      <c r="F126" s="1087"/>
      <c r="G126" s="1087"/>
      <c r="H126" s="1087"/>
      <c r="I126" s="1087"/>
      <c r="J126" s="1087"/>
      <c r="K126" s="1087"/>
      <c r="L126" s="1087"/>
      <c r="M126" s="1087"/>
      <c r="N126" s="1087"/>
      <c r="O126" s="1087"/>
      <c r="P126" s="1087"/>
      <c r="Q126" s="1087"/>
      <c r="R126" s="1087"/>
      <c r="S126" s="1086">
        <v>16480</v>
      </c>
      <c r="T126" s="1086"/>
      <c r="U126" s="1086"/>
      <c r="V126" s="1086"/>
      <c r="W126" s="1086"/>
      <c r="X126" s="1086">
        <v>0</v>
      </c>
      <c r="Y126" s="1086"/>
      <c r="Z126" s="1086"/>
      <c r="AA126" s="1086"/>
      <c r="AB126" s="1086"/>
      <c r="AC126" s="1086"/>
      <c r="AD126" s="1086">
        <v>0</v>
      </c>
      <c r="AE126" s="1086"/>
      <c r="AF126" s="1086"/>
      <c r="AG126" s="1086"/>
      <c r="AH126" s="1086"/>
      <c r="AI126" s="1086"/>
      <c r="AJ126" s="1086">
        <v>4900</v>
      </c>
      <c r="AK126" s="1086"/>
      <c r="AL126" s="1086"/>
      <c r="AM126" s="1086"/>
      <c r="AN126" s="1086"/>
      <c r="AO126" s="1086"/>
      <c r="AP126" s="1086"/>
      <c r="AQ126" s="1086"/>
      <c r="AR126" s="1086"/>
      <c r="AS126" s="1086"/>
      <c r="AT126" s="1086"/>
      <c r="AU126" s="1086">
        <v>0</v>
      </c>
      <c r="AV126" s="1086"/>
      <c r="AW126" s="1086"/>
      <c r="AX126" s="1086"/>
      <c r="AY126" s="1086"/>
      <c r="AZ126" s="1086"/>
      <c r="BA126" s="1086"/>
      <c r="BB126" s="1086"/>
      <c r="BC126" s="1086">
        <v>0</v>
      </c>
      <c r="BD126" s="1086"/>
      <c r="BE126" s="1086"/>
      <c r="BF126" s="1086"/>
      <c r="BG126" s="1086">
        <v>0</v>
      </c>
      <c r="BH126" s="1086"/>
      <c r="BI126" s="1086"/>
      <c r="BJ126" s="1086"/>
      <c r="BK126" s="1086">
        <v>1977</v>
      </c>
      <c r="BL126" s="1086"/>
      <c r="BM126" s="1086"/>
      <c r="BN126" s="1086"/>
      <c r="BO126" s="1086"/>
    </row>
    <row r="127" spans="1:71" ht="13.5" customHeight="1" x14ac:dyDescent="0.2">
      <c r="A127" s="1087" t="s">
        <v>534</v>
      </c>
      <c r="B127" s="1087"/>
      <c r="C127" s="1087"/>
      <c r="D127" s="1087"/>
      <c r="E127" s="1087"/>
      <c r="F127" s="1087"/>
      <c r="G127" s="1087"/>
      <c r="H127" s="1087"/>
      <c r="I127" s="1087"/>
      <c r="J127" s="1087"/>
      <c r="K127" s="1087"/>
      <c r="L127" s="1087"/>
      <c r="M127" s="1087"/>
      <c r="N127" s="1087"/>
      <c r="O127" s="1087"/>
      <c r="P127" s="1087"/>
      <c r="Q127" s="1087"/>
      <c r="R127" s="1087"/>
      <c r="S127" s="1092" t="s">
        <v>535</v>
      </c>
      <c r="T127" s="1092"/>
      <c r="U127" s="1092"/>
      <c r="V127" s="1092"/>
      <c r="W127" s="1092"/>
      <c r="X127" s="1092" t="s">
        <v>535</v>
      </c>
      <c r="Y127" s="1092"/>
      <c r="Z127" s="1092"/>
      <c r="AA127" s="1092"/>
      <c r="AB127" s="1092"/>
      <c r="AC127" s="1092"/>
      <c r="AD127" s="1092" t="s">
        <v>535</v>
      </c>
      <c r="AE127" s="1092"/>
      <c r="AF127" s="1092"/>
      <c r="AG127" s="1092"/>
      <c r="AH127" s="1092"/>
      <c r="AI127" s="1092"/>
      <c r="AJ127" s="1092" t="s">
        <v>535</v>
      </c>
      <c r="AK127" s="1092"/>
      <c r="AL127" s="1092"/>
      <c r="AM127" s="1092"/>
      <c r="AN127" s="1092"/>
      <c r="AO127" s="1092"/>
      <c r="AP127" s="1092"/>
      <c r="AQ127" s="1092"/>
      <c r="AR127" s="1092"/>
      <c r="AS127" s="1092"/>
      <c r="AT127" s="1092"/>
      <c r="AU127" s="1092" t="s">
        <v>535</v>
      </c>
      <c r="AV127" s="1092"/>
      <c r="AW127" s="1092"/>
      <c r="AX127" s="1092"/>
      <c r="AY127" s="1092"/>
      <c r="AZ127" s="1092"/>
      <c r="BA127" s="1092"/>
      <c r="BB127" s="1092"/>
      <c r="BC127" s="1092" t="s">
        <v>535</v>
      </c>
      <c r="BD127" s="1092"/>
      <c r="BE127" s="1092"/>
      <c r="BF127" s="1092"/>
      <c r="BG127" s="1092" t="s">
        <v>535</v>
      </c>
      <c r="BH127" s="1092"/>
      <c r="BI127" s="1092"/>
      <c r="BJ127" s="1092"/>
      <c r="BK127" s="1092" t="s">
        <v>535</v>
      </c>
      <c r="BL127" s="1092"/>
      <c r="BM127" s="1092"/>
      <c r="BN127" s="1092"/>
      <c r="BO127" s="1092"/>
    </row>
    <row r="128" spans="1:71" ht="13.5" customHeight="1" x14ac:dyDescent="0.2">
      <c r="A128" s="1083"/>
      <c r="B128" s="1083"/>
      <c r="C128" s="1083"/>
      <c r="D128" s="1083"/>
      <c r="E128" s="1083"/>
      <c r="F128" s="1083"/>
      <c r="G128" s="1083"/>
      <c r="H128" s="1083"/>
      <c r="I128" s="1083"/>
      <c r="J128" s="1083"/>
      <c r="K128" s="1083"/>
      <c r="L128" s="1083"/>
      <c r="M128" s="1083"/>
      <c r="N128" s="1083"/>
      <c r="O128" s="1083"/>
      <c r="P128" s="1083"/>
      <c r="Q128" s="1083"/>
      <c r="R128" s="1083"/>
      <c r="S128" s="1083"/>
      <c r="T128" s="1083"/>
      <c r="U128" s="1083"/>
      <c r="V128" s="1083"/>
      <c r="W128" s="1083"/>
      <c r="X128" s="1083"/>
      <c r="Y128" s="1083"/>
      <c r="Z128" s="1083"/>
      <c r="AA128" s="1083"/>
      <c r="AB128" s="1083"/>
      <c r="AC128" s="1083"/>
      <c r="AD128" s="1083"/>
      <c r="AE128" s="1083"/>
      <c r="AF128" s="1083"/>
      <c r="AG128" s="1083"/>
      <c r="AH128" s="1083"/>
      <c r="AI128" s="1083"/>
      <c r="AJ128" s="1083"/>
      <c r="AK128" s="1083"/>
      <c r="AL128" s="1083"/>
      <c r="AM128" s="1083"/>
      <c r="AN128" s="1083"/>
      <c r="AO128" s="1083"/>
      <c r="AP128" s="1083"/>
      <c r="AQ128" s="1083"/>
      <c r="AR128" s="1083"/>
      <c r="AS128" s="1083"/>
      <c r="AT128" s="1083"/>
      <c r="AU128" s="1083"/>
      <c r="AV128" s="1083"/>
      <c r="AW128" s="1083"/>
      <c r="AX128" s="1083"/>
      <c r="AY128" s="1083"/>
      <c r="AZ128" s="1083"/>
      <c r="BA128" s="1083"/>
      <c r="BB128" s="1083"/>
      <c r="BC128" s="1083"/>
      <c r="BD128" s="1083"/>
      <c r="BE128" s="1083"/>
      <c r="BF128" s="1083"/>
      <c r="BG128" s="1083"/>
      <c r="BH128" s="1083"/>
      <c r="BI128" s="1083"/>
      <c r="BJ128" s="1083"/>
      <c r="BK128" s="1083"/>
      <c r="BL128" s="1083"/>
      <c r="BM128" s="1083"/>
      <c r="BN128" s="1083"/>
      <c r="BO128" s="1083"/>
    </row>
    <row r="129" spans="1:69" ht="13.5" customHeight="1" x14ac:dyDescent="0.2">
      <c r="A129" s="1087" t="s">
        <v>536</v>
      </c>
      <c r="B129" s="1087"/>
      <c r="C129" s="1087"/>
      <c r="D129" s="1087"/>
      <c r="E129" s="1087"/>
      <c r="F129" s="1087"/>
      <c r="G129" s="1087"/>
      <c r="H129" s="1087"/>
      <c r="I129" s="1087"/>
      <c r="J129" s="1087"/>
      <c r="K129" s="1087"/>
      <c r="L129" s="1087"/>
      <c r="M129" s="1087"/>
      <c r="N129" s="1087"/>
      <c r="O129" s="1087"/>
      <c r="P129" s="1087"/>
      <c r="Q129" s="1087"/>
      <c r="R129" s="1087"/>
      <c r="S129" s="1086">
        <v>8694725</v>
      </c>
      <c r="T129" s="1086"/>
      <c r="U129" s="1086"/>
      <c r="V129" s="1086"/>
      <c r="W129" s="1086"/>
      <c r="X129" s="1086">
        <v>9017770</v>
      </c>
      <c r="Y129" s="1086"/>
      <c r="Z129" s="1086"/>
      <c r="AA129" s="1086"/>
      <c r="AB129" s="1086"/>
      <c r="AC129" s="1086"/>
      <c r="AD129" s="1086">
        <v>9416528</v>
      </c>
      <c r="AE129" s="1086"/>
      <c r="AF129" s="1086"/>
      <c r="AG129" s="1086"/>
      <c r="AH129" s="1086"/>
      <c r="AI129" s="1086"/>
      <c r="AJ129" s="1086">
        <v>9430510</v>
      </c>
      <c r="AK129" s="1086"/>
      <c r="AL129" s="1086"/>
      <c r="AM129" s="1086"/>
      <c r="AN129" s="1086"/>
      <c r="AO129" s="1086"/>
      <c r="AP129" s="1086"/>
      <c r="AQ129" s="1086"/>
      <c r="AR129" s="1086"/>
      <c r="AS129" s="1086"/>
      <c r="AT129" s="1086"/>
      <c r="AU129" s="1086">
        <v>7025024</v>
      </c>
      <c r="AV129" s="1086"/>
      <c r="AW129" s="1086"/>
      <c r="AX129" s="1086"/>
      <c r="AY129" s="1086"/>
      <c r="AZ129" s="1086"/>
      <c r="BA129" s="1086"/>
      <c r="BB129" s="1086"/>
      <c r="BC129" s="1086">
        <v>2594042</v>
      </c>
      <c r="BD129" s="1086"/>
      <c r="BE129" s="1086"/>
      <c r="BF129" s="1086"/>
      <c r="BG129" s="1086">
        <v>1186419</v>
      </c>
      <c r="BH129" s="1086"/>
      <c r="BI129" s="1086"/>
      <c r="BJ129" s="1086"/>
      <c r="BK129" s="1086">
        <v>891818</v>
      </c>
      <c r="BL129" s="1086"/>
      <c r="BM129" s="1086"/>
      <c r="BN129" s="1086"/>
      <c r="BO129" s="1086"/>
    </row>
    <row r="130" spans="1:69" ht="26" customHeight="1" x14ac:dyDescent="0.2">
      <c r="A130" s="1087" t="s">
        <v>537</v>
      </c>
      <c r="B130" s="1087"/>
      <c r="C130" s="1087"/>
      <c r="D130" s="1087"/>
      <c r="E130" s="1087"/>
      <c r="F130" s="1087"/>
      <c r="G130" s="1087"/>
      <c r="H130" s="1087"/>
      <c r="I130" s="1087"/>
      <c r="J130" s="1087"/>
      <c r="K130" s="1087"/>
      <c r="L130" s="1087"/>
      <c r="M130" s="1087"/>
      <c r="N130" s="1087"/>
      <c r="O130" s="1087"/>
      <c r="P130" s="1087"/>
      <c r="Q130" s="1087"/>
      <c r="R130" s="1087"/>
      <c r="S130" s="1092" t="s">
        <v>535</v>
      </c>
      <c r="T130" s="1092"/>
      <c r="U130" s="1092"/>
      <c r="V130" s="1092"/>
      <c r="W130" s="1092"/>
      <c r="X130" s="1092" t="s">
        <v>535</v>
      </c>
      <c r="Y130" s="1092"/>
      <c r="Z130" s="1092"/>
      <c r="AA130" s="1092"/>
      <c r="AB130" s="1092"/>
      <c r="AC130" s="1092"/>
      <c r="AD130" s="1092" t="s">
        <v>535</v>
      </c>
      <c r="AE130" s="1092"/>
      <c r="AF130" s="1092"/>
      <c r="AG130" s="1092"/>
      <c r="AH130" s="1092"/>
      <c r="AI130" s="1092"/>
      <c r="AJ130" s="1092" t="s">
        <v>535</v>
      </c>
      <c r="AK130" s="1092"/>
      <c r="AL130" s="1092"/>
      <c r="AM130" s="1092"/>
      <c r="AN130" s="1092"/>
      <c r="AO130" s="1092"/>
      <c r="AP130" s="1092"/>
      <c r="AQ130" s="1092"/>
      <c r="AR130" s="1092"/>
      <c r="AS130" s="1092"/>
      <c r="AT130" s="1092"/>
      <c r="AU130" s="1092" t="s">
        <v>535</v>
      </c>
      <c r="AV130" s="1092"/>
      <c r="AW130" s="1092"/>
      <c r="AX130" s="1092"/>
      <c r="AY130" s="1092"/>
      <c r="AZ130" s="1092"/>
      <c r="BA130" s="1092"/>
      <c r="BB130" s="1092"/>
      <c r="BC130" s="1092" t="s">
        <v>535</v>
      </c>
      <c r="BD130" s="1092"/>
      <c r="BE130" s="1092"/>
      <c r="BF130" s="1092"/>
      <c r="BG130" s="1092" t="s">
        <v>535</v>
      </c>
      <c r="BH130" s="1092"/>
      <c r="BI130" s="1092"/>
      <c r="BJ130" s="1092"/>
      <c r="BK130" s="1092" t="s">
        <v>535</v>
      </c>
      <c r="BL130" s="1092"/>
      <c r="BM130" s="1092"/>
      <c r="BN130" s="1092"/>
      <c r="BO130" s="1092"/>
    </row>
    <row r="131" spans="1:69" ht="13.5" customHeight="1" x14ac:dyDescent="0.2">
      <c r="A131" s="1087" t="s">
        <v>538</v>
      </c>
      <c r="B131" s="1087"/>
      <c r="C131" s="1087"/>
      <c r="D131" s="1087"/>
      <c r="E131" s="1087"/>
      <c r="F131" s="1087"/>
      <c r="G131" s="1087"/>
      <c r="H131" s="1087"/>
      <c r="I131" s="1087"/>
      <c r="J131" s="1087"/>
      <c r="K131" s="1087"/>
      <c r="L131" s="1087"/>
      <c r="M131" s="1087"/>
      <c r="N131" s="1087"/>
      <c r="O131" s="1087"/>
      <c r="P131" s="1087"/>
      <c r="Q131" s="1087"/>
      <c r="R131" s="1087"/>
      <c r="S131" s="1086">
        <v>6069102</v>
      </c>
      <c r="T131" s="1086"/>
      <c r="U131" s="1086"/>
      <c r="V131" s="1086"/>
      <c r="W131" s="1086"/>
      <c r="X131" s="1086">
        <v>6328571</v>
      </c>
      <c r="Y131" s="1086"/>
      <c r="Z131" s="1086"/>
      <c r="AA131" s="1086"/>
      <c r="AB131" s="1086"/>
      <c r="AC131" s="1086"/>
      <c r="AD131" s="1086">
        <v>6543383</v>
      </c>
      <c r="AE131" s="1086"/>
      <c r="AF131" s="1086"/>
      <c r="AG131" s="1086"/>
      <c r="AH131" s="1086"/>
      <c r="AI131" s="1086"/>
      <c r="AJ131" s="1086">
        <v>6374984</v>
      </c>
      <c r="AK131" s="1086"/>
      <c r="AL131" s="1086"/>
      <c r="AM131" s="1086"/>
      <c r="AN131" s="1086"/>
      <c r="AO131" s="1086"/>
      <c r="AP131" s="1086"/>
      <c r="AQ131" s="1086"/>
      <c r="AR131" s="1086"/>
      <c r="AS131" s="1086"/>
      <c r="AT131" s="1086"/>
      <c r="AU131" s="1086">
        <v>396319</v>
      </c>
      <c r="AV131" s="1086"/>
      <c r="AW131" s="1086"/>
      <c r="AX131" s="1086"/>
      <c r="AY131" s="1086"/>
      <c r="AZ131" s="1086"/>
      <c r="BA131" s="1086"/>
      <c r="BB131" s="1086"/>
      <c r="BC131" s="1086">
        <v>412628</v>
      </c>
      <c r="BD131" s="1086"/>
      <c r="BE131" s="1086"/>
      <c r="BF131" s="1086"/>
      <c r="BG131" s="1086">
        <v>418736</v>
      </c>
      <c r="BH131" s="1086"/>
      <c r="BI131" s="1086"/>
      <c r="BJ131" s="1086"/>
      <c r="BK131" s="1086">
        <v>324645</v>
      </c>
      <c r="BL131" s="1086"/>
      <c r="BM131" s="1086"/>
      <c r="BN131" s="1086"/>
      <c r="BO131" s="1086"/>
    </row>
    <row r="132" spans="1:69" ht="13.5" customHeight="1" x14ac:dyDescent="0.2">
      <c r="A132" s="1087" t="s">
        <v>539</v>
      </c>
      <c r="B132" s="1087"/>
      <c r="C132" s="1087"/>
      <c r="D132" s="1087"/>
      <c r="E132" s="1087"/>
      <c r="F132" s="1087"/>
      <c r="G132" s="1087"/>
      <c r="H132" s="1087"/>
      <c r="I132" s="1087"/>
      <c r="J132" s="1087"/>
      <c r="K132" s="1087"/>
      <c r="L132" s="1087"/>
      <c r="M132" s="1087"/>
      <c r="N132" s="1087"/>
      <c r="O132" s="1087"/>
      <c r="P132" s="1087"/>
      <c r="Q132" s="1087"/>
      <c r="R132" s="1087"/>
      <c r="S132" s="1086">
        <v>1774810</v>
      </c>
      <c r="T132" s="1086"/>
      <c r="U132" s="1086"/>
      <c r="V132" s="1086"/>
      <c r="W132" s="1086"/>
      <c r="X132" s="1086">
        <v>2137598</v>
      </c>
      <c r="Y132" s="1086"/>
      <c r="Z132" s="1086"/>
      <c r="AA132" s="1086"/>
      <c r="AB132" s="1086"/>
      <c r="AC132" s="1086"/>
      <c r="AD132" s="1086">
        <v>2352511</v>
      </c>
      <c r="AE132" s="1086"/>
      <c r="AF132" s="1086"/>
      <c r="AG132" s="1086"/>
      <c r="AH132" s="1086"/>
      <c r="AI132" s="1086"/>
      <c r="AJ132" s="1086">
        <v>2232169</v>
      </c>
      <c r="AK132" s="1086"/>
      <c r="AL132" s="1086"/>
      <c r="AM132" s="1086"/>
      <c r="AN132" s="1086"/>
      <c r="AO132" s="1086"/>
      <c r="AP132" s="1086"/>
      <c r="AQ132" s="1086"/>
      <c r="AR132" s="1086"/>
      <c r="AS132" s="1086"/>
      <c r="AT132" s="1086"/>
      <c r="AU132" s="1086">
        <v>1801043</v>
      </c>
      <c r="AV132" s="1086"/>
      <c r="AW132" s="1086"/>
      <c r="AX132" s="1086"/>
      <c r="AY132" s="1086"/>
      <c r="AZ132" s="1086"/>
      <c r="BA132" s="1086"/>
      <c r="BB132" s="1086"/>
      <c r="BC132" s="1086">
        <v>258024</v>
      </c>
      <c r="BD132" s="1086"/>
      <c r="BE132" s="1086"/>
      <c r="BF132" s="1086"/>
      <c r="BG132" s="1086">
        <v>302043</v>
      </c>
      <c r="BH132" s="1086"/>
      <c r="BI132" s="1086"/>
      <c r="BJ132" s="1086"/>
      <c r="BK132" s="1086">
        <v>336024</v>
      </c>
      <c r="BL132" s="1086"/>
      <c r="BM132" s="1086"/>
      <c r="BN132" s="1086"/>
      <c r="BO132" s="1086"/>
    </row>
    <row r="133" spans="1:69" ht="13.5" customHeight="1" x14ac:dyDescent="0.2">
      <c r="A133" s="1087" t="s">
        <v>540</v>
      </c>
      <c r="B133" s="1087"/>
      <c r="C133" s="1087"/>
      <c r="D133" s="1087"/>
      <c r="E133" s="1087"/>
      <c r="F133" s="1087"/>
      <c r="G133" s="1087"/>
      <c r="H133" s="1087"/>
      <c r="I133" s="1087"/>
      <c r="J133" s="1087"/>
      <c r="K133" s="1087"/>
      <c r="L133" s="1087"/>
      <c r="M133" s="1087"/>
      <c r="N133" s="1087"/>
      <c r="O133" s="1087"/>
      <c r="P133" s="1087"/>
      <c r="Q133" s="1087"/>
      <c r="R133" s="1087"/>
      <c r="S133" s="1086">
        <v>197170</v>
      </c>
      <c r="T133" s="1086"/>
      <c r="U133" s="1086"/>
      <c r="V133" s="1086"/>
      <c r="W133" s="1086"/>
      <c r="X133" s="1086">
        <v>187192</v>
      </c>
      <c r="Y133" s="1086"/>
      <c r="Z133" s="1086"/>
      <c r="AA133" s="1086"/>
      <c r="AB133" s="1086"/>
      <c r="AC133" s="1086"/>
      <c r="AD133" s="1086">
        <v>184756</v>
      </c>
      <c r="AE133" s="1086"/>
      <c r="AF133" s="1086"/>
      <c r="AG133" s="1086"/>
      <c r="AH133" s="1086"/>
      <c r="AI133" s="1086"/>
      <c r="AJ133" s="1086">
        <v>168289</v>
      </c>
      <c r="AK133" s="1086"/>
      <c r="AL133" s="1086"/>
      <c r="AM133" s="1086"/>
      <c r="AN133" s="1086"/>
      <c r="AO133" s="1086"/>
      <c r="AP133" s="1086"/>
      <c r="AQ133" s="1086"/>
      <c r="AR133" s="1086"/>
      <c r="AS133" s="1086"/>
      <c r="AT133" s="1086"/>
      <c r="AU133" s="1086">
        <v>141111</v>
      </c>
      <c r="AV133" s="1086"/>
      <c r="AW133" s="1086"/>
      <c r="AX133" s="1086"/>
      <c r="AY133" s="1086"/>
      <c r="AZ133" s="1086"/>
      <c r="BA133" s="1086"/>
      <c r="BB133" s="1086"/>
      <c r="BC133" s="1086">
        <v>110856</v>
      </c>
      <c r="BD133" s="1086"/>
      <c r="BE133" s="1086"/>
      <c r="BF133" s="1086"/>
      <c r="BG133" s="1086">
        <v>130147</v>
      </c>
      <c r="BH133" s="1086"/>
      <c r="BI133" s="1086"/>
      <c r="BJ133" s="1086"/>
      <c r="BK133" s="1086">
        <v>133231</v>
      </c>
      <c r="BL133" s="1086"/>
      <c r="BM133" s="1086"/>
      <c r="BN133" s="1086"/>
      <c r="BO133" s="1086"/>
    </row>
    <row r="134" spans="1:69" ht="13.5" customHeight="1" x14ac:dyDescent="0.2">
      <c r="A134" s="1087" t="s">
        <v>541</v>
      </c>
      <c r="B134" s="1087"/>
      <c r="C134" s="1087"/>
      <c r="D134" s="1087"/>
      <c r="E134" s="1087"/>
      <c r="F134" s="1087"/>
      <c r="G134" s="1087"/>
      <c r="H134" s="1087"/>
      <c r="I134" s="1087"/>
      <c r="J134" s="1087"/>
      <c r="K134" s="1087"/>
      <c r="L134" s="1087"/>
      <c r="M134" s="1087"/>
      <c r="N134" s="1087"/>
      <c r="O134" s="1087"/>
      <c r="P134" s="1087"/>
      <c r="Q134" s="1087"/>
      <c r="R134" s="1087"/>
      <c r="S134" s="1086">
        <v>177873</v>
      </c>
      <c r="T134" s="1086"/>
      <c r="U134" s="1086"/>
      <c r="V134" s="1086"/>
      <c r="W134" s="1086"/>
      <c r="X134" s="1086">
        <v>244518</v>
      </c>
      <c r="Y134" s="1086"/>
      <c r="Z134" s="1086"/>
      <c r="AA134" s="1086"/>
      <c r="AB134" s="1086"/>
      <c r="AC134" s="1086"/>
      <c r="AD134" s="1086">
        <v>312178</v>
      </c>
      <c r="AE134" s="1086"/>
      <c r="AF134" s="1086"/>
      <c r="AG134" s="1086"/>
      <c r="AH134" s="1086"/>
      <c r="AI134" s="1086"/>
      <c r="AJ134" s="1086">
        <v>236539</v>
      </c>
      <c r="AK134" s="1086"/>
      <c r="AL134" s="1086"/>
      <c r="AM134" s="1086"/>
      <c r="AN134" s="1086"/>
      <c r="AO134" s="1086"/>
      <c r="AP134" s="1086"/>
      <c r="AQ134" s="1086"/>
      <c r="AR134" s="1086"/>
      <c r="AS134" s="1086"/>
      <c r="AT134" s="1086"/>
      <c r="AU134" s="1086">
        <v>116965</v>
      </c>
      <c r="AV134" s="1086"/>
      <c r="AW134" s="1086"/>
      <c r="AX134" s="1086"/>
      <c r="AY134" s="1086"/>
      <c r="AZ134" s="1086"/>
      <c r="BA134" s="1086"/>
      <c r="BB134" s="1086"/>
      <c r="BC134" s="1086">
        <v>45295</v>
      </c>
      <c r="BD134" s="1086"/>
      <c r="BE134" s="1086"/>
      <c r="BF134" s="1086"/>
      <c r="BG134" s="1086">
        <v>68843</v>
      </c>
      <c r="BH134" s="1086"/>
      <c r="BI134" s="1086"/>
      <c r="BJ134" s="1086"/>
      <c r="BK134" s="1086">
        <v>97918</v>
      </c>
      <c r="BL134" s="1086"/>
      <c r="BM134" s="1086"/>
      <c r="BN134" s="1086"/>
      <c r="BO134" s="1086"/>
    </row>
    <row r="135" spans="1:69" ht="13.5" customHeight="1" x14ac:dyDescent="0.2">
      <c r="A135" s="1087" t="s">
        <v>542</v>
      </c>
      <c r="B135" s="1087"/>
      <c r="C135" s="1087"/>
      <c r="D135" s="1087"/>
      <c r="E135" s="1087"/>
      <c r="F135" s="1087"/>
      <c r="G135" s="1087"/>
      <c r="H135" s="1087"/>
      <c r="I135" s="1087"/>
      <c r="J135" s="1087"/>
      <c r="K135" s="1087"/>
      <c r="L135" s="1087"/>
      <c r="M135" s="1087"/>
      <c r="N135" s="1087"/>
      <c r="O135" s="1087"/>
      <c r="P135" s="1087"/>
      <c r="Q135" s="1087"/>
      <c r="R135" s="1087"/>
      <c r="S135" s="1086">
        <v>475770</v>
      </c>
      <c r="T135" s="1086"/>
      <c r="U135" s="1086"/>
      <c r="V135" s="1086"/>
      <c r="W135" s="1086"/>
      <c r="X135" s="1086">
        <v>119891</v>
      </c>
      <c r="Y135" s="1086"/>
      <c r="Z135" s="1086"/>
      <c r="AA135" s="1086"/>
      <c r="AB135" s="1086"/>
      <c r="AC135" s="1086"/>
      <c r="AD135" s="1086">
        <v>23700</v>
      </c>
      <c r="AE135" s="1086"/>
      <c r="AF135" s="1086"/>
      <c r="AG135" s="1086"/>
      <c r="AH135" s="1086"/>
      <c r="AI135" s="1086"/>
      <c r="AJ135" s="1086">
        <v>418529</v>
      </c>
      <c r="AK135" s="1086"/>
      <c r="AL135" s="1086"/>
      <c r="AM135" s="1086"/>
      <c r="AN135" s="1086"/>
      <c r="AO135" s="1086"/>
      <c r="AP135" s="1086"/>
      <c r="AQ135" s="1086"/>
      <c r="AR135" s="1086"/>
      <c r="AS135" s="1086"/>
      <c r="AT135" s="1086"/>
      <c r="AU135" s="1086">
        <v>4569586</v>
      </c>
      <c r="AV135" s="1086"/>
      <c r="AW135" s="1086"/>
      <c r="AX135" s="1086"/>
      <c r="AY135" s="1086"/>
      <c r="AZ135" s="1086"/>
      <c r="BA135" s="1086"/>
      <c r="BB135" s="1086"/>
      <c r="BC135" s="1086">
        <v>1767239</v>
      </c>
      <c r="BD135" s="1086"/>
      <c r="BE135" s="1086"/>
      <c r="BF135" s="1086"/>
      <c r="BG135" s="1086">
        <v>266650</v>
      </c>
      <c r="BH135" s="1086"/>
      <c r="BI135" s="1086"/>
      <c r="BJ135" s="1086"/>
      <c r="BK135" s="1086">
        <v>0</v>
      </c>
      <c r="BL135" s="1086"/>
      <c r="BM135" s="1086"/>
      <c r="BN135" s="1086"/>
      <c r="BO135" s="1086"/>
      <c r="BQ135" s="366"/>
    </row>
    <row r="136" spans="1:69" ht="13.5" customHeight="1" x14ac:dyDescent="0.2">
      <c r="A136" s="1087" t="s">
        <v>543</v>
      </c>
      <c r="B136" s="1087"/>
      <c r="C136" s="1087"/>
      <c r="D136" s="1087"/>
      <c r="E136" s="1087"/>
      <c r="F136" s="1087"/>
      <c r="G136" s="1087"/>
      <c r="H136" s="1087"/>
      <c r="I136" s="1087"/>
      <c r="J136" s="1087"/>
      <c r="K136" s="1087"/>
      <c r="L136" s="1087"/>
      <c r="M136" s="1087"/>
      <c r="N136" s="1087"/>
      <c r="O136" s="1087"/>
      <c r="P136" s="1087"/>
      <c r="Q136" s="1087"/>
      <c r="R136" s="1087"/>
      <c r="S136" s="1092" t="s">
        <v>535</v>
      </c>
      <c r="T136" s="1092"/>
      <c r="U136" s="1092"/>
      <c r="V136" s="1092"/>
      <c r="W136" s="1092"/>
      <c r="X136" s="1092" t="s">
        <v>535</v>
      </c>
      <c r="Y136" s="1092"/>
      <c r="Z136" s="1092"/>
      <c r="AA136" s="1092"/>
      <c r="AB136" s="1092"/>
      <c r="AC136" s="1092"/>
      <c r="AD136" s="1092" t="s">
        <v>535</v>
      </c>
      <c r="AE136" s="1092"/>
      <c r="AF136" s="1092"/>
      <c r="AG136" s="1092"/>
      <c r="AH136" s="1092"/>
      <c r="AI136" s="1092"/>
      <c r="AJ136" s="1092" t="s">
        <v>535</v>
      </c>
      <c r="AK136" s="1092"/>
      <c r="AL136" s="1092"/>
      <c r="AM136" s="1092"/>
      <c r="AN136" s="1092"/>
      <c r="AO136" s="1092"/>
      <c r="AP136" s="1092"/>
      <c r="AQ136" s="1092"/>
      <c r="AR136" s="1092"/>
      <c r="AS136" s="1092"/>
      <c r="AT136" s="1092"/>
      <c r="AU136" s="1092" t="s">
        <v>535</v>
      </c>
      <c r="AV136" s="1092"/>
      <c r="AW136" s="1092"/>
      <c r="AX136" s="1092"/>
      <c r="AY136" s="1092"/>
      <c r="AZ136" s="1092"/>
      <c r="BA136" s="1092"/>
      <c r="BB136" s="1092"/>
      <c r="BC136" s="1092" t="s">
        <v>535</v>
      </c>
      <c r="BD136" s="1092"/>
      <c r="BE136" s="1092"/>
      <c r="BF136" s="1092"/>
      <c r="BG136" s="1092" t="s">
        <v>535</v>
      </c>
      <c r="BH136" s="1092"/>
      <c r="BI136" s="1092"/>
      <c r="BJ136" s="1092"/>
      <c r="BK136" s="1092" t="s">
        <v>535</v>
      </c>
      <c r="BL136" s="1092"/>
      <c r="BM136" s="1092"/>
      <c r="BN136" s="1092"/>
      <c r="BO136" s="1092"/>
    </row>
    <row r="137" spans="1:69" ht="13.5" customHeight="1" x14ac:dyDescent="0.2">
      <c r="A137" s="1083"/>
      <c r="B137" s="1083"/>
      <c r="C137" s="1083"/>
      <c r="D137" s="1083"/>
      <c r="E137" s="1083"/>
      <c r="F137" s="1083"/>
      <c r="G137" s="1083"/>
      <c r="H137" s="1083"/>
      <c r="I137" s="1083"/>
      <c r="J137" s="1083"/>
      <c r="K137" s="1083"/>
      <c r="L137" s="1083"/>
      <c r="M137" s="1083"/>
      <c r="N137" s="1083"/>
      <c r="O137" s="1083"/>
      <c r="P137" s="1083"/>
      <c r="Q137" s="1083"/>
      <c r="R137" s="1083"/>
      <c r="S137" s="1083"/>
      <c r="T137" s="1083"/>
      <c r="U137" s="1083"/>
      <c r="V137" s="1083"/>
      <c r="W137" s="1083"/>
      <c r="X137" s="1083"/>
      <c r="Y137" s="1083"/>
      <c r="Z137" s="1083"/>
      <c r="AA137" s="1083"/>
      <c r="AB137" s="1083"/>
      <c r="AC137" s="1083"/>
      <c r="AD137" s="1083"/>
      <c r="AE137" s="1083"/>
      <c r="AF137" s="1083"/>
      <c r="AG137" s="1083"/>
      <c r="AH137" s="1083"/>
      <c r="AI137" s="1083"/>
      <c r="AJ137" s="1083"/>
      <c r="AK137" s="1083"/>
      <c r="AL137" s="1083"/>
      <c r="AM137" s="1083"/>
      <c r="AN137" s="1083"/>
      <c r="AO137" s="1083"/>
      <c r="AP137" s="1083"/>
      <c r="AQ137" s="1083"/>
      <c r="AR137" s="1083"/>
      <c r="AS137" s="1083"/>
      <c r="AT137" s="1083"/>
      <c r="AU137" s="1083"/>
      <c r="AV137" s="1083"/>
      <c r="AW137" s="1083"/>
      <c r="AX137" s="1083"/>
      <c r="AY137" s="1083"/>
      <c r="AZ137" s="1083"/>
      <c r="BA137" s="1083"/>
      <c r="BB137" s="1083"/>
      <c r="BC137" s="1083"/>
      <c r="BD137" s="1083"/>
      <c r="BE137" s="1083"/>
      <c r="BF137" s="1083"/>
      <c r="BG137" s="1083"/>
      <c r="BH137" s="1083"/>
      <c r="BI137" s="1083"/>
      <c r="BJ137" s="1083"/>
      <c r="BK137" s="1083"/>
      <c r="BL137" s="1083"/>
      <c r="BM137" s="1083"/>
      <c r="BN137" s="1083"/>
      <c r="BO137" s="1083"/>
    </row>
    <row r="138" spans="1:69" ht="13.5" customHeight="1" x14ac:dyDescent="0.2">
      <c r="A138" s="1087" t="s">
        <v>544</v>
      </c>
      <c r="B138" s="1087"/>
      <c r="C138" s="1087"/>
      <c r="D138" s="1087"/>
      <c r="E138" s="1087"/>
      <c r="F138" s="1087"/>
      <c r="G138" s="1087"/>
      <c r="H138" s="1087"/>
      <c r="I138" s="1087"/>
      <c r="J138" s="1087"/>
      <c r="K138" s="1087"/>
      <c r="L138" s="1087"/>
      <c r="M138" s="1087"/>
      <c r="N138" s="1087"/>
      <c r="O138" s="1087"/>
      <c r="P138" s="1087"/>
      <c r="Q138" s="1087"/>
      <c r="R138" s="1087"/>
      <c r="S138" s="1086">
        <v>58702</v>
      </c>
      <c r="T138" s="1086"/>
      <c r="U138" s="1086"/>
      <c r="V138" s="1086"/>
      <c r="W138" s="1086"/>
      <c r="X138" s="1086">
        <v>58702</v>
      </c>
      <c r="Y138" s="1086"/>
      <c r="Z138" s="1086"/>
      <c r="AA138" s="1086"/>
      <c r="AB138" s="1086"/>
      <c r="AC138" s="1086"/>
      <c r="AD138" s="1086">
        <v>58702</v>
      </c>
      <c r="AE138" s="1086"/>
      <c r="AF138" s="1086"/>
      <c r="AG138" s="1086"/>
      <c r="AH138" s="1086"/>
      <c r="AI138" s="1086"/>
      <c r="AJ138" s="1086">
        <v>58702</v>
      </c>
      <c r="AK138" s="1086"/>
      <c r="AL138" s="1086"/>
      <c r="AM138" s="1086"/>
      <c r="AN138" s="1086"/>
      <c r="AO138" s="1086"/>
      <c r="AP138" s="1086"/>
      <c r="AQ138" s="1086"/>
      <c r="AR138" s="1086"/>
      <c r="AS138" s="1086"/>
      <c r="AT138" s="1086"/>
      <c r="AU138" s="1086">
        <v>14704</v>
      </c>
      <c r="AV138" s="1086"/>
      <c r="AW138" s="1086"/>
      <c r="AX138" s="1086"/>
      <c r="AY138" s="1086"/>
      <c r="AZ138" s="1086"/>
      <c r="BA138" s="1086"/>
      <c r="BB138" s="1086"/>
      <c r="BC138" s="1086">
        <v>14704</v>
      </c>
      <c r="BD138" s="1086"/>
      <c r="BE138" s="1086"/>
      <c r="BF138" s="1086"/>
      <c r="BG138" s="1086">
        <v>14704</v>
      </c>
      <c r="BH138" s="1086"/>
      <c r="BI138" s="1086"/>
      <c r="BJ138" s="1086"/>
      <c r="BK138" s="1086">
        <v>14704</v>
      </c>
      <c r="BL138" s="1086"/>
      <c r="BM138" s="1086"/>
      <c r="BN138" s="1086"/>
      <c r="BO138" s="1086"/>
    </row>
    <row r="139" spans="1:69" ht="13.5" customHeight="1" x14ac:dyDescent="0.2">
      <c r="A139" s="1087" t="s">
        <v>545</v>
      </c>
      <c r="B139" s="1087"/>
      <c r="C139" s="1087"/>
      <c r="D139" s="1087"/>
      <c r="E139" s="1087"/>
      <c r="F139" s="1087"/>
      <c r="G139" s="1087"/>
      <c r="H139" s="1087"/>
      <c r="I139" s="1087"/>
      <c r="J139" s="1087"/>
      <c r="K139" s="1087"/>
      <c r="L139" s="1087"/>
      <c r="M139" s="1087"/>
      <c r="N139" s="1087"/>
      <c r="O139" s="1087"/>
      <c r="P139" s="1087"/>
      <c r="Q139" s="1087"/>
      <c r="R139" s="1087"/>
      <c r="S139" s="1086">
        <v>0</v>
      </c>
      <c r="T139" s="1086"/>
      <c r="U139" s="1086"/>
      <c r="V139" s="1086"/>
      <c r="W139" s="1086"/>
      <c r="X139" s="1086">
        <v>0</v>
      </c>
      <c r="Y139" s="1086"/>
      <c r="Z139" s="1086"/>
      <c r="AA139" s="1086"/>
      <c r="AB139" s="1086"/>
      <c r="AC139" s="1086"/>
      <c r="AD139" s="1086">
        <v>0</v>
      </c>
      <c r="AE139" s="1086"/>
      <c r="AF139" s="1086"/>
      <c r="AG139" s="1086"/>
      <c r="AH139" s="1086"/>
      <c r="AI139" s="1086"/>
      <c r="AJ139" s="1086">
        <v>0</v>
      </c>
      <c r="AK139" s="1086"/>
      <c r="AL139" s="1086"/>
      <c r="AM139" s="1086"/>
      <c r="AN139" s="1086"/>
      <c r="AO139" s="1086"/>
      <c r="AP139" s="1086"/>
      <c r="AQ139" s="1086"/>
      <c r="AR139" s="1086"/>
      <c r="AS139" s="1086"/>
      <c r="AT139" s="1086"/>
      <c r="AU139" s="1086">
        <v>8192</v>
      </c>
      <c r="AV139" s="1086"/>
      <c r="AW139" s="1086"/>
      <c r="AX139" s="1086"/>
      <c r="AY139" s="1086"/>
      <c r="AZ139" s="1086"/>
      <c r="BA139" s="1086"/>
      <c r="BB139" s="1086"/>
      <c r="BC139" s="1086">
        <v>8192</v>
      </c>
      <c r="BD139" s="1086"/>
      <c r="BE139" s="1086"/>
      <c r="BF139" s="1086"/>
      <c r="BG139" s="1086">
        <v>8192</v>
      </c>
      <c r="BH139" s="1086"/>
      <c r="BI139" s="1086"/>
      <c r="BJ139" s="1086"/>
      <c r="BK139" s="1086">
        <v>0</v>
      </c>
      <c r="BL139" s="1086"/>
      <c r="BM139" s="1086"/>
      <c r="BN139" s="1086"/>
      <c r="BO139" s="1086"/>
    </row>
    <row r="140" spans="1:69" ht="13.5" customHeight="1" x14ac:dyDescent="0.2">
      <c r="A140" s="1087" t="s">
        <v>546</v>
      </c>
      <c r="B140" s="1087"/>
      <c r="C140" s="1087"/>
      <c r="D140" s="1087"/>
      <c r="E140" s="1087"/>
      <c r="F140" s="1087"/>
      <c r="G140" s="1087"/>
      <c r="H140" s="1087"/>
      <c r="I140" s="1087"/>
      <c r="J140" s="1087"/>
      <c r="K140" s="1087"/>
      <c r="L140" s="1087"/>
      <c r="M140" s="1087"/>
      <c r="N140" s="1087"/>
      <c r="O140" s="1087"/>
      <c r="P140" s="1087"/>
      <c r="Q140" s="1087"/>
      <c r="R140" s="1087"/>
      <c r="S140" s="1086">
        <v>58702</v>
      </c>
      <c r="T140" s="1086"/>
      <c r="U140" s="1086"/>
      <c r="V140" s="1086"/>
      <c r="W140" s="1086"/>
      <c r="X140" s="1086">
        <v>58702</v>
      </c>
      <c r="Y140" s="1086"/>
      <c r="Z140" s="1086"/>
      <c r="AA140" s="1086"/>
      <c r="AB140" s="1086"/>
      <c r="AC140" s="1086"/>
      <c r="AD140" s="1086">
        <v>58702</v>
      </c>
      <c r="AE140" s="1086"/>
      <c r="AF140" s="1086"/>
      <c r="AG140" s="1086"/>
      <c r="AH140" s="1086"/>
      <c r="AI140" s="1086"/>
      <c r="AJ140" s="1086">
        <v>58702</v>
      </c>
      <c r="AK140" s="1086"/>
      <c r="AL140" s="1086"/>
      <c r="AM140" s="1086"/>
      <c r="AN140" s="1086"/>
      <c r="AO140" s="1086"/>
      <c r="AP140" s="1086"/>
      <c r="AQ140" s="1086"/>
      <c r="AR140" s="1086"/>
      <c r="AS140" s="1086"/>
      <c r="AT140" s="1086"/>
      <c r="AU140" s="1086">
        <v>6512</v>
      </c>
      <c r="AV140" s="1086"/>
      <c r="AW140" s="1086"/>
      <c r="AX140" s="1086"/>
      <c r="AY140" s="1086"/>
      <c r="AZ140" s="1086"/>
      <c r="BA140" s="1086"/>
      <c r="BB140" s="1086"/>
      <c r="BC140" s="1086">
        <v>6512</v>
      </c>
      <c r="BD140" s="1086"/>
      <c r="BE140" s="1086"/>
      <c r="BF140" s="1086"/>
      <c r="BG140" s="1086">
        <v>6512</v>
      </c>
      <c r="BH140" s="1086"/>
      <c r="BI140" s="1086"/>
      <c r="BJ140" s="1086"/>
      <c r="BK140" s="1086">
        <v>6512</v>
      </c>
      <c r="BL140" s="1086"/>
      <c r="BM140" s="1086"/>
      <c r="BN140" s="1086"/>
      <c r="BO140" s="1086"/>
    </row>
    <row r="141" spans="1:69" ht="13.5" customHeight="1" x14ac:dyDescent="0.2">
      <c r="A141" s="1087" t="s">
        <v>547</v>
      </c>
      <c r="B141" s="1087"/>
      <c r="C141" s="1087"/>
      <c r="D141" s="1087"/>
      <c r="E141" s="1087"/>
      <c r="F141" s="1087"/>
      <c r="G141" s="1087"/>
      <c r="H141" s="1087"/>
      <c r="I141" s="1087"/>
      <c r="J141" s="1087"/>
      <c r="K141" s="1087"/>
      <c r="L141" s="1087"/>
      <c r="M141" s="1087"/>
      <c r="N141" s="1087"/>
      <c r="O141" s="1087"/>
      <c r="P141" s="1087"/>
      <c r="Q141" s="1087"/>
      <c r="R141" s="1087"/>
      <c r="S141" s="1086">
        <v>0</v>
      </c>
      <c r="T141" s="1086"/>
      <c r="U141" s="1086"/>
      <c r="V141" s="1086"/>
      <c r="W141" s="1086"/>
      <c r="X141" s="1086">
        <v>0</v>
      </c>
      <c r="Y141" s="1086"/>
      <c r="Z141" s="1086"/>
      <c r="AA141" s="1086"/>
      <c r="AB141" s="1086"/>
      <c r="AC141" s="1086"/>
      <c r="AD141" s="1086">
        <v>0</v>
      </c>
      <c r="AE141" s="1086"/>
      <c r="AF141" s="1086"/>
      <c r="AG141" s="1086"/>
      <c r="AH141" s="1086"/>
      <c r="AI141" s="1086"/>
      <c r="AJ141" s="1086">
        <v>0</v>
      </c>
      <c r="AK141" s="1086"/>
      <c r="AL141" s="1086"/>
      <c r="AM141" s="1086"/>
      <c r="AN141" s="1086"/>
      <c r="AO141" s="1086"/>
      <c r="AP141" s="1086"/>
      <c r="AQ141" s="1086"/>
      <c r="AR141" s="1086"/>
      <c r="AS141" s="1086"/>
      <c r="AT141" s="1086"/>
      <c r="AU141" s="1086">
        <v>0</v>
      </c>
      <c r="AV141" s="1086"/>
      <c r="AW141" s="1086"/>
      <c r="AX141" s="1086"/>
      <c r="AY141" s="1086"/>
      <c r="AZ141" s="1086"/>
      <c r="BA141" s="1086"/>
      <c r="BB141" s="1086"/>
      <c r="BC141" s="1086">
        <v>0</v>
      </c>
      <c r="BD141" s="1086"/>
      <c r="BE141" s="1086"/>
      <c r="BF141" s="1086"/>
      <c r="BG141" s="1086">
        <v>0</v>
      </c>
      <c r="BH141" s="1086"/>
      <c r="BI141" s="1086"/>
      <c r="BJ141" s="1086"/>
      <c r="BK141" s="1086">
        <v>0</v>
      </c>
      <c r="BL141" s="1086"/>
      <c r="BM141" s="1086"/>
      <c r="BN141" s="1086"/>
      <c r="BO141" s="1086"/>
    </row>
    <row r="142" spans="1:69" ht="13.5" customHeight="1" x14ac:dyDescent="0.2">
      <c r="A142" s="1087" t="s">
        <v>548</v>
      </c>
      <c r="B142" s="1087"/>
      <c r="C142" s="1087"/>
      <c r="D142" s="1087"/>
      <c r="E142" s="1087"/>
      <c r="F142" s="1087"/>
      <c r="G142" s="1087"/>
      <c r="H142" s="1087"/>
      <c r="I142" s="1087"/>
      <c r="J142" s="1087"/>
      <c r="K142" s="1087"/>
      <c r="L142" s="1087"/>
      <c r="M142" s="1087"/>
      <c r="N142" s="1087"/>
      <c r="O142" s="1087"/>
      <c r="P142" s="1087"/>
      <c r="Q142" s="1087"/>
      <c r="R142" s="1087"/>
      <c r="S142" s="1086">
        <v>0</v>
      </c>
      <c r="T142" s="1086"/>
      <c r="U142" s="1086"/>
      <c r="V142" s="1086"/>
      <c r="W142" s="1086"/>
      <c r="X142" s="1086">
        <v>0</v>
      </c>
      <c r="Y142" s="1086"/>
      <c r="Z142" s="1086"/>
      <c r="AA142" s="1086"/>
      <c r="AB142" s="1086"/>
      <c r="AC142" s="1086"/>
      <c r="AD142" s="1086">
        <v>0</v>
      </c>
      <c r="AE142" s="1086"/>
      <c r="AF142" s="1086"/>
      <c r="AG142" s="1086"/>
      <c r="AH142" s="1086"/>
      <c r="AI142" s="1086"/>
      <c r="AJ142" s="1086">
        <v>0</v>
      </c>
      <c r="AK142" s="1086"/>
      <c r="AL142" s="1086"/>
      <c r="AM142" s="1086"/>
      <c r="AN142" s="1086"/>
      <c r="AO142" s="1086"/>
      <c r="AP142" s="1086"/>
      <c r="AQ142" s="1086"/>
      <c r="AR142" s="1086"/>
      <c r="AS142" s="1086"/>
      <c r="AT142" s="1086"/>
      <c r="AU142" s="1086">
        <v>0</v>
      </c>
      <c r="AV142" s="1086"/>
      <c r="AW142" s="1086"/>
      <c r="AX142" s="1086"/>
      <c r="AY142" s="1086"/>
      <c r="AZ142" s="1086"/>
      <c r="BA142" s="1086"/>
      <c r="BB142" s="1086"/>
      <c r="BC142" s="1086">
        <v>0</v>
      </c>
      <c r="BD142" s="1086"/>
      <c r="BE142" s="1086"/>
      <c r="BF142" s="1086"/>
      <c r="BG142" s="1086">
        <v>0</v>
      </c>
      <c r="BH142" s="1086"/>
      <c r="BI142" s="1086"/>
      <c r="BJ142" s="1086"/>
      <c r="BK142" s="1086">
        <v>0</v>
      </c>
      <c r="BL142" s="1086"/>
      <c r="BM142" s="1086"/>
      <c r="BN142" s="1086"/>
      <c r="BO142" s="1086"/>
    </row>
    <row r="143" spans="1:69" ht="13.5" customHeight="1" x14ac:dyDescent="0.2">
      <c r="A143" s="1087" t="s">
        <v>549</v>
      </c>
      <c r="B143" s="1087"/>
      <c r="C143" s="1087"/>
      <c r="D143" s="1087"/>
      <c r="E143" s="1087"/>
      <c r="F143" s="1087"/>
      <c r="G143" s="1087"/>
      <c r="H143" s="1087"/>
      <c r="I143" s="1087"/>
      <c r="J143" s="1087"/>
      <c r="K143" s="1087"/>
      <c r="L143" s="1087"/>
      <c r="M143" s="1087"/>
      <c r="N143" s="1087"/>
      <c r="O143" s="1087"/>
      <c r="P143" s="1087"/>
      <c r="Q143" s="1087"/>
      <c r="R143" s="1087"/>
      <c r="S143" s="1086">
        <v>0</v>
      </c>
      <c r="T143" s="1086"/>
      <c r="U143" s="1086"/>
      <c r="V143" s="1086"/>
      <c r="W143" s="1086"/>
      <c r="X143" s="1086">
        <v>0</v>
      </c>
      <c r="Y143" s="1086"/>
      <c r="Z143" s="1086"/>
      <c r="AA143" s="1086"/>
      <c r="AB143" s="1086"/>
      <c r="AC143" s="1086"/>
      <c r="AD143" s="1086">
        <v>0</v>
      </c>
      <c r="AE143" s="1086"/>
      <c r="AF143" s="1086"/>
      <c r="AG143" s="1086"/>
      <c r="AH143" s="1086"/>
      <c r="AI143" s="1086"/>
      <c r="AJ143" s="1086">
        <v>0</v>
      </c>
      <c r="AK143" s="1086"/>
      <c r="AL143" s="1086"/>
      <c r="AM143" s="1086"/>
      <c r="AN143" s="1086"/>
      <c r="AO143" s="1086"/>
      <c r="AP143" s="1086"/>
      <c r="AQ143" s="1086"/>
      <c r="AR143" s="1086"/>
      <c r="AS143" s="1086"/>
      <c r="AT143" s="1086"/>
      <c r="AU143" s="1086">
        <v>0</v>
      </c>
      <c r="AV143" s="1086"/>
      <c r="AW143" s="1086"/>
      <c r="AX143" s="1086"/>
      <c r="AY143" s="1086"/>
      <c r="AZ143" s="1086"/>
      <c r="BA143" s="1086"/>
      <c r="BB143" s="1086"/>
      <c r="BC143" s="1086">
        <v>0</v>
      </c>
      <c r="BD143" s="1086"/>
      <c r="BE143" s="1086"/>
      <c r="BF143" s="1086"/>
      <c r="BG143" s="1086">
        <v>0</v>
      </c>
      <c r="BH143" s="1086"/>
      <c r="BI143" s="1086"/>
      <c r="BJ143" s="1086"/>
      <c r="BK143" s="1086">
        <v>0</v>
      </c>
      <c r="BL143" s="1086"/>
      <c r="BM143" s="1086"/>
      <c r="BN143" s="1086"/>
      <c r="BO143" s="1086"/>
    </row>
    <row r="144" spans="1:69" ht="26" customHeight="1" x14ac:dyDescent="0.2">
      <c r="A144" s="1087" t="s">
        <v>550</v>
      </c>
      <c r="B144" s="1087"/>
      <c r="C144" s="1087"/>
      <c r="D144" s="1087"/>
      <c r="E144" s="1087"/>
      <c r="F144" s="1087"/>
      <c r="G144" s="1087"/>
      <c r="H144" s="1087"/>
      <c r="I144" s="1087"/>
      <c r="J144" s="1087"/>
      <c r="K144" s="1087"/>
      <c r="L144" s="1087"/>
      <c r="M144" s="1087"/>
      <c r="N144" s="1087"/>
      <c r="O144" s="1087"/>
      <c r="P144" s="1087"/>
      <c r="Q144" s="1087"/>
      <c r="R144" s="1087"/>
      <c r="S144" s="1086">
        <v>0</v>
      </c>
      <c r="T144" s="1086"/>
      <c r="U144" s="1086"/>
      <c r="V144" s="1086"/>
      <c r="W144" s="1086"/>
      <c r="X144" s="1086">
        <v>0</v>
      </c>
      <c r="Y144" s="1086"/>
      <c r="Z144" s="1086"/>
      <c r="AA144" s="1086"/>
      <c r="AB144" s="1086"/>
      <c r="AC144" s="1086"/>
      <c r="AD144" s="1086">
        <v>0</v>
      </c>
      <c r="AE144" s="1086"/>
      <c r="AF144" s="1086"/>
      <c r="AG144" s="1086"/>
      <c r="AH144" s="1086"/>
      <c r="AI144" s="1086"/>
      <c r="AJ144" s="1086">
        <v>0</v>
      </c>
      <c r="AK144" s="1086"/>
      <c r="AL144" s="1086"/>
      <c r="AM144" s="1086"/>
      <c r="AN144" s="1086"/>
      <c r="AO144" s="1086"/>
      <c r="AP144" s="1086"/>
      <c r="AQ144" s="1086"/>
      <c r="AR144" s="1086"/>
      <c r="AS144" s="1086"/>
      <c r="AT144" s="1086"/>
      <c r="AU144" s="1086">
        <v>0</v>
      </c>
      <c r="AV144" s="1086"/>
      <c r="AW144" s="1086"/>
      <c r="AX144" s="1086"/>
      <c r="AY144" s="1086"/>
      <c r="AZ144" s="1086"/>
      <c r="BA144" s="1086"/>
      <c r="BB144" s="1086"/>
      <c r="BC144" s="1086">
        <v>0</v>
      </c>
      <c r="BD144" s="1086"/>
      <c r="BE144" s="1086"/>
      <c r="BF144" s="1086"/>
      <c r="BG144" s="1086">
        <v>0</v>
      </c>
      <c r="BH144" s="1086"/>
      <c r="BI144" s="1086"/>
      <c r="BJ144" s="1086"/>
      <c r="BK144" s="1086">
        <v>0</v>
      </c>
      <c r="BL144" s="1086"/>
      <c r="BM144" s="1086"/>
      <c r="BN144" s="1086"/>
      <c r="BO144" s="1086"/>
    </row>
    <row r="145" spans="1:67" ht="13.5" customHeight="1" x14ac:dyDescent="0.2">
      <c r="A145" s="1087" t="s">
        <v>551</v>
      </c>
      <c r="B145" s="1087"/>
      <c r="C145" s="1087"/>
      <c r="D145" s="1087"/>
      <c r="E145" s="1087"/>
      <c r="F145" s="1087"/>
      <c r="G145" s="1087"/>
      <c r="H145" s="1087"/>
      <c r="I145" s="1087"/>
      <c r="J145" s="1087"/>
      <c r="K145" s="1087"/>
      <c r="L145" s="1087"/>
      <c r="M145" s="1087"/>
      <c r="N145" s="1087"/>
      <c r="O145" s="1087"/>
      <c r="P145" s="1087"/>
      <c r="Q145" s="1087"/>
      <c r="R145" s="1087"/>
      <c r="S145" s="1086">
        <v>58702</v>
      </c>
      <c r="T145" s="1086"/>
      <c r="U145" s="1086"/>
      <c r="V145" s="1086"/>
      <c r="W145" s="1086"/>
      <c r="X145" s="1086">
        <v>58702</v>
      </c>
      <c r="Y145" s="1086"/>
      <c r="Z145" s="1086"/>
      <c r="AA145" s="1086"/>
      <c r="AB145" s="1086"/>
      <c r="AC145" s="1086"/>
      <c r="AD145" s="1086">
        <v>58702</v>
      </c>
      <c r="AE145" s="1086"/>
      <c r="AF145" s="1086"/>
      <c r="AG145" s="1086"/>
      <c r="AH145" s="1086"/>
      <c r="AI145" s="1086"/>
      <c r="AJ145" s="1086">
        <v>58702</v>
      </c>
      <c r="AK145" s="1086"/>
      <c r="AL145" s="1086"/>
      <c r="AM145" s="1086"/>
      <c r="AN145" s="1086"/>
      <c r="AO145" s="1086"/>
      <c r="AP145" s="1086"/>
      <c r="AQ145" s="1086"/>
      <c r="AR145" s="1086"/>
      <c r="AS145" s="1086"/>
      <c r="AT145" s="1086"/>
      <c r="AU145" s="1086">
        <v>6512</v>
      </c>
      <c r="AV145" s="1086"/>
      <c r="AW145" s="1086"/>
      <c r="AX145" s="1086"/>
      <c r="AY145" s="1086"/>
      <c r="AZ145" s="1086"/>
      <c r="BA145" s="1086"/>
      <c r="BB145" s="1086"/>
      <c r="BC145" s="1086">
        <v>6512</v>
      </c>
      <c r="BD145" s="1086"/>
      <c r="BE145" s="1086"/>
      <c r="BF145" s="1086"/>
      <c r="BG145" s="1086">
        <v>6512</v>
      </c>
      <c r="BH145" s="1086"/>
      <c r="BI145" s="1086"/>
      <c r="BJ145" s="1086"/>
      <c r="BK145" s="1086">
        <v>6512</v>
      </c>
      <c r="BL145" s="1086"/>
      <c r="BM145" s="1086"/>
      <c r="BN145" s="1086"/>
      <c r="BO145" s="1086"/>
    </row>
    <row r="146" spans="1:67" ht="13.5" customHeight="1" x14ac:dyDescent="0.2">
      <c r="A146" s="1087" t="s">
        <v>552</v>
      </c>
      <c r="B146" s="1087"/>
      <c r="C146" s="1087"/>
      <c r="D146" s="1087"/>
      <c r="E146" s="1087"/>
      <c r="F146" s="1087"/>
      <c r="G146" s="1087"/>
      <c r="H146" s="1087"/>
      <c r="I146" s="1087"/>
      <c r="J146" s="1087"/>
      <c r="K146" s="1087"/>
      <c r="L146" s="1087"/>
      <c r="M146" s="1087"/>
      <c r="N146" s="1087"/>
      <c r="O146" s="1087"/>
      <c r="P146" s="1087"/>
      <c r="Q146" s="1087"/>
      <c r="R146" s="1087"/>
      <c r="S146" s="1086">
        <v>0</v>
      </c>
      <c r="T146" s="1086"/>
      <c r="U146" s="1086"/>
      <c r="V146" s="1086"/>
      <c r="W146" s="1086"/>
      <c r="X146" s="1086">
        <v>0</v>
      </c>
      <c r="Y146" s="1086"/>
      <c r="Z146" s="1086"/>
      <c r="AA146" s="1086"/>
      <c r="AB146" s="1086"/>
      <c r="AC146" s="1086"/>
      <c r="AD146" s="1086">
        <v>0</v>
      </c>
      <c r="AE146" s="1086"/>
      <c r="AF146" s="1086"/>
      <c r="AG146" s="1086"/>
      <c r="AH146" s="1086"/>
      <c r="AI146" s="1086"/>
      <c r="AJ146" s="1086">
        <v>0</v>
      </c>
      <c r="AK146" s="1086"/>
      <c r="AL146" s="1086"/>
      <c r="AM146" s="1086"/>
      <c r="AN146" s="1086"/>
      <c r="AO146" s="1086"/>
      <c r="AP146" s="1086"/>
      <c r="AQ146" s="1086"/>
      <c r="AR146" s="1086"/>
      <c r="AS146" s="1086"/>
      <c r="AT146" s="1086"/>
      <c r="AU146" s="1086">
        <v>8192</v>
      </c>
      <c r="AV146" s="1086"/>
      <c r="AW146" s="1086"/>
      <c r="AX146" s="1086"/>
      <c r="AY146" s="1086"/>
      <c r="AZ146" s="1086"/>
      <c r="BA146" s="1086"/>
      <c r="BB146" s="1086"/>
      <c r="BC146" s="1086">
        <v>8192</v>
      </c>
      <c r="BD146" s="1086"/>
      <c r="BE146" s="1086"/>
      <c r="BF146" s="1086"/>
      <c r="BG146" s="1086">
        <v>8192</v>
      </c>
      <c r="BH146" s="1086"/>
      <c r="BI146" s="1086"/>
      <c r="BJ146" s="1086"/>
      <c r="BK146" s="1086">
        <v>8192</v>
      </c>
      <c r="BL146" s="1086"/>
      <c r="BM146" s="1086"/>
      <c r="BN146" s="1086"/>
      <c r="BO146" s="1086"/>
    </row>
    <row r="147" spans="1:67" ht="13.5" customHeight="1" x14ac:dyDescent="0.2">
      <c r="A147" s="1087" t="s">
        <v>553</v>
      </c>
      <c r="B147" s="1087"/>
      <c r="C147" s="1087"/>
      <c r="D147" s="1087"/>
      <c r="E147" s="1087"/>
      <c r="F147" s="1087"/>
      <c r="G147" s="1087"/>
      <c r="H147" s="1087"/>
      <c r="I147" s="1087"/>
      <c r="J147" s="1087"/>
      <c r="K147" s="1087"/>
      <c r="L147" s="1087"/>
      <c r="M147" s="1087"/>
      <c r="N147" s="1087"/>
      <c r="O147" s="1087"/>
      <c r="P147" s="1087"/>
      <c r="Q147" s="1087"/>
      <c r="R147" s="1087"/>
      <c r="S147" s="1086">
        <v>0</v>
      </c>
      <c r="T147" s="1086"/>
      <c r="U147" s="1086"/>
      <c r="V147" s="1086"/>
      <c r="W147" s="1086"/>
      <c r="X147" s="1086">
        <v>0</v>
      </c>
      <c r="Y147" s="1086"/>
      <c r="Z147" s="1086"/>
      <c r="AA147" s="1086"/>
      <c r="AB147" s="1086"/>
      <c r="AC147" s="1086"/>
      <c r="AD147" s="1086">
        <v>0</v>
      </c>
      <c r="AE147" s="1086"/>
      <c r="AF147" s="1086"/>
      <c r="AG147" s="1086"/>
      <c r="AH147" s="1086"/>
      <c r="AI147" s="1086"/>
      <c r="AJ147" s="1086">
        <v>0</v>
      </c>
      <c r="AK147" s="1086"/>
      <c r="AL147" s="1086"/>
      <c r="AM147" s="1086"/>
      <c r="AN147" s="1086"/>
      <c r="AO147" s="1086"/>
      <c r="AP147" s="1086"/>
      <c r="AQ147" s="1086"/>
      <c r="AR147" s="1086"/>
      <c r="AS147" s="1086"/>
      <c r="AT147" s="1086"/>
      <c r="AU147" s="1086">
        <v>0</v>
      </c>
      <c r="AV147" s="1086"/>
      <c r="AW147" s="1086"/>
      <c r="AX147" s="1086"/>
      <c r="AY147" s="1086"/>
      <c r="AZ147" s="1086"/>
      <c r="BA147" s="1086"/>
      <c r="BB147" s="1086"/>
      <c r="BC147" s="1086">
        <v>0</v>
      </c>
      <c r="BD147" s="1086"/>
      <c r="BE147" s="1086"/>
      <c r="BF147" s="1086"/>
      <c r="BG147" s="1086">
        <v>0</v>
      </c>
      <c r="BH147" s="1086"/>
      <c r="BI147" s="1086"/>
      <c r="BJ147" s="1086"/>
      <c r="BK147" s="1086">
        <v>0</v>
      </c>
      <c r="BL147" s="1086"/>
      <c r="BM147" s="1086"/>
      <c r="BN147" s="1086"/>
      <c r="BO147" s="1086"/>
    </row>
    <row r="148" spans="1:67" ht="13.5" customHeight="1" x14ac:dyDescent="0.2">
      <c r="A148" s="1087" t="s">
        <v>554</v>
      </c>
      <c r="B148" s="1087"/>
      <c r="C148" s="1087"/>
      <c r="D148" s="1087"/>
      <c r="E148" s="1087"/>
      <c r="F148" s="1087"/>
      <c r="G148" s="1087"/>
      <c r="H148" s="1087"/>
      <c r="I148" s="1087"/>
      <c r="J148" s="1087"/>
      <c r="K148" s="1087"/>
      <c r="L148" s="1087"/>
      <c r="M148" s="1087"/>
      <c r="N148" s="1087"/>
      <c r="O148" s="1087"/>
      <c r="P148" s="1087"/>
      <c r="Q148" s="1087"/>
      <c r="R148" s="1087"/>
      <c r="S148" s="1086">
        <v>0</v>
      </c>
      <c r="T148" s="1086"/>
      <c r="U148" s="1086"/>
      <c r="V148" s="1086"/>
      <c r="W148" s="1086"/>
      <c r="X148" s="1086">
        <v>0</v>
      </c>
      <c r="Y148" s="1086"/>
      <c r="Z148" s="1086"/>
      <c r="AA148" s="1086"/>
      <c r="AB148" s="1086"/>
      <c r="AC148" s="1086"/>
      <c r="AD148" s="1086">
        <v>0</v>
      </c>
      <c r="AE148" s="1086"/>
      <c r="AF148" s="1086"/>
      <c r="AG148" s="1086"/>
      <c r="AH148" s="1086"/>
      <c r="AI148" s="1086"/>
      <c r="AJ148" s="1086">
        <v>0</v>
      </c>
      <c r="AK148" s="1086"/>
      <c r="AL148" s="1086"/>
      <c r="AM148" s="1086"/>
      <c r="AN148" s="1086"/>
      <c r="AO148" s="1086"/>
      <c r="AP148" s="1086"/>
      <c r="AQ148" s="1086"/>
      <c r="AR148" s="1086"/>
      <c r="AS148" s="1086"/>
      <c r="AT148" s="1086"/>
      <c r="AU148" s="1086">
        <v>0</v>
      </c>
      <c r="AV148" s="1086"/>
      <c r="AW148" s="1086"/>
      <c r="AX148" s="1086"/>
      <c r="AY148" s="1086"/>
      <c r="AZ148" s="1086"/>
      <c r="BA148" s="1086"/>
      <c r="BB148" s="1086"/>
      <c r="BC148" s="1086">
        <v>0</v>
      </c>
      <c r="BD148" s="1086"/>
      <c r="BE148" s="1086"/>
      <c r="BF148" s="1086"/>
      <c r="BG148" s="1086">
        <v>0</v>
      </c>
      <c r="BH148" s="1086"/>
      <c r="BI148" s="1086"/>
      <c r="BJ148" s="1086"/>
      <c r="BK148" s="1086">
        <v>0</v>
      </c>
      <c r="BL148" s="1086"/>
      <c r="BM148" s="1086"/>
      <c r="BN148" s="1086"/>
      <c r="BO148" s="1086"/>
    </row>
    <row r="149" spans="1:67" ht="13.5" customHeight="1" x14ac:dyDescent="0.2">
      <c r="A149" s="1087" t="s">
        <v>555</v>
      </c>
      <c r="B149" s="1087"/>
      <c r="C149" s="1087"/>
      <c r="D149" s="1087"/>
      <c r="E149" s="1087"/>
      <c r="F149" s="1087"/>
      <c r="G149" s="1087"/>
      <c r="H149" s="1087"/>
      <c r="I149" s="1087"/>
      <c r="J149" s="1087"/>
      <c r="K149" s="1087"/>
      <c r="L149" s="1087"/>
      <c r="M149" s="1087"/>
      <c r="N149" s="1087"/>
      <c r="O149" s="1087"/>
      <c r="P149" s="1087"/>
      <c r="Q149" s="1087"/>
      <c r="R149" s="1087"/>
      <c r="S149" s="1086">
        <v>0</v>
      </c>
      <c r="T149" s="1086"/>
      <c r="U149" s="1086"/>
      <c r="V149" s="1086"/>
      <c r="W149" s="1086"/>
      <c r="X149" s="1086">
        <v>0</v>
      </c>
      <c r="Y149" s="1086"/>
      <c r="Z149" s="1086"/>
      <c r="AA149" s="1086"/>
      <c r="AB149" s="1086"/>
      <c r="AC149" s="1086"/>
      <c r="AD149" s="1086">
        <v>0</v>
      </c>
      <c r="AE149" s="1086"/>
      <c r="AF149" s="1086"/>
      <c r="AG149" s="1086"/>
      <c r="AH149" s="1086"/>
      <c r="AI149" s="1086"/>
      <c r="AJ149" s="1086">
        <v>0</v>
      </c>
      <c r="AK149" s="1086"/>
      <c r="AL149" s="1086"/>
      <c r="AM149" s="1086"/>
      <c r="AN149" s="1086"/>
      <c r="AO149" s="1086"/>
      <c r="AP149" s="1086"/>
      <c r="AQ149" s="1086"/>
      <c r="AR149" s="1086"/>
      <c r="AS149" s="1086"/>
      <c r="AT149" s="1086"/>
      <c r="AU149" s="1086">
        <v>0</v>
      </c>
      <c r="AV149" s="1086"/>
      <c r="AW149" s="1086"/>
      <c r="AX149" s="1086"/>
      <c r="AY149" s="1086"/>
      <c r="AZ149" s="1086"/>
      <c r="BA149" s="1086"/>
      <c r="BB149" s="1086"/>
      <c r="BC149" s="1086">
        <v>0</v>
      </c>
      <c r="BD149" s="1086"/>
      <c r="BE149" s="1086"/>
      <c r="BF149" s="1086"/>
      <c r="BG149" s="1086">
        <v>0</v>
      </c>
      <c r="BH149" s="1086"/>
      <c r="BI149" s="1086"/>
      <c r="BJ149" s="1086"/>
      <c r="BK149" s="1086">
        <v>0</v>
      </c>
      <c r="BL149" s="1086"/>
      <c r="BM149" s="1086"/>
      <c r="BN149" s="1086"/>
      <c r="BO149" s="1086"/>
    </row>
    <row r="150" spans="1:67" ht="13.5" customHeight="1" x14ac:dyDescent="0.2">
      <c r="A150" s="1087" t="s">
        <v>556</v>
      </c>
      <c r="B150" s="1087"/>
      <c r="C150" s="1087"/>
      <c r="D150" s="1087"/>
      <c r="E150" s="1087"/>
      <c r="F150" s="1087"/>
      <c r="G150" s="1087"/>
      <c r="H150" s="1087"/>
      <c r="I150" s="1087"/>
      <c r="J150" s="1087"/>
      <c r="K150" s="1087"/>
      <c r="L150" s="1087"/>
      <c r="M150" s="1087"/>
      <c r="N150" s="1087"/>
      <c r="O150" s="1087"/>
      <c r="P150" s="1087"/>
      <c r="Q150" s="1087"/>
      <c r="R150" s="1087"/>
      <c r="S150" s="1086">
        <v>0</v>
      </c>
      <c r="T150" s="1086"/>
      <c r="U150" s="1086"/>
      <c r="V150" s="1086"/>
      <c r="W150" s="1086"/>
      <c r="X150" s="1086">
        <v>0</v>
      </c>
      <c r="Y150" s="1086"/>
      <c r="Z150" s="1086"/>
      <c r="AA150" s="1086"/>
      <c r="AB150" s="1086"/>
      <c r="AC150" s="1086"/>
      <c r="AD150" s="1086">
        <v>0</v>
      </c>
      <c r="AE150" s="1086"/>
      <c r="AF150" s="1086"/>
      <c r="AG150" s="1086"/>
      <c r="AH150" s="1086"/>
      <c r="AI150" s="1086"/>
      <c r="AJ150" s="1086">
        <v>0</v>
      </c>
      <c r="AK150" s="1086"/>
      <c r="AL150" s="1086"/>
      <c r="AM150" s="1086"/>
      <c r="AN150" s="1086"/>
      <c r="AO150" s="1086"/>
      <c r="AP150" s="1086"/>
      <c r="AQ150" s="1086"/>
      <c r="AR150" s="1086"/>
      <c r="AS150" s="1086"/>
      <c r="AT150" s="1086"/>
      <c r="AU150" s="1086">
        <v>0</v>
      </c>
      <c r="AV150" s="1086"/>
      <c r="AW150" s="1086"/>
      <c r="AX150" s="1086"/>
      <c r="AY150" s="1086"/>
      <c r="AZ150" s="1086"/>
      <c r="BA150" s="1086"/>
      <c r="BB150" s="1086"/>
      <c r="BC150" s="1086">
        <v>0</v>
      </c>
      <c r="BD150" s="1086"/>
      <c r="BE150" s="1086"/>
      <c r="BF150" s="1086"/>
      <c r="BG150" s="1086">
        <v>0</v>
      </c>
      <c r="BH150" s="1086"/>
      <c r="BI150" s="1086"/>
      <c r="BJ150" s="1086"/>
      <c r="BK150" s="1086">
        <v>0</v>
      </c>
      <c r="BL150" s="1086"/>
      <c r="BM150" s="1086"/>
      <c r="BN150" s="1086"/>
      <c r="BO150" s="1086"/>
    </row>
    <row r="151" spans="1:67" ht="13.5" customHeight="1" x14ac:dyDescent="0.2">
      <c r="A151" s="1087" t="s">
        <v>557</v>
      </c>
      <c r="B151" s="1087"/>
      <c r="C151" s="1087"/>
      <c r="D151" s="1087"/>
      <c r="E151" s="1087"/>
      <c r="F151" s="1087"/>
      <c r="G151" s="1087"/>
      <c r="H151" s="1087"/>
      <c r="I151" s="1087"/>
      <c r="J151" s="1087"/>
      <c r="K151" s="1087"/>
      <c r="L151" s="1087"/>
      <c r="M151" s="1087"/>
      <c r="N151" s="1087"/>
      <c r="O151" s="1087"/>
      <c r="P151" s="1087"/>
      <c r="Q151" s="1087"/>
      <c r="R151" s="1087"/>
      <c r="S151" s="1086">
        <v>0</v>
      </c>
      <c r="T151" s="1086"/>
      <c r="U151" s="1086"/>
      <c r="V151" s="1086"/>
      <c r="W151" s="1086"/>
      <c r="X151" s="1086">
        <v>0</v>
      </c>
      <c r="Y151" s="1086"/>
      <c r="Z151" s="1086"/>
      <c r="AA151" s="1086"/>
      <c r="AB151" s="1086"/>
      <c r="AC151" s="1086"/>
      <c r="AD151" s="1086">
        <v>0</v>
      </c>
      <c r="AE151" s="1086"/>
      <c r="AF151" s="1086"/>
      <c r="AG151" s="1086"/>
      <c r="AH151" s="1086"/>
      <c r="AI151" s="1086"/>
      <c r="AJ151" s="1086">
        <v>0</v>
      </c>
      <c r="AK151" s="1086"/>
      <c r="AL151" s="1086"/>
      <c r="AM151" s="1086"/>
      <c r="AN151" s="1086"/>
      <c r="AO151" s="1086"/>
      <c r="AP151" s="1086"/>
      <c r="AQ151" s="1086"/>
      <c r="AR151" s="1086"/>
      <c r="AS151" s="1086"/>
      <c r="AT151" s="1086"/>
      <c r="AU151" s="1086">
        <v>0</v>
      </c>
      <c r="AV151" s="1086"/>
      <c r="AW151" s="1086"/>
      <c r="AX151" s="1086"/>
      <c r="AY151" s="1086"/>
      <c r="AZ151" s="1086"/>
      <c r="BA151" s="1086"/>
      <c r="BB151" s="1086"/>
      <c r="BC151" s="1086">
        <v>0</v>
      </c>
      <c r="BD151" s="1086"/>
      <c r="BE151" s="1086"/>
      <c r="BF151" s="1086"/>
      <c r="BG151" s="1086">
        <v>0</v>
      </c>
      <c r="BH151" s="1086"/>
      <c r="BI151" s="1086"/>
      <c r="BJ151" s="1086"/>
      <c r="BK151" s="1086">
        <v>0</v>
      </c>
      <c r="BL151" s="1086"/>
      <c r="BM151" s="1086"/>
      <c r="BN151" s="1086"/>
      <c r="BO151" s="1086"/>
    </row>
    <row r="152" spans="1:67" ht="13.5" customHeight="1" x14ac:dyDescent="0.2">
      <c r="A152" s="1087" t="s">
        <v>558</v>
      </c>
      <c r="B152" s="1087"/>
      <c r="C152" s="1087"/>
      <c r="D152" s="1087"/>
      <c r="E152" s="1087"/>
      <c r="F152" s="1087"/>
      <c r="G152" s="1087"/>
      <c r="H152" s="1087"/>
      <c r="I152" s="1087"/>
      <c r="J152" s="1087"/>
      <c r="K152" s="1087"/>
      <c r="L152" s="1087"/>
      <c r="M152" s="1087"/>
      <c r="N152" s="1087"/>
      <c r="O152" s="1087"/>
      <c r="P152" s="1087"/>
      <c r="Q152" s="1087"/>
      <c r="R152" s="1087"/>
      <c r="S152" s="1086">
        <v>0</v>
      </c>
      <c r="T152" s="1086"/>
      <c r="U152" s="1086"/>
      <c r="V152" s="1086"/>
      <c r="W152" s="1086"/>
      <c r="X152" s="1086">
        <v>0</v>
      </c>
      <c r="Y152" s="1086"/>
      <c r="Z152" s="1086"/>
      <c r="AA152" s="1086"/>
      <c r="AB152" s="1086"/>
      <c r="AC152" s="1086"/>
      <c r="AD152" s="1086">
        <v>0</v>
      </c>
      <c r="AE152" s="1086"/>
      <c r="AF152" s="1086"/>
      <c r="AG152" s="1086"/>
      <c r="AH152" s="1086"/>
      <c r="AI152" s="1086"/>
      <c r="AJ152" s="1086">
        <v>0</v>
      </c>
      <c r="AK152" s="1086"/>
      <c r="AL152" s="1086"/>
      <c r="AM152" s="1086"/>
      <c r="AN152" s="1086"/>
      <c r="AO152" s="1086"/>
      <c r="AP152" s="1086"/>
      <c r="AQ152" s="1086"/>
      <c r="AR152" s="1086"/>
      <c r="AS152" s="1086"/>
      <c r="AT152" s="1086"/>
      <c r="AU152" s="1086">
        <v>0</v>
      </c>
      <c r="AV152" s="1086"/>
      <c r="AW152" s="1086"/>
      <c r="AX152" s="1086"/>
      <c r="AY152" s="1086"/>
      <c r="AZ152" s="1086"/>
      <c r="BA152" s="1086"/>
      <c r="BB152" s="1086"/>
      <c r="BC152" s="1086">
        <v>0</v>
      </c>
      <c r="BD152" s="1086"/>
      <c r="BE152" s="1086"/>
      <c r="BF152" s="1086"/>
      <c r="BG152" s="1086">
        <v>0</v>
      </c>
      <c r="BH152" s="1086"/>
      <c r="BI152" s="1086"/>
      <c r="BJ152" s="1086"/>
      <c r="BK152" s="1086">
        <v>0</v>
      </c>
      <c r="BL152" s="1086"/>
      <c r="BM152" s="1086"/>
      <c r="BN152" s="1086"/>
      <c r="BO152" s="1086"/>
    </row>
    <row r="153" spans="1:67" ht="26" customHeight="1" x14ac:dyDescent="0.2">
      <c r="A153" s="1087" t="s">
        <v>559</v>
      </c>
      <c r="B153" s="1087"/>
      <c r="C153" s="1087"/>
      <c r="D153" s="1087"/>
      <c r="E153" s="1087"/>
      <c r="F153" s="1087"/>
      <c r="G153" s="1087"/>
      <c r="H153" s="1087"/>
      <c r="I153" s="1087"/>
      <c r="J153" s="1087"/>
      <c r="K153" s="1087"/>
      <c r="L153" s="1087"/>
      <c r="M153" s="1087"/>
      <c r="N153" s="1087"/>
      <c r="O153" s="1087"/>
      <c r="P153" s="1087"/>
      <c r="Q153" s="1087"/>
      <c r="R153" s="1087"/>
      <c r="S153" s="1086">
        <v>0</v>
      </c>
      <c r="T153" s="1086"/>
      <c r="U153" s="1086"/>
      <c r="V153" s="1086"/>
      <c r="W153" s="1086"/>
      <c r="X153" s="1086">
        <v>0</v>
      </c>
      <c r="Y153" s="1086"/>
      <c r="Z153" s="1086"/>
      <c r="AA153" s="1086"/>
      <c r="AB153" s="1086"/>
      <c r="AC153" s="1086"/>
      <c r="AD153" s="1086">
        <v>0</v>
      </c>
      <c r="AE153" s="1086"/>
      <c r="AF153" s="1086"/>
      <c r="AG153" s="1086"/>
      <c r="AH153" s="1086"/>
      <c r="AI153" s="1086"/>
      <c r="AJ153" s="1086">
        <v>0</v>
      </c>
      <c r="AK153" s="1086"/>
      <c r="AL153" s="1086"/>
      <c r="AM153" s="1086"/>
      <c r="AN153" s="1086"/>
      <c r="AO153" s="1086"/>
      <c r="AP153" s="1086"/>
      <c r="AQ153" s="1086"/>
      <c r="AR153" s="1086"/>
      <c r="AS153" s="1086"/>
      <c r="AT153" s="1086"/>
      <c r="AU153" s="1086">
        <v>0</v>
      </c>
      <c r="AV153" s="1086"/>
      <c r="AW153" s="1086"/>
      <c r="AX153" s="1086"/>
      <c r="AY153" s="1086"/>
      <c r="AZ153" s="1086"/>
      <c r="BA153" s="1086"/>
      <c r="BB153" s="1086"/>
      <c r="BC153" s="1086">
        <v>0</v>
      </c>
      <c r="BD153" s="1086"/>
      <c r="BE153" s="1086"/>
      <c r="BF153" s="1086"/>
      <c r="BG153" s="1086">
        <v>0</v>
      </c>
      <c r="BH153" s="1086"/>
      <c r="BI153" s="1086"/>
      <c r="BJ153" s="1086"/>
      <c r="BK153" s="1086">
        <v>0</v>
      </c>
      <c r="BL153" s="1086"/>
      <c r="BM153" s="1086"/>
      <c r="BN153" s="1086"/>
      <c r="BO153" s="1086"/>
    </row>
    <row r="154" spans="1:67" ht="26" customHeight="1" x14ac:dyDescent="0.2">
      <c r="A154" s="1087" t="s">
        <v>560</v>
      </c>
      <c r="B154" s="1087"/>
      <c r="C154" s="1087"/>
      <c r="D154" s="1087"/>
      <c r="E154" s="1087"/>
      <c r="F154" s="1087"/>
      <c r="G154" s="1087"/>
      <c r="H154" s="1087"/>
      <c r="I154" s="1087"/>
      <c r="J154" s="1087"/>
      <c r="K154" s="1087"/>
      <c r="L154" s="1087"/>
      <c r="M154" s="1087"/>
      <c r="N154" s="1087"/>
      <c r="O154" s="1087"/>
      <c r="P154" s="1087"/>
      <c r="Q154" s="1087"/>
      <c r="R154" s="1087"/>
      <c r="S154" s="1086">
        <v>0</v>
      </c>
      <c r="T154" s="1086"/>
      <c r="U154" s="1086"/>
      <c r="V154" s="1086"/>
      <c r="W154" s="1086"/>
      <c r="X154" s="1086">
        <v>0</v>
      </c>
      <c r="Y154" s="1086"/>
      <c r="Z154" s="1086"/>
      <c r="AA154" s="1086"/>
      <c r="AB154" s="1086"/>
      <c r="AC154" s="1086"/>
      <c r="AD154" s="1086">
        <v>0</v>
      </c>
      <c r="AE154" s="1086"/>
      <c r="AF154" s="1086"/>
      <c r="AG154" s="1086"/>
      <c r="AH154" s="1086"/>
      <c r="AI154" s="1086"/>
      <c r="AJ154" s="1086">
        <v>0</v>
      </c>
      <c r="AK154" s="1086"/>
      <c r="AL154" s="1086"/>
      <c r="AM154" s="1086"/>
      <c r="AN154" s="1086"/>
      <c r="AO154" s="1086"/>
      <c r="AP154" s="1086"/>
      <c r="AQ154" s="1086"/>
      <c r="AR154" s="1086"/>
      <c r="AS154" s="1086"/>
      <c r="AT154" s="1086"/>
      <c r="AU154" s="1086">
        <v>0</v>
      </c>
      <c r="AV154" s="1086"/>
      <c r="AW154" s="1086"/>
      <c r="AX154" s="1086"/>
      <c r="AY154" s="1086"/>
      <c r="AZ154" s="1086"/>
      <c r="BA154" s="1086"/>
      <c r="BB154" s="1086"/>
      <c r="BC154" s="1086">
        <v>0</v>
      </c>
      <c r="BD154" s="1086"/>
      <c r="BE154" s="1086"/>
      <c r="BF154" s="1086"/>
      <c r="BG154" s="1086">
        <v>0</v>
      </c>
      <c r="BH154" s="1086"/>
      <c r="BI154" s="1086"/>
      <c r="BJ154" s="1086"/>
      <c r="BK154" s="1086">
        <v>0</v>
      </c>
      <c r="BL154" s="1086"/>
      <c r="BM154" s="1086"/>
      <c r="BN154" s="1086"/>
      <c r="BO154" s="1086"/>
    </row>
    <row r="155" spans="1:67" ht="13.5" customHeight="1" x14ac:dyDescent="0.2">
      <c r="A155" s="1087" t="s">
        <v>561</v>
      </c>
      <c r="B155" s="1087"/>
      <c r="C155" s="1087"/>
      <c r="D155" s="1087"/>
      <c r="E155" s="1087"/>
      <c r="F155" s="1087"/>
      <c r="G155" s="1087"/>
      <c r="H155" s="1087"/>
      <c r="I155" s="1087"/>
      <c r="J155" s="1087"/>
      <c r="K155" s="1087"/>
      <c r="L155" s="1087"/>
      <c r="M155" s="1087"/>
      <c r="N155" s="1087"/>
      <c r="O155" s="1087"/>
      <c r="P155" s="1087"/>
      <c r="Q155" s="1087"/>
      <c r="R155" s="1087"/>
      <c r="S155" s="1086">
        <v>0</v>
      </c>
      <c r="T155" s="1086"/>
      <c r="U155" s="1086"/>
      <c r="V155" s="1086"/>
      <c r="W155" s="1086"/>
      <c r="X155" s="1086">
        <v>0</v>
      </c>
      <c r="Y155" s="1086"/>
      <c r="Z155" s="1086"/>
      <c r="AA155" s="1086"/>
      <c r="AB155" s="1086"/>
      <c r="AC155" s="1086"/>
      <c r="AD155" s="1086">
        <v>0</v>
      </c>
      <c r="AE155" s="1086"/>
      <c r="AF155" s="1086"/>
      <c r="AG155" s="1086"/>
      <c r="AH155" s="1086"/>
      <c r="AI155" s="1086"/>
      <c r="AJ155" s="1086">
        <v>0</v>
      </c>
      <c r="AK155" s="1086"/>
      <c r="AL155" s="1086"/>
      <c r="AM155" s="1086"/>
      <c r="AN155" s="1086"/>
      <c r="AO155" s="1086"/>
      <c r="AP155" s="1086"/>
      <c r="AQ155" s="1086"/>
      <c r="AR155" s="1086"/>
      <c r="AS155" s="1086"/>
      <c r="AT155" s="1086"/>
      <c r="AU155" s="1086">
        <v>8192</v>
      </c>
      <c r="AV155" s="1086"/>
      <c r="AW155" s="1086"/>
      <c r="AX155" s="1086"/>
      <c r="AY155" s="1086"/>
      <c r="AZ155" s="1086"/>
      <c r="BA155" s="1086"/>
      <c r="BB155" s="1086"/>
      <c r="BC155" s="1086">
        <v>8192</v>
      </c>
      <c r="BD155" s="1086"/>
      <c r="BE155" s="1086"/>
      <c r="BF155" s="1086"/>
      <c r="BG155" s="1086">
        <v>8192</v>
      </c>
      <c r="BH155" s="1086"/>
      <c r="BI155" s="1086"/>
      <c r="BJ155" s="1086"/>
      <c r="BK155" s="1086">
        <v>0</v>
      </c>
      <c r="BL155" s="1086"/>
      <c r="BM155" s="1086"/>
      <c r="BN155" s="1086"/>
      <c r="BO155" s="1086"/>
    </row>
    <row r="156" spans="1:67" ht="13.5" customHeight="1" x14ac:dyDescent="0.2">
      <c r="A156" s="1087" t="s">
        <v>562</v>
      </c>
      <c r="B156" s="1087"/>
      <c r="C156" s="1087"/>
      <c r="D156" s="1087"/>
      <c r="E156" s="1087"/>
      <c r="F156" s="1087"/>
      <c r="G156" s="1087"/>
      <c r="H156" s="1087"/>
      <c r="I156" s="1087"/>
      <c r="J156" s="1087"/>
      <c r="K156" s="1087"/>
      <c r="L156" s="1087"/>
      <c r="M156" s="1087"/>
      <c r="N156" s="1087"/>
      <c r="O156" s="1087"/>
      <c r="P156" s="1087"/>
      <c r="Q156" s="1087"/>
      <c r="R156" s="1087"/>
      <c r="S156" s="1086">
        <v>0</v>
      </c>
      <c r="T156" s="1086"/>
      <c r="U156" s="1086"/>
      <c r="V156" s="1086"/>
      <c r="W156" s="1086"/>
      <c r="X156" s="1086">
        <v>0</v>
      </c>
      <c r="Y156" s="1086"/>
      <c r="Z156" s="1086"/>
      <c r="AA156" s="1086"/>
      <c r="AB156" s="1086"/>
      <c r="AC156" s="1086"/>
      <c r="AD156" s="1086">
        <v>0</v>
      </c>
      <c r="AE156" s="1086"/>
      <c r="AF156" s="1086"/>
      <c r="AG156" s="1086"/>
      <c r="AH156" s="1086"/>
      <c r="AI156" s="1086"/>
      <c r="AJ156" s="1086">
        <v>0</v>
      </c>
      <c r="AK156" s="1086"/>
      <c r="AL156" s="1086"/>
      <c r="AM156" s="1086"/>
      <c r="AN156" s="1086"/>
      <c r="AO156" s="1086"/>
      <c r="AP156" s="1086"/>
      <c r="AQ156" s="1086"/>
      <c r="AR156" s="1086"/>
      <c r="AS156" s="1086"/>
      <c r="AT156" s="1086"/>
      <c r="AU156" s="1086">
        <v>0</v>
      </c>
      <c r="AV156" s="1086"/>
      <c r="AW156" s="1086"/>
      <c r="AX156" s="1086"/>
      <c r="AY156" s="1086"/>
      <c r="AZ156" s="1086"/>
      <c r="BA156" s="1086"/>
      <c r="BB156" s="1086"/>
      <c r="BC156" s="1086">
        <v>0</v>
      </c>
      <c r="BD156" s="1086"/>
      <c r="BE156" s="1086"/>
      <c r="BF156" s="1086"/>
      <c r="BG156" s="1086">
        <v>0</v>
      </c>
      <c r="BH156" s="1086"/>
      <c r="BI156" s="1086"/>
      <c r="BJ156" s="1086"/>
      <c r="BK156" s="1086">
        <v>8192</v>
      </c>
      <c r="BL156" s="1086"/>
      <c r="BM156" s="1086"/>
      <c r="BN156" s="1086"/>
      <c r="BO156" s="1086"/>
    </row>
    <row r="157" spans="1:67" ht="13.5" customHeight="1" x14ac:dyDescent="0.2">
      <c r="A157" s="1087" t="s">
        <v>563</v>
      </c>
      <c r="B157" s="1087"/>
      <c r="C157" s="1087"/>
      <c r="D157" s="1087"/>
      <c r="E157" s="1087"/>
      <c r="F157" s="1087"/>
      <c r="G157" s="1087"/>
      <c r="H157" s="1087"/>
      <c r="I157" s="1087"/>
      <c r="J157" s="1087"/>
      <c r="K157" s="1087"/>
      <c r="L157" s="1087"/>
      <c r="M157" s="1087"/>
      <c r="N157" s="1087"/>
      <c r="O157" s="1087"/>
      <c r="P157" s="1087"/>
      <c r="Q157" s="1087"/>
      <c r="R157" s="1087"/>
      <c r="S157" s="1086">
        <v>0</v>
      </c>
      <c r="T157" s="1086"/>
      <c r="U157" s="1086"/>
      <c r="V157" s="1086"/>
      <c r="W157" s="1086"/>
      <c r="X157" s="1086">
        <v>0</v>
      </c>
      <c r="Y157" s="1086"/>
      <c r="Z157" s="1086"/>
      <c r="AA157" s="1086"/>
      <c r="AB157" s="1086"/>
      <c r="AC157" s="1086"/>
      <c r="AD157" s="1086">
        <v>0</v>
      </c>
      <c r="AE157" s="1086"/>
      <c r="AF157" s="1086"/>
      <c r="AG157" s="1086"/>
      <c r="AH157" s="1086"/>
      <c r="AI157" s="1086"/>
      <c r="AJ157" s="1086">
        <v>0</v>
      </c>
      <c r="AK157" s="1086"/>
      <c r="AL157" s="1086"/>
      <c r="AM157" s="1086"/>
      <c r="AN157" s="1086"/>
      <c r="AO157" s="1086"/>
      <c r="AP157" s="1086"/>
      <c r="AQ157" s="1086"/>
      <c r="AR157" s="1086"/>
      <c r="AS157" s="1086"/>
      <c r="AT157" s="1086"/>
      <c r="AU157" s="1086">
        <v>8192</v>
      </c>
      <c r="AV157" s="1086"/>
      <c r="AW157" s="1086"/>
      <c r="AX157" s="1086"/>
      <c r="AY157" s="1086"/>
      <c r="AZ157" s="1086"/>
      <c r="BA157" s="1086"/>
      <c r="BB157" s="1086"/>
      <c r="BC157" s="1086">
        <v>8192</v>
      </c>
      <c r="BD157" s="1086"/>
      <c r="BE157" s="1086"/>
      <c r="BF157" s="1086"/>
      <c r="BG157" s="1086">
        <v>8192</v>
      </c>
      <c r="BH157" s="1086"/>
      <c r="BI157" s="1086"/>
      <c r="BJ157" s="1086"/>
      <c r="BK157" s="1086">
        <v>0</v>
      </c>
      <c r="BL157" s="1086"/>
      <c r="BM157" s="1086"/>
      <c r="BN157" s="1086"/>
      <c r="BO157" s="1086"/>
    </row>
    <row r="158" spans="1:67" ht="13.5" customHeight="1" x14ac:dyDescent="0.2">
      <c r="A158" s="1087" t="s">
        <v>564</v>
      </c>
      <c r="B158" s="1087"/>
      <c r="C158" s="1087"/>
      <c r="D158" s="1087"/>
      <c r="E158" s="1087"/>
      <c r="F158" s="1087"/>
      <c r="G158" s="1087"/>
      <c r="H158" s="1087"/>
      <c r="I158" s="1087"/>
      <c r="J158" s="1087"/>
      <c r="K158" s="1087"/>
      <c r="L158" s="1087"/>
      <c r="M158" s="1087"/>
      <c r="N158" s="1087"/>
      <c r="O158" s="1087"/>
      <c r="P158" s="1087"/>
      <c r="Q158" s="1087"/>
      <c r="R158" s="1087"/>
      <c r="S158" s="1086">
        <v>0</v>
      </c>
      <c r="T158" s="1086"/>
      <c r="U158" s="1086"/>
      <c r="V158" s="1086"/>
      <c r="W158" s="1086"/>
      <c r="X158" s="1086">
        <v>0</v>
      </c>
      <c r="Y158" s="1086"/>
      <c r="Z158" s="1086"/>
      <c r="AA158" s="1086"/>
      <c r="AB158" s="1086"/>
      <c r="AC158" s="1086"/>
      <c r="AD158" s="1086">
        <v>0</v>
      </c>
      <c r="AE158" s="1086"/>
      <c r="AF158" s="1086"/>
      <c r="AG158" s="1086"/>
      <c r="AH158" s="1086"/>
      <c r="AI158" s="1086"/>
      <c r="AJ158" s="1086">
        <v>0</v>
      </c>
      <c r="AK158" s="1086"/>
      <c r="AL158" s="1086"/>
      <c r="AM158" s="1086"/>
      <c r="AN158" s="1086"/>
      <c r="AO158" s="1086"/>
      <c r="AP158" s="1086"/>
      <c r="AQ158" s="1086"/>
      <c r="AR158" s="1086"/>
      <c r="AS158" s="1086"/>
      <c r="AT158" s="1086"/>
      <c r="AU158" s="1086">
        <v>0</v>
      </c>
      <c r="AV158" s="1086"/>
      <c r="AW158" s="1086"/>
      <c r="AX158" s="1086"/>
      <c r="AY158" s="1086"/>
      <c r="AZ158" s="1086"/>
      <c r="BA158" s="1086"/>
      <c r="BB158" s="1086"/>
      <c r="BC158" s="1086">
        <v>0</v>
      </c>
      <c r="BD158" s="1086"/>
      <c r="BE158" s="1086"/>
      <c r="BF158" s="1086"/>
      <c r="BG158" s="1086">
        <v>0</v>
      </c>
      <c r="BH158" s="1086"/>
      <c r="BI158" s="1086"/>
      <c r="BJ158" s="1086"/>
      <c r="BK158" s="1086">
        <v>8192</v>
      </c>
      <c r="BL158" s="1086"/>
      <c r="BM158" s="1086"/>
      <c r="BN158" s="1086"/>
      <c r="BO158" s="1086"/>
    </row>
    <row r="159" spans="1:67" ht="13.5" customHeight="1" x14ac:dyDescent="0.2">
      <c r="A159" s="1087" t="s">
        <v>565</v>
      </c>
      <c r="B159" s="1087"/>
      <c r="C159" s="1087"/>
      <c r="D159" s="1087"/>
      <c r="E159" s="1087"/>
      <c r="F159" s="1087"/>
      <c r="G159" s="1087"/>
      <c r="H159" s="1087"/>
      <c r="I159" s="1087"/>
      <c r="J159" s="1087"/>
      <c r="K159" s="1087"/>
      <c r="L159" s="1087"/>
      <c r="M159" s="1087"/>
      <c r="N159" s="1087"/>
      <c r="O159" s="1087"/>
      <c r="P159" s="1087"/>
      <c r="Q159" s="1087"/>
      <c r="R159" s="1087"/>
      <c r="S159" s="1086">
        <v>0</v>
      </c>
      <c r="T159" s="1086"/>
      <c r="U159" s="1086"/>
      <c r="V159" s="1086"/>
      <c r="W159" s="1086"/>
      <c r="X159" s="1086">
        <v>0</v>
      </c>
      <c r="Y159" s="1086"/>
      <c r="Z159" s="1086"/>
      <c r="AA159" s="1086"/>
      <c r="AB159" s="1086"/>
      <c r="AC159" s="1086"/>
      <c r="AD159" s="1086">
        <v>0</v>
      </c>
      <c r="AE159" s="1086"/>
      <c r="AF159" s="1086"/>
      <c r="AG159" s="1086"/>
      <c r="AH159" s="1086"/>
      <c r="AI159" s="1086"/>
      <c r="AJ159" s="1086">
        <v>0</v>
      </c>
      <c r="AK159" s="1086"/>
      <c r="AL159" s="1086"/>
      <c r="AM159" s="1086"/>
      <c r="AN159" s="1086"/>
      <c r="AO159" s="1086"/>
      <c r="AP159" s="1086"/>
      <c r="AQ159" s="1086"/>
      <c r="AR159" s="1086"/>
      <c r="AS159" s="1086"/>
      <c r="AT159" s="1086"/>
      <c r="AU159" s="1086">
        <v>0</v>
      </c>
      <c r="AV159" s="1086"/>
      <c r="AW159" s="1086"/>
      <c r="AX159" s="1086"/>
      <c r="AY159" s="1086"/>
      <c r="AZ159" s="1086"/>
      <c r="BA159" s="1086"/>
      <c r="BB159" s="1086"/>
      <c r="BC159" s="1086">
        <v>0</v>
      </c>
      <c r="BD159" s="1086"/>
      <c r="BE159" s="1086"/>
      <c r="BF159" s="1086"/>
      <c r="BG159" s="1086">
        <v>0</v>
      </c>
      <c r="BH159" s="1086"/>
      <c r="BI159" s="1086"/>
      <c r="BJ159" s="1086"/>
      <c r="BK159" s="1086">
        <v>0</v>
      </c>
      <c r="BL159" s="1086"/>
      <c r="BM159" s="1086"/>
      <c r="BN159" s="1086"/>
      <c r="BO159" s="1086"/>
    </row>
    <row r="160" spans="1:67" ht="13.5" customHeight="1" x14ac:dyDescent="0.2">
      <c r="A160" s="1087" t="s">
        <v>566</v>
      </c>
      <c r="B160" s="1087"/>
      <c r="C160" s="1087"/>
      <c r="D160" s="1087"/>
      <c r="E160" s="1087"/>
      <c r="F160" s="1087"/>
      <c r="G160" s="1087"/>
      <c r="H160" s="1087"/>
      <c r="I160" s="1087"/>
      <c r="J160" s="1087"/>
      <c r="K160" s="1087"/>
      <c r="L160" s="1087"/>
      <c r="M160" s="1087"/>
      <c r="N160" s="1087"/>
      <c r="O160" s="1087"/>
      <c r="P160" s="1087"/>
      <c r="Q160" s="1087"/>
      <c r="R160" s="1087"/>
      <c r="S160" s="1086">
        <v>0</v>
      </c>
      <c r="T160" s="1086"/>
      <c r="U160" s="1086"/>
      <c r="V160" s="1086"/>
      <c r="W160" s="1086"/>
      <c r="X160" s="1086">
        <v>0</v>
      </c>
      <c r="Y160" s="1086"/>
      <c r="Z160" s="1086"/>
      <c r="AA160" s="1086"/>
      <c r="AB160" s="1086"/>
      <c r="AC160" s="1086"/>
      <c r="AD160" s="1086">
        <v>0</v>
      </c>
      <c r="AE160" s="1086"/>
      <c r="AF160" s="1086"/>
      <c r="AG160" s="1086"/>
      <c r="AH160" s="1086"/>
      <c r="AI160" s="1086"/>
      <c r="AJ160" s="1086">
        <v>0</v>
      </c>
      <c r="AK160" s="1086"/>
      <c r="AL160" s="1086"/>
      <c r="AM160" s="1086"/>
      <c r="AN160" s="1086"/>
      <c r="AO160" s="1086"/>
      <c r="AP160" s="1086"/>
      <c r="AQ160" s="1086"/>
      <c r="AR160" s="1086"/>
      <c r="AS160" s="1086"/>
      <c r="AT160" s="1086"/>
      <c r="AU160" s="1086">
        <v>0</v>
      </c>
      <c r="AV160" s="1086"/>
      <c r="AW160" s="1086"/>
      <c r="AX160" s="1086"/>
      <c r="AY160" s="1086"/>
      <c r="AZ160" s="1086"/>
      <c r="BA160" s="1086"/>
      <c r="BB160" s="1086"/>
      <c r="BC160" s="1086">
        <v>0</v>
      </c>
      <c r="BD160" s="1086"/>
      <c r="BE160" s="1086"/>
      <c r="BF160" s="1086"/>
      <c r="BG160" s="1086">
        <v>0</v>
      </c>
      <c r="BH160" s="1086"/>
      <c r="BI160" s="1086"/>
      <c r="BJ160" s="1086"/>
      <c r="BK160" s="1086">
        <v>0</v>
      </c>
      <c r="BL160" s="1086"/>
      <c r="BM160" s="1086"/>
      <c r="BN160" s="1086"/>
      <c r="BO160" s="1086"/>
    </row>
    <row r="161" spans="1:67" ht="13.5" customHeight="1" x14ac:dyDescent="0.2">
      <c r="A161" s="1087" t="s">
        <v>567</v>
      </c>
      <c r="B161" s="1087"/>
      <c r="C161" s="1087"/>
      <c r="D161" s="1087"/>
      <c r="E161" s="1087"/>
      <c r="F161" s="1087"/>
      <c r="G161" s="1087"/>
      <c r="H161" s="1087"/>
      <c r="I161" s="1087"/>
      <c r="J161" s="1087"/>
      <c r="K161" s="1087"/>
      <c r="L161" s="1087"/>
      <c r="M161" s="1087"/>
      <c r="N161" s="1087"/>
      <c r="O161" s="1087"/>
      <c r="P161" s="1087"/>
      <c r="Q161" s="1087"/>
      <c r="R161" s="1087"/>
      <c r="S161" s="1086">
        <v>0</v>
      </c>
      <c r="T161" s="1086"/>
      <c r="U161" s="1086"/>
      <c r="V161" s="1086"/>
      <c r="W161" s="1086"/>
      <c r="X161" s="1086">
        <v>0</v>
      </c>
      <c r="Y161" s="1086"/>
      <c r="Z161" s="1086"/>
      <c r="AA161" s="1086"/>
      <c r="AB161" s="1086"/>
      <c r="AC161" s="1086"/>
      <c r="AD161" s="1086">
        <v>0</v>
      </c>
      <c r="AE161" s="1086"/>
      <c r="AF161" s="1086"/>
      <c r="AG161" s="1086"/>
      <c r="AH161" s="1086"/>
      <c r="AI161" s="1086"/>
      <c r="AJ161" s="1086">
        <v>0</v>
      </c>
      <c r="AK161" s="1086"/>
      <c r="AL161" s="1086"/>
      <c r="AM161" s="1086"/>
      <c r="AN161" s="1086"/>
      <c r="AO161" s="1086"/>
      <c r="AP161" s="1086"/>
      <c r="AQ161" s="1086"/>
      <c r="AR161" s="1086"/>
      <c r="AS161" s="1086"/>
      <c r="AT161" s="1086"/>
      <c r="AU161" s="1086">
        <v>0</v>
      </c>
      <c r="AV161" s="1086"/>
      <c r="AW161" s="1086"/>
      <c r="AX161" s="1086"/>
      <c r="AY161" s="1086"/>
      <c r="AZ161" s="1086"/>
      <c r="BA161" s="1086"/>
      <c r="BB161" s="1086"/>
      <c r="BC161" s="1086">
        <v>0</v>
      </c>
      <c r="BD161" s="1086"/>
      <c r="BE161" s="1086"/>
      <c r="BF161" s="1086"/>
      <c r="BG161" s="1086">
        <v>0</v>
      </c>
      <c r="BH161" s="1086"/>
      <c r="BI161" s="1086"/>
      <c r="BJ161" s="1086"/>
      <c r="BK161" s="1086">
        <v>0</v>
      </c>
      <c r="BL161" s="1086"/>
      <c r="BM161" s="1086"/>
      <c r="BN161" s="1086"/>
      <c r="BO161" s="1086"/>
    </row>
    <row r="162" spans="1:67" ht="13.5" customHeight="1" x14ac:dyDescent="0.2">
      <c r="A162" s="1087" t="s">
        <v>568</v>
      </c>
      <c r="B162" s="1087"/>
      <c r="C162" s="1087"/>
      <c r="D162" s="1087"/>
      <c r="E162" s="1087"/>
      <c r="F162" s="1087"/>
      <c r="G162" s="1087"/>
      <c r="H162" s="1087"/>
      <c r="I162" s="1087"/>
      <c r="J162" s="1087"/>
      <c r="K162" s="1087"/>
      <c r="L162" s="1087"/>
      <c r="M162" s="1087"/>
      <c r="N162" s="1087"/>
      <c r="O162" s="1087"/>
      <c r="P162" s="1087"/>
      <c r="Q162" s="1087"/>
      <c r="R162" s="1087"/>
      <c r="S162" s="1086">
        <v>0</v>
      </c>
      <c r="T162" s="1086"/>
      <c r="U162" s="1086"/>
      <c r="V162" s="1086"/>
      <c r="W162" s="1086"/>
      <c r="X162" s="1086">
        <v>0</v>
      </c>
      <c r="Y162" s="1086"/>
      <c r="Z162" s="1086"/>
      <c r="AA162" s="1086"/>
      <c r="AB162" s="1086"/>
      <c r="AC162" s="1086"/>
      <c r="AD162" s="1086">
        <v>0</v>
      </c>
      <c r="AE162" s="1086"/>
      <c r="AF162" s="1086"/>
      <c r="AG162" s="1086"/>
      <c r="AH162" s="1086"/>
      <c r="AI162" s="1086"/>
      <c r="AJ162" s="1086">
        <v>0</v>
      </c>
      <c r="AK162" s="1086"/>
      <c r="AL162" s="1086"/>
      <c r="AM162" s="1086"/>
      <c r="AN162" s="1086"/>
      <c r="AO162" s="1086"/>
      <c r="AP162" s="1086"/>
      <c r="AQ162" s="1086"/>
      <c r="AR162" s="1086"/>
      <c r="AS162" s="1086"/>
      <c r="AT162" s="1086"/>
      <c r="AU162" s="1086">
        <v>0</v>
      </c>
      <c r="AV162" s="1086"/>
      <c r="AW162" s="1086"/>
      <c r="AX162" s="1086"/>
      <c r="AY162" s="1086"/>
      <c r="AZ162" s="1086"/>
      <c r="BA162" s="1086"/>
      <c r="BB162" s="1086"/>
      <c r="BC162" s="1086">
        <v>0</v>
      </c>
      <c r="BD162" s="1086"/>
      <c r="BE162" s="1086"/>
      <c r="BF162" s="1086"/>
      <c r="BG162" s="1086">
        <v>0</v>
      </c>
      <c r="BH162" s="1086"/>
      <c r="BI162" s="1086"/>
      <c r="BJ162" s="1086"/>
      <c r="BK162" s="1086">
        <v>0</v>
      </c>
      <c r="BL162" s="1086"/>
      <c r="BM162" s="1086"/>
      <c r="BN162" s="1086"/>
      <c r="BO162" s="1086"/>
    </row>
    <row r="163" spans="1:67" ht="13.5" customHeight="1" x14ac:dyDescent="0.2">
      <c r="A163" s="1083"/>
      <c r="B163" s="1083"/>
      <c r="C163" s="1083"/>
      <c r="D163" s="1083"/>
      <c r="E163" s="1083"/>
      <c r="F163" s="1083"/>
      <c r="G163" s="1083"/>
      <c r="H163" s="1083"/>
      <c r="I163" s="1083"/>
      <c r="J163" s="1083"/>
      <c r="K163" s="1083"/>
      <c r="L163" s="1083"/>
      <c r="M163" s="1083"/>
      <c r="N163" s="1083"/>
      <c r="O163" s="1083"/>
      <c r="P163" s="1083"/>
      <c r="Q163" s="1083"/>
      <c r="R163" s="1083"/>
      <c r="S163" s="1083"/>
      <c r="T163" s="1083"/>
      <c r="U163" s="1083"/>
      <c r="V163" s="1083"/>
      <c r="W163" s="1083"/>
      <c r="X163" s="1083"/>
      <c r="Y163" s="1083"/>
      <c r="Z163" s="1083"/>
      <c r="AA163" s="1083"/>
      <c r="AB163" s="1083"/>
      <c r="AC163" s="1083"/>
      <c r="AD163" s="1083"/>
      <c r="AE163" s="1083"/>
      <c r="AF163" s="1083"/>
      <c r="AG163" s="1083"/>
      <c r="AH163" s="1083"/>
      <c r="AI163" s="1083"/>
      <c r="AJ163" s="1083"/>
      <c r="AK163" s="1083"/>
      <c r="AL163" s="1083"/>
      <c r="AM163" s="1083"/>
      <c r="AN163" s="1083"/>
      <c r="AO163" s="1083"/>
      <c r="AP163" s="1083"/>
      <c r="AQ163" s="1083"/>
      <c r="AR163" s="1083"/>
      <c r="AS163" s="1083"/>
      <c r="AT163" s="1083"/>
      <c r="AU163" s="1083"/>
      <c r="AV163" s="1083"/>
      <c r="AW163" s="1083"/>
      <c r="AX163" s="1083"/>
      <c r="AY163" s="1083"/>
      <c r="AZ163" s="1083"/>
      <c r="BA163" s="1083"/>
      <c r="BB163" s="1083"/>
      <c r="BC163" s="1083"/>
      <c r="BD163" s="1083"/>
      <c r="BE163" s="1083"/>
      <c r="BF163" s="1083"/>
      <c r="BG163" s="1083"/>
      <c r="BH163" s="1083"/>
      <c r="BI163" s="1083"/>
      <c r="BJ163" s="1083"/>
      <c r="BK163" s="1083"/>
      <c r="BL163" s="1083"/>
      <c r="BM163" s="1083"/>
      <c r="BN163" s="1083"/>
      <c r="BO163" s="1083"/>
    </row>
    <row r="164" spans="1:67" ht="13.5" customHeight="1" x14ac:dyDescent="0.2">
      <c r="A164" s="1087" t="s">
        <v>569</v>
      </c>
      <c r="B164" s="1087"/>
      <c r="C164" s="1087"/>
      <c r="D164" s="1087"/>
      <c r="E164" s="1087"/>
      <c r="F164" s="1087"/>
      <c r="G164" s="1087"/>
      <c r="H164" s="1087"/>
      <c r="I164" s="1087"/>
      <c r="J164" s="1087"/>
      <c r="K164" s="1087"/>
      <c r="L164" s="1087"/>
      <c r="M164" s="1087"/>
      <c r="N164" s="1087"/>
      <c r="O164" s="1087"/>
      <c r="P164" s="1087"/>
      <c r="Q164" s="1087"/>
      <c r="R164" s="1087"/>
      <c r="S164" s="1086">
        <v>9864960</v>
      </c>
      <c r="T164" s="1086"/>
      <c r="U164" s="1086"/>
      <c r="V164" s="1086"/>
      <c r="W164" s="1086"/>
      <c r="X164" s="1086">
        <v>11304972</v>
      </c>
      <c r="Y164" s="1086"/>
      <c r="Z164" s="1086"/>
      <c r="AA164" s="1086"/>
      <c r="AB164" s="1086"/>
      <c r="AC164" s="1086"/>
      <c r="AD164" s="1086">
        <v>11040279</v>
      </c>
      <c r="AE164" s="1086"/>
      <c r="AF164" s="1086"/>
      <c r="AG164" s="1086"/>
      <c r="AH164" s="1086"/>
      <c r="AI164" s="1086"/>
      <c r="AJ164" s="1086">
        <v>8568239</v>
      </c>
      <c r="AK164" s="1086"/>
      <c r="AL164" s="1086"/>
      <c r="AM164" s="1086"/>
      <c r="AN164" s="1086"/>
      <c r="AO164" s="1086"/>
      <c r="AP164" s="1086"/>
      <c r="AQ164" s="1086"/>
      <c r="AR164" s="1086"/>
      <c r="AS164" s="1086"/>
      <c r="AT164" s="1086"/>
      <c r="AU164" s="1086">
        <v>7656738</v>
      </c>
      <c r="AV164" s="1086"/>
      <c r="AW164" s="1086"/>
      <c r="AX164" s="1086"/>
      <c r="AY164" s="1086"/>
      <c r="AZ164" s="1086"/>
      <c r="BA164" s="1086"/>
      <c r="BB164" s="1086"/>
      <c r="BC164" s="1086">
        <v>6668572</v>
      </c>
      <c r="BD164" s="1086"/>
      <c r="BE164" s="1086"/>
      <c r="BF164" s="1086"/>
      <c r="BG164" s="1086">
        <v>5217184</v>
      </c>
      <c r="BH164" s="1086"/>
      <c r="BI164" s="1086"/>
      <c r="BJ164" s="1086"/>
      <c r="BK164" s="1086">
        <v>5218727</v>
      </c>
      <c r="BL164" s="1086"/>
      <c r="BM164" s="1086"/>
      <c r="BN164" s="1086"/>
      <c r="BO164" s="1086"/>
    </row>
    <row r="165" spans="1:67" ht="13.5" customHeight="1" x14ac:dyDescent="0.2">
      <c r="A165" s="1087" t="s">
        <v>570</v>
      </c>
      <c r="B165" s="1087"/>
      <c r="C165" s="1087"/>
      <c r="D165" s="1087"/>
      <c r="E165" s="1087"/>
      <c r="F165" s="1087"/>
      <c r="G165" s="1087"/>
      <c r="H165" s="1087"/>
      <c r="I165" s="1087"/>
      <c r="J165" s="1087"/>
      <c r="K165" s="1087"/>
      <c r="L165" s="1087"/>
      <c r="M165" s="1087"/>
      <c r="N165" s="1087"/>
      <c r="O165" s="1087"/>
      <c r="P165" s="1087"/>
      <c r="Q165" s="1087"/>
      <c r="R165" s="1087"/>
      <c r="S165" s="1086">
        <v>4608814</v>
      </c>
      <c r="T165" s="1086"/>
      <c r="U165" s="1086"/>
      <c r="V165" s="1086"/>
      <c r="W165" s="1086"/>
      <c r="X165" s="1086">
        <v>5103684</v>
      </c>
      <c r="Y165" s="1086"/>
      <c r="Z165" s="1086"/>
      <c r="AA165" s="1086"/>
      <c r="AB165" s="1086"/>
      <c r="AC165" s="1086"/>
      <c r="AD165" s="1086">
        <v>5250264</v>
      </c>
      <c r="AE165" s="1086"/>
      <c r="AF165" s="1086"/>
      <c r="AG165" s="1086"/>
      <c r="AH165" s="1086"/>
      <c r="AI165" s="1086"/>
      <c r="AJ165" s="1086">
        <v>2924371</v>
      </c>
      <c r="AK165" s="1086"/>
      <c r="AL165" s="1086"/>
      <c r="AM165" s="1086"/>
      <c r="AN165" s="1086"/>
      <c r="AO165" s="1086"/>
      <c r="AP165" s="1086"/>
      <c r="AQ165" s="1086"/>
      <c r="AR165" s="1086"/>
      <c r="AS165" s="1086"/>
      <c r="AT165" s="1086"/>
      <c r="AU165" s="1086">
        <v>2556678</v>
      </c>
      <c r="AV165" s="1086"/>
      <c r="AW165" s="1086"/>
      <c r="AX165" s="1086"/>
      <c r="AY165" s="1086"/>
      <c r="AZ165" s="1086"/>
      <c r="BA165" s="1086"/>
      <c r="BB165" s="1086"/>
      <c r="BC165" s="1086">
        <v>3010721</v>
      </c>
      <c r="BD165" s="1086"/>
      <c r="BE165" s="1086"/>
      <c r="BF165" s="1086"/>
      <c r="BG165" s="1086">
        <v>2422241</v>
      </c>
      <c r="BH165" s="1086"/>
      <c r="BI165" s="1086"/>
      <c r="BJ165" s="1086"/>
      <c r="BK165" s="1086">
        <v>2070635</v>
      </c>
      <c r="BL165" s="1086"/>
      <c r="BM165" s="1086"/>
      <c r="BN165" s="1086"/>
      <c r="BO165" s="1086"/>
    </row>
    <row r="166" spans="1:67" ht="13.5" customHeight="1" x14ac:dyDescent="0.2">
      <c r="A166" s="1087" t="s">
        <v>571</v>
      </c>
      <c r="B166" s="1087"/>
      <c r="C166" s="1087"/>
      <c r="D166" s="1087"/>
      <c r="E166" s="1087"/>
      <c r="F166" s="1087"/>
      <c r="G166" s="1087"/>
      <c r="H166" s="1087"/>
      <c r="I166" s="1087"/>
      <c r="J166" s="1087"/>
      <c r="K166" s="1087"/>
      <c r="L166" s="1087"/>
      <c r="M166" s="1087"/>
      <c r="N166" s="1087"/>
      <c r="O166" s="1087"/>
      <c r="P166" s="1087"/>
      <c r="Q166" s="1087"/>
      <c r="R166" s="1087"/>
      <c r="S166" s="1086">
        <v>401813</v>
      </c>
      <c r="T166" s="1086"/>
      <c r="U166" s="1086"/>
      <c r="V166" s="1086"/>
      <c r="W166" s="1086"/>
      <c r="X166" s="1086">
        <v>259874</v>
      </c>
      <c r="Y166" s="1086"/>
      <c r="Z166" s="1086"/>
      <c r="AA166" s="1086"/>
      <c r="AB166" s="1086"/>
      <c r="AC166" s="1086"/>
      <c r="AD166" s="1086">
        <v>395324</v>
      </c>
      <c r="AE166" s="1086"/>
      <c r="AF166" s="1086"/>
      <c r="AG166" s="1086"/>
      <c r="AH166" s="1086"/>
      <c r="AI166" s="1086"/>
      <c r="AJ166" s="1086">
        <v>233185</v>
      </c>
      <c r="AK166" s="1086"/>
      <c r="AL166" s="1086"/>
      <c r="AM166" s="1086"/>
      <c r="AN166" s="1086"/>
      <c r="AO166" s="1086"/>
      <c r="AP166" s="1086"/>
      <c r="AQ166" s="1086"/>
      <c r="AR166" s="1086"/>
      <c r="AS166" s="1086"/>
      <c r="AT166" s="1086"/>
      <c r="AU166" s="1086">
        <v>153593</v>
      </c>
      <c r="AV166" s="1086"/>
      <c r="AW166" s="1086"/>
      <c r="AX166" s="1086"/>
      <c r="AY166" s="1086"/>
      <c r="AZ166" s="1086"/>
      <c r="BA166" s="1086"/>
      <c r="BB166" s="1086"/>
      <c r="BC166" s="1086">
        <v>229845</v>
      </c>
      <c r="BD166" s="1086"/>
      <c r="BE166" s="1086"/>
      <c r="BF166" s="1086"/>
      <c r="BG166" s="1086">
        <v>135786</v>
      </c>
      <c r="BH166" s="1086"/>
      <c r="BI166" s="1086"/>
      <c r="BJ166" s="1086"/>
      <c r="BK166" s="1086">
        <v>170823</v>
      </c>
      <c r="BL166" s="1086"/>
      <c r="BM166" s="1086"/>
      <c r="BN166" s="1086"/>
      <c r="BO166" s="1086"/>
    </row>
    <row r="167" spans="1:67" ht="13.5" customHeight="1" x14ac:dyDescent="0.2">
      <c r="A167" s="1087" t="s">
        <v>572</v>
      </c>
      <c r="B167" s="1087"/>
      <c r="C167" s="1087"/>
      <c r="D167" s="1087"/>
      <c r="E167" s="1087"/>
      <c r="F167" s="1087"/>
      <c r="G167" s="1087"/>
      <c r="H167" s="1087"/>
      <c r="I167" s="1087"/>
      <c r="J167" s="1087"/>
      <c r="K167" s="1087"/>
      <c r="L167" s="1087"/>
      <c r="M167" s="1087"/>
      <c r="N167" s="1087"/>
      <c r="O167" s="1087"/>
      <c r="P167" s="1087"/>
      <c r="Q167" s="1087"/>
      <c r="R167" s="1087"/>
      <c r="S167" s="1086">
        <v>3664689</v>
      </c>
      <c r="T167" s="1086"/>
      <c r="U167" s="1086"/>
      <c r="V167" s="1086"/>
      <c r="W167" s="1086"/>
      <c r="X167" s="1086">
        <v>4140030</v>
      </c>
      <c r="Y167" s="1086"/>
      <c r="Z167" s="1086"/>
      <c r="AA167" s="1086"/>
      <c r="AB167" s="1086"/>
      <c r="AC167" s="1086"/>
      <c r="AD167" s="1086">
        <v>4081340</v>
      </c>
      <c r="AE167" s="1086"/>
      <c r="AF167" s="1086"/>
      <c r="AG167" s="1086"/>
      <c r="AH167" s="1086"/>
      <c r="AI167" s="1086"/>
      <c r="AJ167" s="1086">
        <v>2338118</v>
      </c>
      <c r="AK167" s="1086"/>
      <c r="AL167" s="1086"/>
      <c r="AM167" s="1086"/>
      <c r="AN167" s="1086"/>
      <c r="AO167" s="1086"/>
      <c r="AP167" s="1086"/>
      <c r="AQ167" s="1086"/>
      <c r="AR167" s="1086"/>
      <c r="AS167" s="1086"/>
      <c r="AT167" s="1086"/>
      <c r="AU167" s="1086">
        <v>1996776</v>
      </c>
      <c r="AV167" s="1086"/>
      <c r="AW167" s="1086"/>
      <c r="AX167" s="1086"/>
      <c r="AY167" s="1086"/>
      <c r="AZ167" s="1086"/>
      <c r="BA167" s="1086"/>
      <c r="BB167" s="1086"/>
      <c r="BC167" s="1086">
        <v>2711561</v>
      </c>
      <c r="BD167" s="1086"/>
      <c r="BE167" s="1086"/>
      <c r="BF167" s="1086"/>
      <c r="BG167" s="1086">
        <v>2072725</v>
      </c>
      <c r="BH167" s="1086"/>
      <c r="BI167" s="1086"/>
      <c r="BJ167" s="1086"/>
      <c r="BK167" s="1086">
        <v>1739894</v>
      </c>
      <c r="BL167" s="1086"/>
      <c r="BM167" s="1086"/>
      <c r="BN167" s="1086"/>
      <c r="BO167" s="1086"/>
    </row>
    <row r="168" spans="1:67" ht="13.5" customHeight="1" x14ac:dyDescent="0.2">
      <c r="A168" s="1087" t="s">
        <v>573</v>
      </c>
      <c r="B168" s="1087"/>
      <c r="C168" s="1087"/>
      <c r="D168" s="1087"/>
      <c r="E168" s="1087"/>
      <c r="F168" s="1087"/>
      <c r="G168" s="1087"/>
      <c r="H168" s="1087"/>
      <c r="I168" s="1087"/>
      <c r="J168" s="1087"/>
      <c r="K168" s="1087"/>
      <c r="L168" s="1087"/>
      <c r="M168" s="1087"/>
      <c r="N168" s="1087"/>
      <c r="O168" s="1087"/>
      <c r="P168" s="1087"/>
      <c r="Q168" s="1087"/>
      <c r="R168" s="1087"/>
      <c r="S168" s="1086">
        <v>0</v>
      </c>
      <c r="T168" s="1086"/>
      <c r="U168" s="1086"/>
      <c r="V168" s="1086"/>
      <c r="W168" s="1086"/>
      <c r="X168" s="1086">
        <v>0</v>
      </c>
      <c r="Y168" s="1086"/>
      <c r="Z168" s="1086"/>
      <c r="AA168" s="1086"/>
      <c r="AB168" s="1086"/>
      <c r="AC168" s="1086"/>
      <c r="AD168" s="1086">
        <v>0</v>
      </c>
      <c r="AE168" s="1086"/>
      <c r="AF168" s="1086"/>
      <c r="AG168" s="1086"/>
      <c r="AH168" s="1086"/>
      <c r="AI168" s="1086"/>
      <c r="AJ168" s="1086">
        <v>0</v>
      </c>
      <c r="AK168" s="1086"/>
      <c r="AL168" s="1086"/>
      <c r="AM168" s="1086"/>
      <c r="AN168" s="1086"/>
      <c r="AO168" s="1086"/>
      <c r="AP168" s="1086"/>
      <c r="AQ168" s="1086"/>
      <c r="AR168" s="1086"/>
      <c r="AS168" s="1086"/>
      <c r="AT168" s="1086"/>
      <c r="AU168" s="1086">
        <v>0</v>
      </c>
      <c r="AV168" s="1086"/>
      <c r="AW168" s="1086"/>
      <c r="AX168" s="1086"/>
      <c r="AY168" s="1086"/>
      <c r="AZ168" s="1086"/>
      <c r="BA168" s="1086"/>
      <c r="BB168" s="1086"/>
      <c r="BC168" s="1086">
        <v>0</v>
      </c>
      <c r="BD168" s="1086"/>
      <c r="BE168" s="1086"/>
      <c r="BF168" s="1086"/>
      <c r="BG168" s="1086">
        <v>0</v>
      </c>
      <c r="BH168" s="1086"/>
      <c r="BI168" s="1086"/>
      <c r="BJ168" s="1086"/>
      <c r="BK168" s="1086">
        <v>0</v>
      </c>
      <c r="BL168" s="1086"/>
      <c r="BM168" s="1086"/>
      <c r="BN168" s="1086"/>
      <c r="BO168" s="1086"/>
    </row>
    <row r="169" spans="1:67" ht="13.5" customHeight="1" x14ac:dyDescent="0.2">
      <c r="A169" s="1087" t="s">
        <v>574</v>
      </c>
      <c r="B169" s="1087"/>
      <c r="C169" s="1087"/>
      <c r="D169" s="1087"/>
      <c r="E169" s="1087"/>
      <c r="F169" s="1087"/>
      <c r="G169" s="1087"/>
      <c r="H169" s="1087"/>
      <c r="I169" s="1087"/>
      <c r="J169" s="1087"/>
      <c r="K169" s="1087"/>
      <c r="L169" s="1087"/>
      <c r="M169" s="1087"/>
      <c r="N169" s="1087"/>
      <c r="O169" s="1087"/>
      <c r="P169" s="1087"/>
      <c r="Q169" s="1087"/>
      <c r="R169" s="1087"/>
      <c r="S169" s="1086">
        <v>542312</v>
      </c>
      <c r="T169" s="1086"/>
      <c r="U169" s="1086"/>
      <c r="V169" s="1086"/>
      <c r="W169" s="1086"/>
      <c r="X169" s="1086">
        <v>640442</v>
      </c>
      <c r="Y169" s="1086"/>
      <c r="Z169" s="1086"/>
      <c r="AA169" s="1086"/>
      <c r="AB169" s="1086"/>
      <c r="AC169" s="1086"/>
      <c r="AD169" s="1086">
        <v>773600</v>
      </c>
      <c r="AE169" s="1086"/>
      <c r="AF169" s="1086"/>
      <c r="AG169" s="1086"/>
      <c r="AH169" s="1086"/>
      <c r="AI169" s="1086"/>
      <c r="AJ169" s="1086">
        <v>353068</v>
      </c>
      <c r="AK169" s="1086"/>
      <c r="AL169" s="1086"/>
      <c r="AM169" s="1086"/>
      <c r="AN169" s="1086"/>
      <c r="AO169" s="1086"/>
      <c r="AP169" s="1086"/>
      <c r="AQ169" s="1086"/>
      <c r="AR169" s="1086"/>
      <c r="AS169" s="1086"/>
      <c r="AT169" s="1086"/>
      <c r="AU169" s="1086">
        <v>406309</v>
      </c>
      <c r="AV169" s="1086"/>
      <c r="AW169" s="1086"/>
      <c r="AX169" s="1086"/>
      <c r="AY169" s="1086"/>
      <c r="AZ169" s="1086"/>
      <c r="BA169" s="1086"/>
      <c r="BB169" s="1086"/>
      <c r="BC169" s="1086">
        <v>69315</v>
      </c>
      <c r="BD169" s="1086"/>
      <c r="BE169" s="1086"/>
      <c r="BF169" s="1086"/>
      <c r="BG169" s="1086">
        <v>213730</v>
      </c>
      <c r="BH169" s="1086"/>
      <c r="BI169" s="1086"/>
      <c r="BJ169" s="1086"/>
      <c r="BK169" s="1086">
        <v>159918</v>
      </c>
      <c r="BL169" s="1086"/>
      <c r="BM169" s="1086"/>
      <c r="BN169" s="1086"/>
      <c r="BO169" s="1086"/>
    </row>
    <row r="170" spans="1:67" ht="13.5" customHeight="1" x14ac:dyDescent="0.2">
      <c r="A170" s="1087" t="s">
        <v>575</v>
      </c>
      <c r="B170" s="1087"/>
      <c r="C170" s="1087"/>
      <c r="D170" s="1087"/>
      <c r="E170" s="1087"/>
      <c r="F170" s="1087"/>
      <c r="G170" s="1087"/>
      <c r="H170" s="1087"/>
      <c r="I170" s="1087"/>
      <c r="J170" s="1087"/>
      <c r="K170" s="1087"/>
      <c r="L170" s="1087"/>
      <c r="M170" s="1087"/>
      <c r="N170" s="1087"/>
      <c r="O170" s="1087"/>
      <c r="P170" s="1087"/>
      <c r="Q170" s="1087"/>
      <c r="R170" s="1087"/>
      <c r="S170" s="1086">
        <v>0</v>
      </c>
      <c r="T170" s="1086"/>
      <c r="U170" s="1086"/>
      <c r="V170" s="1086"/>
      <c r="W170" s="1086"/>
      <c r="X170" s="1086">
        <v>63338</v>
      </c>
      <c r="Y170" s="1086"/>
      <c r="Z170" s="1086"/>
      <c r="AA170" s="1086"/>
      <c r="AB170" s="1086"/>
      <c r="AC170" s="1086"/>
      <c r="AD170" s="1086">
        <v>0</v>
      </c>
      <c r="AE170" s="1086"/>
      <c r="AF170" s="1086"/>
      <c r="AG170" s="1086"/>
      <c r="AH170" s="1086"/>
      <c r="AI170" s="1086"/>
      <c r="AJ170" s="1086">
        <v>0</v>
      </c>
      <c r="AK170" s="1086"/>
      <c r="AL170" s="1086"/>
      <c r="AM170" s="1086"/>
      <c r="AN170" s="1086"/>
      <c r="AO170" s="1086"/>
      <c r="AP170" s="1086"/>
      <c r="AQ170" s="1086"/>
      <c r="AR170" s="1086"/>
      <c r="AS170" s="1086"/>
      <c r="AT170" s="1086"/>
      <c r="AU170" s="1086">
        <v>0</v>
      </c>
      <c r="AV170" s="1086"/>
      <c r="AW170" s="1086"/>
      <c r="AX170" s="1086"/>
      <c r="AY170" s="1086"/>
      <c r="AZ170" s="1086"/>
      <c r="BA170" s="1086"/>
      <c r="BB170" s="1086"/>
      <c r="BC170" s="1086">
        <v>0</v>
      </c>
      <c r="BD170" s="1086"/>
      <c r="BE170" s="1086"/>
      <c r="BF170" s="1086"/>
      <c r="BG170" s="1086">
        <v>0</v>
      </c>
      <c r="BH170" s="1086"/>
      <c r="BI170" s="1086"/>
      <c r="BJ170" s="1086"/>
      <c r="BK170" s="1086">
        <v>0</v>
      </c>
      <c r="BL170" s="1086"/>
      <c r="BM170" s="1086"/>
      <c r="BN170" s="1086"/>
      <c r="BO170" s="1086"/>
    </row>
    <row r="171" spans="1:67" ht="13.5" customHeight="1" x14ac:dyDescent="0.2">
      <c r="A171" s="1087" t="s">
        <v>576</v>
      </c>
      <c r="B171" s="1087"/>
      <c r="C171" s="1087"/>
      <c r="D171" s="1087"/>
      <c r="E171" s="1087"/>
      <c r="F171" s="1087"/>
      <c r="G171" s="1087"/>
      <c r="H171" s="1087"/>
      <c r="I171" s="1087"/>
      <c r="J171" s="1087"/>
      <c r="K171" s="1087"/>
      <c r="L171" s="1087"/>
      <c r="M171" s="1087"/>
      <c r="N171" s="1087"/>
      <c r="O171" s="1087"/>
      <c r="P171" s="1087"/>
      <c r="Q171" s="1087"/>
      <c r="R171" s="1087"/>
      <c r="S171" s="1086">
        <v>0</v>
      </c>
      <c r="T171" s="1086"/>
      <c r="U171" s="1086"/>
      <c r="V171" s="1086"/>
      <c r="W171" s="1086"/>
      <c r="X171" s="1086">
        <v>0</v>
      </c>
      <c r="Y171" s="1086"/>
      <c r="Z171" s="1086"/>
      <c r="AA171" s="1086"/>
      <c r="AB171" s="1086"/>
      <c r="AC171" s="1086"/>
      <c r="AD171" s="1086">
        <v>0</v>
      </c>
      <c r="AE171" s="1086"/>
      <c r="AF171" s="1086"/>
      <c r="AG171" s="1086"/>
      <c r="AH171" s="1086"/>
      <c r="AI171" s="1086"/>
      <c r="AJ171" s="1086">
        <v>0</v>
      </c>
      <c r="AK171" s="1086"/>
      <c r="AL171" s="1086"/>
      <c r="AM171" s="1086"/>
      <c r="AN171" s="1086"/>
      <c r="AO171" s="1086"/>
      <c r="AP171" s="1086"/>
      <c r="AQ171" s="1086"/>
      <c r="AR171" s="1086"/>
      <c r="AS171" s="1086"/>
      <c r="AT171" s="1086"/>
      <c r="AU171" s="1086">
        <v>0</v>
      </c>
      <c r="AV171" s="1086"/>
      <c r="AW171" s="1086"/>
      <c r="AX171" s="1086"/>
      <c r="AY171" s="1086"/>
      <c r="AZ171" s="1086"/>
      <c r="BA171" s="1086"/>
      <c r="BB171" s="1086"/>
      <c r="BC171" s="1086">
        <v>0</v>
      </c>
      <c r="BD171" s="1086"/>
      <c r="BE171" s="1086"/>
      <c r="BF171" s="1086"/>
      <c r="BG171" s="1086">
        <v>0</v>
      </c>
      <c r="BH171" s="1086"/>
      <c r="BI171" s="1086"/>
      <c r="BJ171" s="1086"/>
      <c r="BK171" s="1086">
        <v>0</v>
      </c>
      <c r="BL171" s="1086"/>
      <c r="BM171" s="1086"/>
      <c r="BN171" s="1086"/>
      <c r="BO171" s="1086"/>
    </row>
    <row r="172" spans="1:67" ht="13.5" customHeight="1" x14ac:dyDescent="0.2">
      <c r="A172" s="1083"/>
      <c r="B172" s="1083"/>
      <c r="C172" s="1083"/>
      <c r="D172" s="1083"/>
      <c r="E172" s="1083"/>
      <c r="F172" s="1083"/>
      <c r="G172" s="1083"/>
      <c r="H172" s="1083"/>
      <c r="I172" s="1083"/>
      <c r="J172" s="1083"/>
      <c r="K172" s="1083"/>
      <c r="L172" s="1083"/>
      <c r="M172" s="1083"/>
      <c r="N172" s="1083"/>
      <c r="O172" s="1083"/>
      <c r="P172" s="1083"/>
      <c r="Q172" s="1083"/>
      <c r="R172" s="1083"/>
      <c r="S172" s="1083"/>
      <c r="T172" s="1083"/>
      <c r="U172" s="1083"/>
      <c r="V172" s="1083"/>
      <c r="W172" s="1083"/>
      <c r="X172" s="1083"/>
      <c r="Y172" s="1083"/>
      <c r="Z172" s="1083"/>
      <c r="AA172" s="1083"/>
      <c r="AB172" s="1083"/>
      <c r="AC172" s="1083"/>
      <c r="AD172" s="1083"/>
      <c r="AE172" s="1083"/>
      <c r="AF172" s="1083"/>
      <c r="AG172" s="1083"/>
      <c r="AH172" s="1083"/>
      <c r="AI172" s="1083"/>
      <c r="AJ172" s="1083"/>
      <c r="AK172" s="1083"/>
      <c r="AL172" s="1083"/>
      <c r="AM172" s="1083"/>
      <c r="AN172" s="1083"/>
      <c r="AO172" s="1083"/>
      <c r="AP172" s="1083"/>
      <c r="AQ172" s="1083"/>
      <c r="AR172" s="1083"/>
      <c r="AS172" s="1083"/>
      <c r="AT172" s="1083"/>
      <c r="AU172" s="1083"/>
      <c r="AV172" s="1083"/>
      <c r="AW172" s="1083"/>
      <c r="AX172" s="1083"/>
      <c r="AY172" s="1083"/>
      <c r="AZ172" s="1083"/>
      <c r="BA172" s="1083"/>
      <c r="BB172" s="1083"/>
      <c r="BC172" s="1083"/>
      <c r="BD172" s="1083"/>
      <c r="BE172" s="1083"/>
      <c r="BF172" s="1083"/>
      <c r="BG172" s="1083"/>
      <c r="BH172" s="1083"/>
      <c r="BI172" s="1083"/>
      <c r="BJ172" s="1083"/>
      <c r="BK172" s="1083"/>
      <c r="BL172" s="1083"/>
      <c r="BM172" s="1083"/>
      <c r="BN172" s="1083"/>
      <c r="BO172" s="1083"/>
    </row>
    <row r="173" spans="1:67" ht="13.5" customHeight="1" x14ac:dyDescent="0.2">
      <c r="A173" s="1087" t="s">
        <v>577</v>
      </c>
      <c r="B173" s="1087"/>
      <c r="C173" s="1087"/>
      <c r="D173" s="1087"/>
      <c r="E173" s="1087"/>
      <c r="F173" s="1087"/>
      <c r="G173" s="1087"/>
      <c r="H173" s="1087"/>
      <c r="I173" s="1087"/>
      <c r="J173" s="1087"/>
      <c r="K173" s="1087"/>
      <c r="L173" s="1087"/>
      <c r="M173" s="1087"/>
      <c r="N173" s="1087"/>
      <c r="O173" s="1087"/>
      <c r="P173" s="1087"/>
      <c r="Q173" s="1087"/>
      <c r="R173" s="1087"/>
      <c r="S173" s="1086">
        <v>5013716</v>
      </c>
      <c r="T173" s="1086"/>
      <c r="U173" s="1086"/>
      <c r="V173" s="1086"/>
      <c r="W173" s="1086"/>
      <c r="X173" s="1086">
        <v>5309746</v>
      </c>
      <c r="Y173" s="1086"/>
      <c r="Z173" s="1086"/>
      <c r="AA173" s="1086"/>
      <c r="AB173" s="1086"/>
      <c r="AC173" s="1086"/>
      <c r="AD173" s="1086">
        <v>4632483</v>
      </c>
      <c r="AE173" s="1086"/>
      <c r="AF173" s="1086"/>
      <c r="AG173" s="1086"/>
      <c r="AH173" s="1086"/>
      <c r="AI173" s="1086"/>
      <c r="AJ173" s="1086">
        <v>3374197</v>
      </c>
      <c r="AK173" s="1086"/>
      <c r="AL173" s="1086"/>
      <c r="AM173" s="1086"/>
      <c r="AN173" s="1086"/>
      <c r="AO173" s="1086"/>
      <c r="AP173" s="1086"/>
      <c r="AQ173" s="1086"/>
      <c r="AR173" s="1086"/>
      <c r="AS173" s="1086"/>
      <c r="AT173" s="1086"/>
      <c r="AU173" s="1086">
        <v>3111429</v>
      </c>
      <c r="AV173" s="1086"/>
      <c r="AW173" s="1086"/>
      <c r="AX173" s="1086"/>
      <c r="AY173" s="1086"/>
      <c r="AZ173" s="1086"/>
      <c r="BA173" s="1086"/>
      <c r="BB173" s="1086"/>
      <c r="BC173" s="1086">
        <v>3053922</v>
      </c>
      <c r="BD173" s="1086"/>
      <c r="BE173" s="1086"/>
      <c r="BF173" s="1086"/>
      <c r="BG173" s="1086">
        <v>2457865</v>
      </c>
      <c r="BH173" s="1086"/>
      <c r="BI173" s="1086"/>
      <c r="BJ173" s="1086"/>
      <c r="BK173" s="1086">
        <v>2435304</v>
      </c>
      <c r="BL173" s="1086"/>
      <c r="BM173" s="1086"/>
      <c r="BN173" s="1086"/>
      <c r="BO173" s="1086"/>
    </row>
    <row r="174" spans="1:67" ht="13.5" customHeight="1" x14ac:dyDescent="0.2">
      <c r="A174" s="1123" t="s">
        <v>578</v>
      </c>
      <c r="B174" s="1123"/>
      <c r="C174" s="1123"/>
      <c r="D174" s="1123"/>
      <c r="E174" s="1123"/>
      <c r="F174" s="1123"/>
      <c r="G174" s="1123"/>
      <c r="H174" s="1123"/>
      <c r="I174" s="1123"/>
      <c r="J174" s="1123"/>
      <c r="K174" s="1123"/>
      <c r="L174" s="1123"/>
      <c r="M174" s="1123"/>
      <c r="N174" s="1123"/>
      <c r="O174" s="1123"/>
      <c r="P174" s="1123"/>
      <c r="Q174" s="1123"/>
      <c r="R174" s="1123"/>
      <c r="S174" s="1121">
        <v>4256399</v>
      </c>
      <c r="T174" s="1121"/>
      <c r="U174" s="1121"/>
      <c r="V174" s="1121"/>
      <c r="W174" s="1121"/>
      <c r="X174" s="1121">
        <v>3896776</v>
      </c>
      <c r="Y174" s="1121"/>
      <c r="Z174" s="1121"/>
      <c r="AA174" s="1121"/>
      <c r="AB174" s="1121"/>
      <c r="AC174" s="1121"/>
      <c r="AD174" s="1121">
        <v>2966203</v>
      </c>
      <c r="AE174" s="1121"/>
      <c r="AF174" s="1121"/>
      <c r="AG174" s="1121"/>
      <c r="AH174" s="1121"/>
      <c r="AI174" s="1121"/>
      <c r="AJ174" s="1121">
        <v>3180616</v>
      </c>
      <c r="AK174" s="1121"/>
      <c r="AL174" s="1121"/>
      <c r="AM174" s="1121"/>
      <c r="AN174" s="1121"/>
      <c r="AO174" s="1121"/>
      <c r="AP174" s="1121"/>
      <c r="AQ174" s="1121"/>
      <c r="AR174" s="1121"/>
      <c r="AS174" s="1121"/>
      <c r="AT174" s="1121"/>
      <c r="AU174" s="1121">
        <v>2787212</v>
      </c>
      <c r="AV174" s="1121"/>
      <c r="AW174" s="1121"/>
      <c r="AX174" s="1121"/>
      <c r="AY174" s="1121"/>
      <c r="AZ174" s="1121"/>
      <c r="BA174" s="1121"/>
      <c r="BB174" s="1121"/>
      <c r="BC174" s="1121">
        <v>2642901</v>
      </c>
      <c r="BD174" s="1121"/>
      <c r="BE174" s="1121"/>
      <c r="BF174" s="1121"/>
      <c r="BG174" s="1121">
        <v>2353521</v>
      </c>
      <c r="BH174" s="1121"/>
      <c r="BI174" s="1121"/>
      <c r="BJ174" s="1121"/>
      <c r="BK174" s="1121">
        <v>2381302</v>
      </c>
      <c r="BL174" s="1121"/>
      <c r="BM174" s="1121"/>
      <c r="BN174" s="1121"/>
      <c r="BO174" s="1121"/>
    </row>
    <row r="175" spans="1:67" ht="13.5" customHeight="1" x14ac:dyDescent="0.2">
      <c r="A175" s="1123" t="s">
        <v>579</v>
      </c>
      <c r="B175" s="1123"/>
      <c r="C175" s="1123"/>
      <c r="D175" s="1123"/>
      <c r="E175" s="1123"/>
      <c r="F175" s="1123"/>
      <c r="G175" s="1123"/>
      <c r="H175" s="1123"/>
      <c r="I175" s="1123"/>
      <c r="J175" s="1123"/>
      <c r="K175" s="1123"/>
      <c r="L175" s="1123"/>
      <c r="M175" s="1123"/>
      <c r="N175" s="1123"/>
      <c r="O175" s="1123"/>
      <c r="P175" s="1123"/>
      <c r="Q175" s="1123"/>
      <c r="R175" s="1123"/>
      <c r="S175" s="1121">
        <v>0</v>
      </c>
      <c r="T175" s="1121"/>
      <c r="U175" s="1121"/>
      <c r="V175" s="1121"/>
      <c r="W175" s="1121"/>
      <c r="X175" s="1121">
        <v>0</v>
      </c>
      <c r="Y175" s="1121"/>
      <c r="Z175" s="1121"/>
      <c r="AA175" s="1121"/>
      <c r="AB175" s="1121"/>
      <c r="AC175" s="1121"/>
      <c r="AD175" s="1121">
        <v>0</v>
      </c>
      <c r="AE175" s="1121"/>
      <c r="AF175" s="1121"/>
      <c r="AG175" s="1121"/>
      <c r="AH175" s="1121"/>
      <c r="AI175" s="1121"/>
      <c r="AJ175" s="1121">
        <v>0</v>
      </c>
      <c r="AK175" s="1121"/>
      <c r="AL175" s="1121"/>
      <c r="AM175" s="1121"/>
      <c r="AN175" s="1121"/>
      <c r="AO175" s="1121"/>
      <c r="AP175" s="1121"/>
      <c r="AQ175" s="1121"/>
      <c r="AR175" s="1121"/>
      <c r="AS175" s="1121"/>
      <c r="AT175" s="1121"/>
      <c r="AU175" s="1121">
        <v>0</v>
      </c>
      <c r="AV175" s="1121"/>
      <c r="AW175" s="1121"/>
      <c r="AX175" s="1121"/>
      <c r="AY175" s="1121"/>
      <c r="AZ175" s="1121"/>
      <c r="BA175" s="1121"/>
      <c r="BB175" s="1121"/>
      <c r="BC175" s="1121">
        <v>0</v>
      </c>
      <c r="BD175" s="1121"/>
      <c r="BE175" s="1121"/>
      <c r="BF175" s="1121"/>
      <c r="BG175" s="1121">
        <v>0</v>
      </c>
      <c r="BH175" s="1121"/>
      <c r="BI175" s="1121"/>
      <c r="BJ175" s="1121"/>
      <c r="BK175" s="1121">
        <v>0</v>
      </c>
      <c r="BL175" s="1121"/>
      <c r="BM175" s="1121"/>
      <c r="BN175" s="1121"/>
      <c r="BO175" s="1121"/>
    </row>
    <row r="176" spans="1:67" ht="13.5" customHeight="1" x14ac:dyDescent="0.2">
      <c r="A176" s="1123" t="s">
        <v>580</v>
      </c>
      <c r="B176" s="1123"/>
      <c r="C176" s="1123"/>
      <c r="D176" s="1123"/>
      <c r="E176" s="1123"/>
      <c r="F176" s="1123"/>
      <c r="G176" s="1123"/>
      <c r="H176" s="1123"/>
      <c r="I176" s="1123"/>
      <c r="J176" s="1123"/>
      <c r="K176" s="1123"/>
      <c r="L176" s="1123"/>
      <c r="M176" s="1123"/>
      <c r="N176" s="1123"/>
      <c r="O176" s="1123"/>
      <c r="P176" s="1123"/>
      <c r="Q176" s="1123"/>
      <c r="R176" s="1123"/>
      <c r="S176" s="1121">
        <v>0</v>
      </c>
      <c r="T176" s="1121"/>
      <c r="U176" s="1121"/>
      <c r="V176" s="1121"/>
      <c r="W176" s="1121"/>
      <c r="X176" s="1121">
        <v>0</v>
      </c>
      <c r="Y176" s="1121"/>
      <c r="Z176" s="1121"/>
      <c r="AA176" s="1121"/>
      <c r="AB176" s="1121"/>
      <c r="AC176" s="1121"/>
      <c r="AD176" s="1121">
        <v>0</v>
      </c>
      <c r="AE176" s="1121"/>
      <c r="AF176" s="1121"/>
      <c r="AG176" s="1121"/>
      <c r="AH176" s="1121"/>
      <c r="AI176" s="1121"/>
      <c r="AJ176" s="1121">
        <v>0</v>
      </c>
      <c r="AK176" s="1121"/>
      <c r="AL176" s="1121"/>
      <c r="AM176" s="1121"/>
      <c r="AN176" s="1121"/>
      <c r="AO176" s="1121"/>
      <c r="AP176" s="1121"/>
      <c r="AQ176" s="1121"/>
      <c r="AR176" s="1121"/>
      <c r="AS176" s="1121"/>
      <c r="AT176" s="1121"/>
      <c r="AU176" s="1121">
        <v>0</v>
      </c>
      <c r="AV176" s="1121"/>
      <c r="AW176" s="1121"/>
      <c r="AX176" s="1121"/>
      <c r="AY176" s="1121"/>
      <c r="AZ176" s="1121"/>
      <c r="BA176" s="1121"/>
      <c r="BB176" s="1121"/>
      <c r="BC176" s="1121">
        <v>0</v>
      </c>
      <c r="BD176" s="1121"/>
      <c r="BE176" s="1121"/>
      <c r="BF176" s="1121"/>
      <c r="BG176" s="1121">
        <v>0</v>
      </c>
      <c r="BH176" s="1121"/>
      <c r="BI176" s="1121"/>
      <c r="BJ176" s="1121"/>
      <c r="BK176" s="1121">
        <v>0</v>
      </c>
      <c r="BL176" s="1121"/>
      <c r="BM176" s="1121"/>
      <c r="BN176" s="1121"/>
      <c r="BO176" s="1121"/>
    </row>
    <row r="177" spans="1:67" ht="13.5" customHeight="1" x14ac:dyDescent="0.2">
      <c r="A177" s="1123" t="s">
        <v>581</v>
      </c>
      <c r="B177" s="1123"/>
      <c r="C177" s="1123"/>
      <c r="D177" s="1123"/>
      <c r="E177" s="1123"/>
      <c r="F177" s="1123"/>
      <c r="G177" s="1123"/>
      <c r="H177" s="1123"/>
      <c r="I177" s="1123"/>
      <c r="J177" s="1123"/>
      <c r="K177" s="1123"/>
      <c r="L177" s="1123"/>
      <c r="M177" s="1123"/>
      <c r="N177" s="1123"/>
      <c r="O177" s="1123"/>
      <c r="P177" s="1123"/>
      <c r="Q177" s="1123"/>
      <c r="R177" s="1123"/>
      <c r="S177" s="1121">
        <v>0</v>
      </c>
      <c r="T177" s="1121"/>
      <c r="U177" s="1121"/>
      <c r="V177" s="1121"/>
      <c r="W177" s="1121"/>
      <c r="X177" s="1121">
        <v>0</v>
      </c>
      <c r="Y177" s="1121"/>
      <c r="Z177" s="1121"/>
      <c r="AA177" s="1121"/>
      <c r="AB177" s="1121"/>
      <c r="AC177" s="1121"/>
      <c r="AD177" s="1121">
        <v>0</v>
      </c>
      <c r="AE177" s="1121"/>
      <c r="AF177" s="1121"/>
      <c r="AG177" s="1121"/>
      <c r="AH177" s="1121"/>
      <c r="AI177" s="1121"/>
      <c r="AJ177" s="1121">
        <v>0</v>
      </c>
      <c r="AK177" s="1121"/>
      <c r="AL177" s="1121"/>
      <c r="AM177" s="1121"/>
      <c r="AN177" s="1121"/>
      <c r="AO177" s="1121"/>
      <c r="AP177" s="1121"/>
      <c r="AQ177" s="1121"/>
      <c r="AR177" s="1121"/>
      <c r="AS177" s="1121"/>
      <c r="AT177" s="1121"/>
      <c r="AU177" s="1121">
        <v>0</v>
      </c>
      <c r="AV177" s="1121"/>
      <c r="AW177" s="1121"/>
      <c r="AX177" s="1121"/>
      <c r="AY177" s="1121"/>
      <c r="AZ177" s="1121"/>
      <c r="BA177" s="1121"/>
      <c r="BB177" s="1121"/>
      <c r="BC177" s="1121">
        <v>0</v>
      </c>
      <c r="BD177" s="1121"/>
      <c r="BE177" s="1121"/>
      <c r="BF177" s="1121"/>
      <c r="BG177" s="1121">
        <v>0</v>
      </c>
      <c r="BH177" s="1121"/>
      <c r="BI177" s="1121"/>
      <c r="BJ177" s="1121"/>
      <c r="BK177" s="1121">
        <v>0</v>
      </c>
      <c r="BL177" s="1121"/>
      <c r="BM177" s="1121"/>
      <c r="BN177" s="1121"/>
      <c r="BO177" s="1121"/>
    </row>
    <row r="178" spans="1:67" ht="13.5" customHeight="1" x14ac:dyDescent="0.2">
      <c r="A178" s="1123" t="s">
        <v>582</v>
      </c>
      <c r="B178" s="1123"/>
      <c r="C178" s="1123"/>
      <c r="D178" s="1123"/>
      <c r="E178" s="1123"/>
      <c r="F178" s="1123"/>
      <c r="G178" s="1123"/>
      <c r="H178" s="1123"/>
      <c r="I178" s="1123"/>
      <c r="J178" s="1123"/>
      <c r="K178" s="1123"/>
      <c r="L178" s="1123"/>
      <c r="M178" s="1123"/>
      <c r="N178" s="1123"/>
      <c r="O178" s="1123"/>
      <c r="P178" s="1123"/>
      <c r="Q178" s="1123"/>
      <c r="R178" s="1123"/>
      <c r="S178" s="1121">
        <v>0</v>
      </c>
      <c r="T178" s="1121"/>
      <c r="U178" s="1121"/>
      <c r="V178" s="1121"/>
      <c r="W178" s="1121"/>
      <c r="X178" s="1121">
        <v>0</v>
      </c>
      <c r="Y178" s="1121"/>
      <c r="Z178" s="1121"/>
      <c r="AA178" s="1121"/>
      <c r="AB178" s="1121"/>
      <c r="AC178" s="1121"/>
      <c r="AD178" s="1121">
        <v>0</v>
      </c>
      <c r="AE178" s="1121"/>
      <c r="AF178" s="1121"/>
      <c r="AG178" s="1121"/>
      <c r="AH178" s="1121"/>
      <c r="AI178" s="1121"/>
      <c r="AJ178" s="1121">
        <v>0</v>
      </c>
      <c r="AK178" s="1121"/>
      <c r="AL178" s="1121"/>
      <c r="AM178" s="1121"/>
      <c r="AN178" s="1121"/>
      <c r="AO178" s="1121"/>
      <c r="AP178" s="1121"/>
      <c r="AQ178" s="1121"/>
      <c r="AR178" s="1121"/>
      <c r="AS178" s="1121"/>
      <c r="AT178" s="1121"/>
      <c r="AU178" s="1121">
        <v>0</v>
      </c>
      <c r="AV178" s="1121"/>
      <c r="AW178" s="1121"/>
      <c r="AX178" s="1121"/>
      <c r="AY178" s="1121"/>
      <c r="AZ178" s="1121"/>
      <c r="BA178" s="1121"/>
      <c r="BB178" s="1121"/>
      <c r="BC178" s="1121">
        <v>0</v>
      </c>
      <c r="BD178" s="1121"/>
      <c r="BE178" s="1121"/>
      <c r="BF178" s="1121"/>
      <c r="BG178" s="1121">
        <v>0</v>
      </c>
      <c r="BH178" s="1121"/>
      <c r="BI178" s="1121"/>
      <c r="BJ178" s="1121"/>
      <c r="BK178" s="1121">
        <v>0</v>
      </c>
      <c r="BL178" s="1121"/>
      <c r="BM178" s="1121"/>
      <c r="BN178" s="1121"/>
      <c r="BO178" s="1121"/>
    </row>
    <row r="179" spans="1:67" ht="13.5" customHeight="1" x14ac:dyDescent="0.2">
      <c r="A179" s="1123" t="s">
        <v>583</v>
      </c>
      <c r="B179" s="1123"/>
      <c r="C179" s="1123"/>
      <c r="D179" s="1123"/>
      <c r="E179" s="1123"/>
      <c r="F179" s="1123"/>
      <c r="G179" s="1123"/>
      <c r="H179" s="1123"/>
      <c r="I179" s="1123"/>
      <c r="J179" s="1123"/>
      <c r="K179" s="1123"/>
      <c r="L179" s="1123"/>
      <c r="M179" s="1123"/>
      <c r="N179" s="1123"/>
      <c r="O179" s="1123"/>
      <c r="P179" s="1123"/>
      <c r="Q179" s="1123"/>
      <c r="R179" s="1123"/>
      <c r="S179" s="1121">
        <v>0</v>
      </c>
      <c r="T179" s="1121"/>
      <c r="U179" s="1121"/>
      <c r="V179" s="1121"/>
      <c r="W179" s="1121"/>
      <c r="X179" s="1121">
        <v>0</v>
      </c>
      <c r="Y179" s="1121"/>
      <c r="Z179" s="1121"/>
      <c r="AA179" s="1121"/>
      <c r="AB179" s="1121"/>
      <c r="AC179" s="1121"/>
      <c r="AD179" s="1121">
        <v>0</v>
      </c>
      <c r="AE179" s="1121"/>
      <c r="AF179" s="1121"/>
      <c r="AG179" s="1121"/>
      <c r="AH179" s="1121"/>
      <c r="AI179" s="1121"/>
      <c r="AJ179" s="1121">
        <v>0</v>
      </c>
      <c r="AK179" s="1121"/>
      <c r="AL179" s="1121"/>
      <c r="AM179" s="1121"/>
      <c r="AN179" s="1121"/>
      <c r="AO179" s="1121"/>
      <c r="AP179" s="1121"/>
      <c r="AQ179" s="1121"/>
      <c r="AR179" s="1121"/>
      <c r="AS179" s="1121"/>
      <c r="AT179" s="1121"/>
      <c r="AU179" s="1121">
        <v>0</v>
      </c>
      <c r="AV179" s="1121"/>
      <c r="AW179" s="1121"/>
      <c r="AX179" s="1121"/>
      <c r="AY179" s="1121"/>
      <c r="AZ179" s="1121"/>
      <c r="BA179" s="1121"/>
      <c r="BB179" s="1121"/>
      <c r="BC179" s="1121">
        <v>0</v>
      </c>
      <c r="BD179" s="1121"/>
      <c r="BE179" s="1121"/>
      <c r="BF179" s="1121"/>
      <c r="BG179" s="1121">
        <v>0</v>
      </c>
      <c r="BH179" s="1121"/>
      <c r="BI179" s="1121"/>
      <c r="BJ179" s="1121"/>
      <c r="BK179" s="1121">
        <v>0</v>
      </c>
      <c r="BL179" s="1121"/>
      <c r="BM179" s="1121"/>
      <c r="BN179" s="1121"/>
      <c r="BO179" s="1121"/>
    </row>
    <row r="180" spans="1:67" ht="13.5" customHeight="1" x14ac:dyDescent="0.2">
      <c r="A180" s="1123" t="s">
        <v>584</v>
      </c>
      <c r="B180" s="1123"/>
      <c r="C180" s="1123"/>
      <c r="D180" s="1123"/>
      <c r="E180" s="1123"/>
      <c r="F180" s="1123"/>
      <c r="G180" s="1123"/>
      <c r="H180" s="1123"/>
      <c r="I180" s="1123"/>
      <c r="J180" s="1123"/>
      <c r="K180" s="1123"/>
      <c r="L180" s="1123"/>
      <c r="M180" s="1123"/>
      <c r="N180" s="1123"/>
      <c r="O180" s="1123"/>
      <c r="P180" s="1123"/>
      <c r="Q180" s="1123"/>
      <c r="R180" s="1123"/>
      <c r="S180" s="1121">
        <v>0</v>
      </c>
      <c r="T180" s="1121"/>
      <c r="U180" s="1121"/>
      <c r="V180" s="1121"/>
      <c r="W180" s="1121"/>
      <c r="X180" s="1121">
        <v>0</v>
      </c>
      <c r="Y180" s="1121"/>
      <c r="Z180" s="1121"/>
      <c r="AA180" s="1121"/>
      <c r="AB180" s="1121"/>
      <c r="AC180" s="1121"/>
      <c r="AD180" s="1121">
        <v>0</v>
      </c>
      <c r="AE180" s="1121"/>
      <c r="AF180" s="1121"/>
      <c r="AG180" s="1121"/>
      <c r="AH180" s="1121"/>
      <c r="AI180" s="1121"/>
      <c r="AJ180" s="1121">
        <v>0</v>
      </c>
      <c r="AK180" s="1121"/>
      <c r="AL180" s="1121"/>
      <c r="AM180" s="1121"/>
      <c r="AN180" s="1121"/>
      <c r="AO180" s="1121"/>
      <c r="AP180" s="1121"/>
      <c r="AQ180" s="1121"/>
      <c r="AR180" s="1121"/>
      <c r="AS180" s="1121"/>
      <c r="AT180" s="1121"/>
      <c r="AU180" s="1121">
        <v>0</v>
      </c>
      <c r="AV180" s="1121"/>
      <c r="AW180" s="1121"/>
      <c r="AX180" s="1121"/>
      <c r="AY180" s="1121"/>
      <c r="AZ180" s="1121"/>
      <c r="BA180" s="1121"/>
      <c r="BB180" s="1121"/>
      <c r="BC180" s="1121">
        <v>0</v>
      </c>
      <c r="BD180" s="1121"/>
      <c r="BE180" s="1121"/>
      <c r="BF180" s="1121"/>
      <c r="BG180" s="1121">
        <v>0</v>
      </c>
      <c r="BH180" s="1121"/>
      <c r="BI180" s="1121"/>
      <c r="BJ180" s="1121"/>
      <c r="BK180" s="1121">
        <v>0</v>
      </c>
      <c r="BL180" s="1121"/>
      <c r="BM180" s="1121"/>
      <c r="BN180" s="1121"/>
      <c r="BO180" s="1121"/>
    </row>
    <row r="181" spans="1:67" ht="13.5" customHeight="1" x14ac:dyDescent="0.2">
      <c r="A181" s="1123" t="s">
        <v>585</v>
      </c>
      <c r="B181" s="1123"/>
      <c r="C181" s="1123"/>
      <c r="D181" s="1123"/>
      <c r="E181" s="1123"/>
      <c r="F181" s="1123"/>
      <c r="G181" s="1123"/>
      <c r="H181" s="1123"/>
      <c r="I181" s="1123"/>
      <c r="J181" s="1123"/>
      <c r="K181" s="1123"/>
      <c r="L181" s="1123"/>
      <c r="M181" s="1123"/>
      <c r="N181" s="1123"/>
      <c r="O181" s="1123"/>
      <c r="P181" s="1123"/>
      <c r="Q181" s="1123"/>
      <c r="R181" s="1123"/>
      <c r="S181" s="1121">
        <v>0</v>
      </c>
      <c r="T181" s="1121"/>
      <c r="U181" s="1121"/>
      <c r="V181" s="1121"/>
      <c r="W181" s="1121"/>
      <c r="X181" s="1121">
        <v>0</v>
      </c>
      <c r="Y181" s="1121"/>
      <c r="Z181" s="1121"/>
      <c r="AA181" s="1121"/>
      <c r="AB181" s="1121"/>
      <c r="AC181" s="1121"/>
      <c r="AD181" s="1121">
        <v>0</v>
      </c>
      <c r="AE181" s="1121"/>
      <c r="AF181" s="1121"/>
      <c r="AG181" s="1121"/>
      <c r="AH181" s="1121"/>
      <c r="AI181" s="1121"/>
      <c r="AJ181" s="1121">
        <v>0</v>
      </c>
      <c r="AK181" s="1121"/>
      <c r="AL181" s="1121"/>
      <c r="AM181" s="1121"/>
      <c r="AN181" s="1121"/>
      <c r="AO181" s="1121"/>
      <c r="AP181" s="1121"/>
      <c r="AQ181" s="1121"/>
      <c r="AR181" s="1121"/>
      <c r="AS181" s="1121"/>
      <c r="AT181" s="1121"/>
      <c r="AU181" s="1121">
        <v>0</v>
      </c>
      <c r="AV181" s="1121"/>
      <c r="AW181" s="1121"/>
      <c r="AX181" s="1121"/>
      <c r="AY181" s="1121"/>
      <c r="AZ181" s="1121"/>
      <c r="BA181" s="1121"/>
      <c r="BB181" s="1121"/>
      <c r="BC181" s="1121">
        <v>0</v>
      </c>
      <c r="BD181" s="1121"/>
      <c r="BE181" s="1121"/>
      <c r="BF181" s="1121"/>
      <c r="BG181" s="1121">
        <v>0</v>
      </c>
      <c r="BH181" s="1121"/>
      <c r="BI181" s="1121"/>
      <c r="BJ181" s="1121"/>
      <c r="BK181" s="1121">
        <v>0</v>
      </c>
      <c r="BL181" s="1121"/>
      <c r="BM181" s="1121"/>
      <c r="BN181" s="1121"/>
      <c r="BO181" s="1121"/>
    </row>
    <row r="182" spans="1:67" ht="26" customHeight="1" x14ac:dyDescent="0.2">
      <c r="A182" s="1123" t="s">
        <v>586</v>
      </c>
      <c r="B182" s="1123"/>
      <c r="C182" s="1123"/>
      <c r="D182" s="1123"/>
      <c r="E182" s="1123"/>
      <c r="F182" s="1123"/>
      <c r="G182" s="1123"/>
      <c r="H182" s="1123"/>
      <c r="I182" s="1123"/>
      <c r="J182" s="1123"/>
      <c r="K182" s="1123"/>
      <c r="L182" s="1123"/>
      <c r="M182" s="1123"/>
      <c r="N182" s="1123"/>
      <c r="O182" s="1123"/>
      <c r="P182" s="1123"/>
      <c r="Q182" s="1123"/>
      <c r="R182" s="1123"/>
      <c r="S182" s="1121">
        <v>0</v>
      </c>
      <c r="T182" s="1121"/>
      <c r="U182" s="1121"/>
      <c r="V182" s="1121"/>
      <c r="W182" s="1121"/>
      <c r="X182" s="1121">
        <v>0</v>
      </c>
      <c r="Y182" s="1121"/>
      <c r="Z182" s="1121"/>
      <c r="AA182" s="1121"/>
      <c r="AB182" s="1121"/>
      <c r="AC182" s="1121"/>
      <c r="AD182" s="1121">
        <v>0</v>
      </c>
      <c r="AE182" s="1121"/>
      <c r="AF182" s="1121"/>
      <c r="AG182" s="1121"/>
      <c r="AH182" s="1121"/>
      <c r="AI182" s="1121"/>
      <c r="AJ182" s="1121">
        <v>0</v>
      </c>
      <c r="AK182" s="1121"/>
      <c r="AL182" s="1121"/>
      <c r="AM182" s="1121"/>
      <c r="AN182" s="1121"/>
      <c r="AO182" s="1121"/>
      <c r="AP182" s="1121"/>
      <c r="AQ182" s="1121"/>
      <c r="AR182" s="1121"/>
      <c r="AS182" s="1121"/>
      <c r="AT182" s="1121"/>
      <c r="AU182" s="1121">
        <v>0</v>
      </c>
      <c r="AV182" s="1121"/>
      <c r="AW182" s="1121"/>
      <c r="AX182" s="1121"/>
      <c r="AY182" s="1121"/>
      <c r="AZ182" s="1121"/>
      <c r="BA182" s="1121"/>
      <c r="BB182" s="1121"/>
      <c r="BC182" s="1121">
        <v>0</v>
      </c>
      <c r="BD182" s="1121"/>
      <c r="BE182" s="1121"/>
      <c r="BF182" s="1121"/>
      <c r="BG182" s="1121">
        <v>0</v>
      </c>
      <c r="BH182" s="1121"/>
      <c r="BI182" s="1121"/>
      <c r="BJ182" s="1121"/>
      <c r="BK182" s="1121">
        <v>0</v>
      </c>
      <c r="BL182" s="1121"/>
      <c r="BM182" s="1121"/>
      <c r="BN182" s="1121"/>
      <c r="BO182" s="1121"/>
    </row>
    <row r="183" spans="1:67" ht="26" customHeight="1" x14ac:dyDescent="0.2">
      <c r="A183" s="1123" t="s">
        <v>587</v>
      </c>
      <c r="B183" s="1123"/>
      <c r="C183" s="1123"/>
      <c r="D183" s="1123"/>
      <c r="E183" s="1123"/>
      <c r="F183" s="1123"/>
      <c r="G183" s="1123"/>
      <c r="H183" s="1123"/>
      <c r="I183" s="1123"/>
      <c r="J183" s="1123"/>
      <c r="K183" s="1123"/>
      <c r="L183" s="1123"/>
      <c r="M183" s="1123"/>
      <c r="N183" s="1123"/>
      <c r="O183" s="1123"/>
      <c r="P183" s="1123"/>
      <c r="Q183" s="1123"/>
      <c r="R183" s="1123"/>
      <c r="S183" s="1121">
        <v>0</v>
      </c>
      <c r="T183" s="1121"/>
      <c r="U183" s="1121"/>
      <c r="V183" s="1121"/>
      <c r="W183" s="1121"/>
      <c r="X183" s="1121">
        <v>0</v>
      </c>
      <c r="Y183" s="1121"/>
      <c r="Z183" s="1121"/>
      <c r="AA183" s="1121"/>
      <c r="AB183" s="1121"/>
      <c r="AC183" s="1121"/>
      <c r="AD183" s="1121">
        <v>0</v>
      </c>
      <c r="AE183" s="1121"/>
      <c r="AF183" s="1121"/>
      <c r="AG183" s="1121"/>
      <c r="AH183" s="1121"/>
      <c r="AI183" s="1121"/>
      <c r="AJ183" s="1121">
        <v>0</v>
      </c>
      <c r="AK183" s="1121"/>
      <c r="AL183" s="1121"/>
      <c r="AM183" s="1121"/>
      <c r="AN183" s="1121"/>
      <c r="AO183" s="1121"/>
      <c r="AP183" s="1121"/>
      <c r="AQ183" s="1121"/>
      <c r="AR183" s="1121"/>
      <c r="AS183" s="1121"/>
      <c r="AT183" s="1121"/>
      <c r="AU183" s="1121">
        <v>0</v>
      </c>
      <c r="AV183" s="1121"/>
      <c r="AW183" s="1121"/>
      <c r="AX183" s="1121"/>
      <c r="AY183" s="1121"/>
      <c r="AZ183" s="1121"/>
      <c r="BA183" s="1121"/>
      <c r="BB183" s="1121"/>
      <c r="BC183" s="1121">
        <v>0</v>
      </c>
      <c r="BD183" s="1121"/>
      <c r="BE183" s="1121"/>
      <c r="BF183" s="1121"/>
      <c r="BG183" s="1121">
        <v>0</v>
      </c>
      <c r="BH183" s="1121"/>
      <c r="BI183" s="1121"/>
      <c r="BJ183" s="1121"/>
      <c r="BK183" s="1121">
        <v>0</v>
      </c>
      <c r="BL183" s="1121"/>
      <c r="BM183" s="1121"/>
      <c r="BN183" s="1121"/>
      <c r="BO183" s="1121"/>
    </row>
    <row r="184" spans="1:67" ht="13.5" customHeight="1" x14ac:dyDescent="0.2">
      <c r="A184" s="1123" t="s">
        <v>588</v>
      </c>
      <c r="B184" s="1123"/>
      <c r="C184" s="1123"/>
      <c r="D184" s="1123"/>
      <c r="E184" s="1123"/>
      <c r="F184" s="1123"/>
      <c r="G184" s="1123"/>
      <c r="H184" s="1123"/>
      <c r="I184" s="1123"/>
      <c r="J184" s="1123"/>
      <c r="K184" s="1123"/>
      <c r="L184" s="1123"/>
      <c r="M184" s="1123"/>
      <c r="N184" s="1123"/>
      <c r="O184" s="1123"/>
      <c r="P184" s="1123"/>
      <c r="Q184" s="1123"/>
      <c r="R184" s="1123"/>
      <c r="S184" s="1121">
        <v>11273</v>
      </c>
      <c r="T184" s="1121"/>
      <c r="U184" s="1121"/>
      <c r="V184" s="1121"/>
      <c r="W184" s="1121"/>
      <c r="X184" s="1121">
        <v>121727</v>
      </c>
      <c r="Y184" s="1121"/>
      <c r="Z184" s="1121"/>
      <c r="AA184" s="1121"/>
      <c r="AB184" s="1121"/>
      <c r="AC184" s="1121"/>
      <c r="AD184" s="1121">
        <v>578618</v>
      </c>
      <c r="AE184" s="1121"/>
      <c r="AF184" s="1121"/>
      <c r="AG184" s="1121"/>
      <c r="AH184" s="1121"/>
      <c r="AI184" s="1121"/>
      <c r="AJ184" s="1121">
        <v>112666</v>
      </c>
      <c r="AK184" s="1121"/>
      <c r="AL184" s="1121"/>
      <c r="AM184" s="1121"/>
      <c r="AN184" s="1121"/>
      <c r="AO184" s="1121"/>
      <c r="AP184" s="1121"/>
      <c r="AQ184" s="1121"/>
      <c r="AR184" s="1121"/>
      <c r="AS184" s="1121"/>
      <c r="AT184" s="1121"/>
      <c r="AU184" s="1121">
        <v>284700</v>
      </c>
      <c r="AV184" s="1121"/>
      <c r="AW184" s="1121"/>
      <c r="AX184" s="1121"/>
      <c r="AY184" s="1121"/>
      <c r="AZ184" s="1121"/>
      <c r="BA184" s="1121"/>
      <c r="BB184" s="1121"/>
      <c r="BC184" s="1121">
        <v>175791</v>
      </c>
      <c r="BD184" s="1121"/>
      <c r="BE184" s="1121"/>
      <c r="BF184" s="1121"/>
      <c r="BG184" s="1121">
        <v>57954</v>
      </c>
      <c r="BH184" s="1121"/>
      <c r="BI184" s="1121"/>
      <c r="BJ184" s="1121"/>
      <c r="BK184" s="1121">
        <v>4758</v>
      </c>
      <c r="BL184" s="1121"/>
      <c r="BM184" s="1121"/>
      <c r="BN184" s="1121"/>
      <c r="BO184" s="1121"/>
    </row>
    <row r="185" spans="1:67" ht="13.5" customHeight="1" x14ac:dyDescent="0.2">
      <c r="A185" s="1123" t="s">
        <v>589</v>
      </c>
      <c r="B185" s="1123"/>
      <c r="C185" s="1123"/>
      <c r="D185" s="1123"/>
      <c r="E185" s="1123"/>
      <c r="F185" s="1123"/>
      <c r="G185" s="1123"/>
      <c r="H185" s="1123"/>
      <c r="I185" s="1123"/>
      <c r="J185" s="1123"/>
      <c r="K185" s="1123"/>
      <c r="L185" s="1123"/>
      <c r="M185" s="1123"/>
      <c r="N185" s="1123"/>
      <c r="O185" s="1123"/>
      <c r="P185" s="1123"/>
      <c r="Q185" s="1123"/>
      <c r="R185" s="1123"/>
      <c r="S185" s="1121">
        <v>12001</v>
      </c>
      <c r="T185" s="1121"/>
      <c r="U185" s="1121"/>
      <c r="V185" s="1121"/>
      <c r="W185" s="1121"/>
      <c r="X185" s="1121">
        <v>21254</v>
      </c>
      <c r="Y185" s="1121"/>
      <c r="Z185" s="1121"/>
      <c r="AA185" s="1121"/>
      <c r="AB185" s="1121"/>
      <c r="AC185" s="1121"/>
      <c r="AD185" s="1121">
        <v>127045</v>
      </c>
      <c r="AE185" s="1121"/>
      <c r="AF185" s="1121"/>
      <c r="AG185" s="1121"/>
      <c r="AH185" s="1121"/>
      <c r="AI185" s="1121"/>
      <c r="AJ185" s="1121">
        <v>34606</v>
      </c>
      <c r="AK185" s="1121"/>
      <c r="AL185" s="1121"/>
      <c r="AM185" s="1121"/>
      <c r="AN185" s="1121"/>
      <c r="AO185" s="1121"/>
      <c r="AP185" s="1121"/>
      <c r="AQ185" s="1121"/>
      <c r="AR185" s="1121"/>
      <c r="AS185" s="1121"/>
      <c r="AT185" s="1121"/>
      <c r="AU185" s="1121">
        <v>0</v>
      </c>
      <c r="AV185" s="1121"/>
      <c r="AW185" s="1121"/>
      <c r="AX185" s="1121"/>
      <c r="AY185" s="1121"/>
      <c r="AZ185" s="1121"/>
      <c r="BA185" s="1121"/>
      <c r="BB185" s="1121"/>
      <c r="BC185" s="1121">
        <v>0</v>
      </c>
      <c r="BD185" s="1121"/>
      <c r="BE185" s="1121"/>
      <c r="BF185" s="1121"/>
      <c r="BG185" s="1121">
        <v>0</v>
      </c>
      <c r="BH185" s="1121"/>
      <c r="BI185" s="1121"/>
      <c r="BJ185" s="1121"/>
      <c r="BK185" s="1121">
        <v>0</v>
      </c>
      <c r="BL185" s="1121"/>
      <c r="BM185" s="1121"/>
      <c r="BN185" s="1121"/>
      <c r="BO185" s="1121"/>
    </row>
    <row r="186" spans="1:67" ht="13.5" customHeight="1" x14ac:dyDescent="0.2">
      <c r="A186" s="1123" t="s">
        <v>590</v>
      </c>
      <c r="B186" s="1123"/>
      <c r="C186" s="1123"/>
      <c r="D186" s="1123"/>
      <c r="E186" s="1123"/>
      <c r="F186" s="1123"/>
      <c r="G186" s="1123"/>
      <c r="H186" s="1123"/>
      <c r="I186" s="1123"/>
      <c r="J186" s="1123"/>
      <c r="K186" s="1123"/>
      <c r="L186" s="1123"/>
      <c r="M186" s="1123"/>
      <c r="N186" s="1123"/>
      <c r="O186" s="1123"/>
      <c r="P186" s="1123"/>
      <c r="Q186" s="1123"/>
      <c r="R186" s="1123"/>
      <c r="S186" s="1121">
        <v>0</v>
      </c>
      <c r="T186" s="1121"/>
      <c r="U186" s="1121"/>
      <c r="V186" s="1121"/>
      <c r="W186" s="1121"/>
      <c r="X186" s="1121">
        <v>0</v>
      </c>
      <c r="Y186" s="1121"/>
      <c r="Z186" s="1121"/>
      <c r="AA186" s="1121"/>
      <c r="AB186" s="1121"/>
      <c r="AC186" s="1121"/>
      <c r="AD186" s="1121">
        <v>0</v>
      </c>
      <c r="AE186" s="1121"/>
      <c r="AF186" s="1121"/>
      <c r="AG186" s="1121"/>
      <c r="AH186" s="1121"/>
      <c r="AI186" s="1121"/>
      <c r="AJ186" s="1121">
        <v>0</v>
      </c>
      <c r="AK186" s="1121"/>
      <c r="AL186" s="1121"/>
      <c r="AM186" s="1121"/>
      <c r="AN186" s="1121"/>
      <c r="AO186" s="1121"/>
      <c r="AP186" s="1121"/>
      <c r="AQ186" s="1121"/>
      <c r="AR186" s="1121"/>
      <c r="AS186" s="1121"/>
      <c r="AT186" s="1121"/>
      <c r="AU186" s="1121">
        <v>0</v>
      </c>
      <c r="AV186" s="1121"/>
      <c r="AW186" s="1121"/>
      <c r="AX186" s="1121"/>
      <c r="AY186" s="1121"/>
      <c r="AZ186" s="1121"/>
      <c r="BA186" s="1121"/>
      <c r="BB186" s="1121"/>
      <c r="BC186" s="1121">
        <v>0</v>
      </c>
      <c r="BD186" s="1121"/>
      <c r="BE186" s="1121"/>
      <c r="BF186" s="1121"/>
      <c r="BG186" s="1121">
        <v>0</v>
      </c>
      <c r="BH186" s="1121"/>
      <c r="BI186" s="1121"/>
      <c r="BJ186" s="1121"/>
      <c r="BK186" s="1121">
        <v>0</v>
      </c>
      <c r="BL186" s="1121"/>
      <c r="BM186" s="1121"/>
      <c r="BN186" s="1121"/>
      <c r="BO186" s="1121"/>
    </row>
    <row r="187" spans="1:67" ht="13.5" customHeight="1" x14ac:dyDescent="0.2">
      <c r="A187" s="1123" t="s">
        <v>591</v>
      </c>
      <c r="B187" s="1123"/>
      <c r="C187" s="1123"/>
      <c r="D187" s="1123"/>
      <c r="E187" s="1123"/>
      <c r="F187" s="1123"/>
      <c r="G187" s="1123"/>
      <c r="H187" s="1123"/>
      <c r="I187" s="1123"/>
      <c r="J187" s="1123"/>
      <c r="K187" s="1123"/>
      <c r="L187" s="1123"/>
      <c r="M187" s="1123"/>
      <c r="N187" s="1123"/>
      <c r="O187" s="1123"/>
      <c r="P187" s="1123"/>
      <c r="Q187" s="1123"/>
      <c r="R187" s="1123"/>
      <c r="S187" s="1121">
        <v>0</v>
      </c>
      <c r="T187" s="1121"/>
      <c r="U187" s="1121"/>
      <c r="V187" s="1121"/>
      <c r="W187" s="1121"/>
      <c r="X187" s="1121">
        <v>0</v>
      </c>
      <c r="Y187" s="1121"/>
      <c r="Z187" s="1121"/>
      <c r="AA187" s="1121"/>
      <c r="AB187" s="1121"/>
      <c r="AC187" s="1121"/>
      <c r="AD187" s="1121">
        <v>0</v>
      </c>
      <c r="AE187" s="1121"/>
      <c r="AF187" s="1121"/>
      <c r="AG187" s="1121"/>
      <c r="AH187" s="1121"/>
      <c r="AI187" s="1121"/>
      <c r="AJ187" s="1121">
        <v>0</v>
      </c>
      <c r="AK187" s="1121"/>
      <c r="AL187" s="1121"/>
      <c r="AM187" s="1121"/>
      <c r="AN187" s="1121"/>
      <c r="AO187" s="1121"/>
      <c r="AP187" s="1121"/>
      <c r="AQ187" s="1121"/>
      <c r="AR187" s="1121"/>
      <c r="AS187" s="1121"/>
      <c r="AT187" s="1121"/>
      <c r="AU187" s="1121">
        <v>0</v>
      </c>
      <c r="AV187" s="1121"/>
      <c r="AW187" s="1121"/>
      <c r="AX187" s="1121"/>
      <c r="AY187" s="1121"/>
      <c r="AZ187" s="1121"/>
      <c r="BA187" s="1121"/>
      <c r="BB187" s="1121"/>
      <c r="BC187" s="1121">
        <v>0</v>
      </c>
      <c r="BD187" s="1121"/>
      <c r="BE187" s="1121"/>
      <c r="BF187" s="1121"/>
      <c r="BG187" s="1121">
        <v>0</v>
      </c>
      <c r="BH187" s="1121"/>
      <c r="BI187" s="1121"/>
      <c r="BJ187" s="1121"/>
      <c r="BK187" s="1121">
        <v>0</v>
      </c>
      <c r="BL187" s="1121"/>
      <c r="BM187" s="1121"/>
      <c r="BN187" s="1121"/>
      <c r="BO187" s="1121"/>
    </row>
    <row r="188" spans="1:67" ht="13.5" customHeight="1" x14ac:dyDescent="0.2">
      <c r="A188" s="1123" t="s">
        <v>592</v>
      </c>
      <c r="B188" s="1123"/>
      <c r="C188" s="1123"/>
      <c r="D188" s="1123"/>
      <c r="E188" s="1123"/>
      <c r="F188" s="1123"/>
      <c r="G188" s="1123"/>
      <c r="H188" s="1123"/>
      <c r="I188" s="1123"/>
      <c r="J188" s="1123"/>
      <c r="K188" s="1123"/>
      <c r="L188" s="1123"/>
      <c r="M188" s="1123"/>
      <c r="N188" s="1123"/>
      <c r="O188" s="1123"/>
      <c r="P188" s="1123"/>
      <c r="Q188" s="1123"/>
      <c r="R188" s="1123"/>
      <c r="S188" s="1121">
        <v>120585</v>
      </c>
      <c r="T188" s="1121"/>
      <c r="U188" s="1121"/>
      <c r="V188" s="1121"/>
      <c r="W188" s="1121"/>
      <c r="X188" s="1121">
        <v>110959</v>
      </c>
      <c r="Y188" s="1121"/>
      <c r="Z188" s="1121"/>
      <c r="AA188" s="1121"/>
      <c r="AB188" s="1121"/>
      <c r="AC188" s="1121"/>
      <c r="AD188" s="1121">
        <v>51330</v>
      </c>
      <c r="AE188" s="1121"/>
      <c r="AF188" s="1121"/>
      <c r="AG188" s="1121"/>
      <c r="AH188" s="1121"/>
      <c r="AI188" s="1121"/>
      <c r="AJ188" s="1121">
        <v>38017</v>
      </c>
      <c r="AK188" s="1121"/>
      <c r="AL188" s="1121"/>
      <c r="AM188" s="1121"/>
      <c r="AN188" s="1121"/>
      <c r="AO188" s="1121"/>
      <c r="AP188" s="1121"/>
      <c r="AQ188" s="1121"/>
      <c r="AR188" s="1121"/>
      <c r="AS188" s="1121"/>
      <c r="AT188" s="1121"/>
      <c r="AU188" s="1121">
        <v>39517</v>
      </c>
      <c r="AV188" s="1121"/>
      <c r="AW188" s="1121"/>
      <c r="AX188" s="1121"/>
      <c r="AY188" s="1121"/>
      <c r="AZ188" s="1121"/>
      <c r="BA188" s="1121"/>
      <c r="BB188" s="1121"/>
      <c r="BC188" s="1121">
        <v>235230</v>
      </c>
      <c r="BD188" s="1121"/>
      <c r="BE188" s="1121"/>
      <c r="BF188" s="1121"/>
      <c r="BG188" s="1121">
        <v>46390</v>
      </c>
      <c r="BH188" s="1121"/>
      <c r="BI188" s="1121"/>
      <c r="BJ188" s="1121"/>
      <c r="BK188" s="1121">
        <v>49244</v>
      </c>
      <c r="BL188" s="1121"/>
      <c r="BM188" s="1121"/>
      <c r="BN188" s="1121"/>
      <c r="BO188" s="1121"/>
    </row>
    <row r="189" spans="1:67" ht="13.5" customHeight="1" x14ac:dyDescent="0.2">
      <c r="A189" s="1123" t="s">
        <v>593</v>
      </c>
      <c r="B189" s="1123"/>
      <c r="C189" s="1123"/>
      <c r="D189" s="1123"/>
      <c r="E189" s="1123"/>
      <c r="F189" s="1123"/>
      <c r="G189" s="1123"/>
      <c r="H189" s="1123"/>
      <c r="I189" s="1123"/>
      <c r="J189" s="1123"/>
      <c r="K189" s="1123"/>
      <c r="L189" s="1123"/>
      <c r="M189" s="1123"/>
      <c r="N189" s="1123"/>
      <c r="O189" s="1123"/>
      <c r="P189" s="1123"/>
      <c r="Q189" s="1123"/>
      <c r="R189" s="1123"/>
      <c r="S189" s="1121">
        <v>613458</v>
      </c>
      <c r="T189" s="1121"/>
      <c r="U189" s="1121"/>
      <c r="V189" s="1121"/>
      <c r="W189" s="1121"/>
      <c r="X189" s="1121">
        <v>1159030</v>
      </c>
      <c r="Y189" s="1121"/>
      <c r="Z189" s="1121"/>
      <c r="AA189" s="1121"/>
      <c r="AB189" s="1121"/>
      <c r="AC189" s="1121"/>
      <c r="AD189" s="1121">
        <v>909287</v>
      </c>
      <c r="AE189" s="1121"/>
      <c r="AF189" s="1121"/>
      <c r="AG189" s="1121"/>
      <c r="AH189" s="1121"/>
      <c r="AI189" s="1121"/>
      <c r="AJ189" s="1121">
        <v>8292</v>
      </c>
      <c r="AK189" s="1121"/>
      <c r="AL189" s="1121"/>
      <c r="AM189" s="1121"/>
      <c r="AN189" s="1121"/>
      <c r="AO189" s="1121"/>
      <c r="AP189" s="1121"/>
      <c r="AQ189" s="1121"/>
      <c r="AR189" s="1121"/>
      <c r="AS189" s="1121"/>
      <c r="AT189" s="1121"/>
      <c r="AU189" s="1121">
        <v>0</v>
      </c>
      <c r="AV189" s="1121"/>
      <c r="AW189" s="1121"/>
      <c r="AX189" s="1121"/>
      <c r="AY189" s="1121"/>
      <c r="AZ189" s="1121"/>
      <c r="BA189" s="1121"/>
      <c r="BB189" s="1121"/>
      <c r="BC189" s="1121">
        <v>0</v>
      </c>
      <c r="BD189" s="1121"/>
      <c r="BE189" s="1121"/>
      <c r="BF189" s="1121"/>
      <c r="BG189" s="1121">
        <v>0</v>
      </c>
      <c r="BH189" s="1121"/>
      <c r="BI189" s="1121"/>
      <c r="BJ189" s="1121"/>
      <c r="BK189" s="1121">
        <v>0</v>
      </c>
      <c r="BL189" s="1121"/>
      <c r="BM189" s="1121"/>
      <c r="BN189" s="1121"/>
      <c r="BO189" s="1121"/>
    </row>
    <row r="190" spans="1:67" ht="13.5" customHeight="1" x14ac:dyDescent="0.2">
      <c r="A190" s="1123" t="s">
        <v>594</v>
      </c>
      <c r="B190" s="1123"/>
      <c r="C190" s="1123"/>
      <c r="D190" s="1123"/>
      <c r="E190" s="1123"/>
      <c r="F190" s="1123"/>
      <c r="G190" s="1123"/>
      <c r="H190" s="1123"/>
      <c r="I190" s="1123"/>
      <c r="J190" s="1123"/>
      <c r="K190" s="1123"/>
      <c r="L190" s="1123"/>
      <c r="M190" s="1123"/>
      <c r="N190" s="1123"/>
      <c r="O190" s="1123"/>
      <c r="P190" s="1123"/>
      <c r="Q190" s="1123"/>
      <c r="R190" s="1123"/>
      <c r="S190" s="1121">
        <v>4388257</v>
      </c>
      <c r="T190" s="1121"/>
      <c r="U190" s="1121"/>
      <c r="V190" s="1121"/>
      <c r="W190" s="1121"/>
      <c r="X190" s="1121">
        <v>4129462</v>
      </c>
      <c r="Y190" s="1121"/>
      <c r="Z190" s="1121"/>
      <c r="AA190" s="1121"/>
      <c r="AB190" s="1121"/>
      <c r="AC190" s="1121"/>
      <c r="AD190" s="1121">
        <v>3596151</v>
      </c>
      <c r="AE190" s="1121"/>
      <c r="AF190" s="1121"/>
      <c r="AG190" s="1121"/>
      <c r="AH190" s="1121"/>
      <c r="AI190" s="1121"/>
      <c r="AJ190" s="1121">
        <v>3331299</v>
      </c>
      <c r="AK190" s="1121"/>
      <c r="AL190" s="1121"/>
      <c r="AM190" s="1121"/>
      <c r="AN190" s="1121"/>
      <c r="AO190" s="1121"/>
      <c r="AP190" s="1121"/>
      <c r="AQ190" s="1121"/>
      <c r="AR190" s="1121"/>
      <c r="AS190" s="1121"/>
      <c r="AT190" s="1121"/>
      <c r="AU190" s="1121">
        <v>3111429</v>
      </c>
      <c r="AV190" s="1121"/>
      <c r="AW190" s="1121"/>
      <c r="AX190" s="1121"/>
      <c r="AY190" s="1121"/>
      <c r="AZ190" s="1121"/>
      <c r="BA190" s="1121"/>
      <c r="BB190" s="1121"/>
      <c r="BC190" s="1121">
        <v>3053922</v>
      </c>
      <c r="BD190" s="1121"/>
      <c r="BE190" s="1121"/>
      <c r="BF190" s="1121"/>
      <c r="BG190" s="1121">
        <v>2457865</v>
      </c>
      <c r="BH190" s="1121"/>
      <c r="BI190" s="1121"/>
      <c r="BJ190" s="1121"/>
      <c r="BK190" s="1121">
        <v>2435304</v>
      </c>
      <c r="BL190" s="1121"/>
      <c r="BM190" s="1121"/>
      <c r="BN190" s="1121"/>
      <c r="BO190" s="1121"/>
    </row>
    <row r="191" spans="1:67" ht="13.5" customHeight="1" x14ac:dyDescent="0.2">
      <c r="A191" s="1123" t="s">
        <v>595</v>
      </c>
      <c r="B191" s="1123"/>
      <c r="C191" s="1123"/>
      <c r="D191" s="1123"/>
      <c r="E191" s="1123"/>
      <c r="F191" s="1123"/>
      <c r="G191" s="1123"/>
      <c r="H191" s="1123"/>
      <c r="I191" s="1123"/>
      <c r="J191" s="1123"/>
      <c r="K191" s="1123"/>
      <c r="L191" s="1123"/>
      <c r="M191" s="1123"/>
      <c r="N191" s="1123"/>
      <c r="O191" s="1123"/>
      <c r="P191" s="1123"/>
      <c r="Q191" s="1123"/>
      <c r="R191" s="1123"/>
      <c r="S191" s="1122" t="s">
        <v>535</v>
      </c>
      <c r="T191" s="1122"/>
      <c r="U191" s="1122"/>
      <c r="V191" s="1122"/>
      <c r="W191" s="1122"/>
      <c r="X191" s="1122" t="s">
        <v>535</v>
      </c>
      <c r="Y191" s="1122"/>
      <c r="Z191" s="1122"/>
      <c r="AA191" s="1122"/>
      <c r="AB191" s="1122"/>
      <c r="AC191" s="1122"/>
      <c r="AD191" s="1122" t="s">
        <v>535</v>
      </c>
      <c r="AE191" s="1122"/>
      <c r="AF191" s="1122"/>
      <c r="AG191" s="1122"/>
      <c r="AH191" s="1122"/>
      <c r="AI191" s="1122"/>
      <c r="AJ191" s="1122" t="s">
        <v>535</v>
      </c>
      <c r="AK191" s="1122"/>
      <c r="AL191" s="1122"/>
      <c r="AM191" s="1122"/>
      <c r="AN191" s="1122"/>
      <c r="AO191" s="1122"/>
      <c r="AP191" s="1122"/>
      <c r="AQ191" s="1122"/>
      <c r="AR191" s="1122"/>
      <c r="AS191" s="1122"/>
      <c r="AT191" s="1122"/>
      <c r="AU191" s="1122" t="s">
        <v>535</v>
      </c>
      <c r="AV191" s="1122"/>
      <c r="AW191" s="1122"/>
      <c r="AX191" s="1122"/>
      <c r="AY191" s="1122"/>
      <c r="AZ191" s="1122"/>
      <c r="BA191" s="1122"/>
      <c r="BB191" s="1122"/>
      <c r="BC191" s="1122" t="s">
        <v>535</v>
      </c>
      <c r="BD191" s="1122"/>
      <c r="BE191" s="1122"/>
      <c r="BF191" s="1122"/>
      <c r="BG191" s="1122" t="s">
        <v>535</v>
      </c>
      <c r="BH191" s="1122"/>
      <c r="BI191" s="1122"/>
      <c r="BJ191" s="1122"/>
      <c r="BK191" s="1122" t="s">
        <v>535</v>
      </c>
      <c r="BL191" s="1122"/>
      <c r="BM191" s="1122"/>
      <c r="BN191" s="1122"/>
      <c r="BO191" s="1122"/>
    </row>
    <row r="192" spans="1:67" ht="13.5" customHeight="1" x14ac:dyDescent="0.2">
      <c r="A192" s="1123" t="s">
        <v>596</v>
      </c>
      <c r="B192" s="1123"/>
      <c r="C192" s="1123"/>
      <c r="D192" s="1123"/>
      <c r="E192" s="1123"/>
      <c r="F192" s="1123"/>
      <c r="G192" s="1123"/>
      <c r="H192" s="1123"/>
      <c r="I192" s="1123"/>
      <c r="J192" s="1123"/>
      <c r="K192" s="1123"/>
      <c r="L192" s="1123"/>
      <c r="M192" s="1123"/>
      <c r="N192" s="1123"/>
      <c r="O192" s="1123"/>
      <c r="P192" s="1123"/>
      <c r="Q192" s="1123"/>
      <c r="R192" s="1123"/>
      <c r="S192" s="1121">
        <v>625459</v>
      </c>
      <c r="T192" s="1121"/>
      <c r="U192" s="1121"/>
      <c r="V192" s="1121"/>
      <c r="W192" s="1121"/>
      <c r="X192" s="1121">
        <v>1180284</v>
      </c>
      <c r="Y192" s="1121"/>
      <c r="Z192" s="1121"/>
      <c r="AA192" s="1121"/>
      <c r="AB192" s="1121"/>
      <c r="AC192" s="1121"/>
      <c r="AD192" s="1121">
        <v>1036332</v>
      </c>
      <c r="AE192" s="1121"/>
      <c r="AF192" s="1121"/>
      <c r="AG192" s="1121"/>
      <c r="AH192" s="1121"/>
      <c r="AI192" s="1121"/>
      <c r="AJ192" s="1121">
        <v>42898</v>
      </c>
      <c r="AK192" s="1121"/>
      <c r="AL192" s="1121"/>
      <c r="AM192" s="1121"/>
      <c r="AN192" s="1121"/>
      <c r="AO192" s="1121"/>
      <c r="AP192" s="1121"/>
      <c r="AQ192" s="1121"/>
      <c r="AR192" s="1121"/>
      <c r="AS192" s="1121"/>
      <c r="AT192" s="1121"/>
      <c r="AU192" s="1121">
        <v>0</v>
      </c>
      <c r="AV192" s="1121"/>
      <c r="AW192" s="1121"/>
      <c r="AX192" s="1121"/>
      <c r="AY192" s="1121"/>
      <c r="AZ192" s="1121"/>
      <c r="BA192" s="1121"/>
      <c r="BB192" s="1121"/>
      <c r="BC192" s="1121">
        <v>0</v>
      </c>
      <c r="BD192" s="1121"/>
      <c r="BE192" s="1121"/>
      <c r="BF192" s="1121"/>
      <c r="BG192" s="1121">
        <v>0</v>
      </c>
      <c r="BH192" s="1121"/>
      <c r="BI192" s="1121"/>
      <c r="BJ192" s="1121"/>
      <c r="BK192" s="1121">
        <v>0</v>
      </c>
      <c r="BL192" s="1121"/>
      <c r="BM192" s="1121"/>
      <c r="BN192" s="1121"/>
      <c r="BO192" s="1121"/>
    </row>
    <row r="193" spans="1:67" ht="13.5" customHeight="1" x14ac:dyDescent="0.2">
      <c r="A193" s="1083"/>
      <c r="B193" s="1083"/>
      <c r="C193" s="1083"/>
      <c r="D193" s="1083"/>
      <c r="E193" s="1083"/>
      <c r="F193" s="1083"/>
      <c r="G193" s="1083"/>
      <c r="H193" s="1083"/>
      <c r="I193" s="1083"/>
      <c r="J193" s="1083"/>
      <c r="K193" s="1083"/>
      <c r="L193" s="1083"/>
      <c r="M193" s="1083"/>
      <c r="N193" s="1083"/>
      <c r="O193" s="1083"/>
      <c r="P193" s="1083"/>
      <c r="Q193" s="1083"/>
      <c r="R193" s="1083"/>
      <c r="S193" s="1083"/>
      <c r="T193" s="1083"/>
      <c r="U193" s="1083"/>
      <c r="V193" s="1083"/>
      <c r="W193" s="1083"/>
      <c r="X193" s="1083"/>
      <c r="Y193" s="1083"/>
      <c r="Z193" s="1083"/>
      <c r="AA193" s="1083"/>
      <c r="AB193" s="1083"/>
      <c r="AC193" s="1083"/>
      <c r="AD193" s="1083"/>
      <c r="AE193" s="1083"/>
      <c r="AF193" s="1083"/>
      <c r="AG193" s="1083"/>
      <c r="AH193" s="1083"/>
      <c r="AI193" s="1083"/>
      <c r="AJ193" s="1083"/>
      <c r="AK193" s="1083"/>
      <c r="AL193" s="1083"/>
      <c r="AM193" s="1083"/>
      <c r="AN193" s="1083"/>
      <c r="AO193" s="1083"/>
      <c r="AP193" s="1083"/>
      <c r="AQ193" s="1083"/>
      <c r="AR193" s="1083"/>
      <c r="AS193" s="1083"/>
      <c r="AT193" s="1083"/>
      <c r="AU193" s="1083"/>
      <c r="AV193" s="1083"/>
      <c r="AW193" s="1083"/>
      <c r="AX193" s="1083"/>
      <c r="AY193" s="1083"/>
      <c r="AZ193" s="1083"/>
      <c r="BA193" s="1083"/>
      <c r="BB193" s="1083"/>
      <c r="BC193" s="1083"/>
      <c r="BD193" s="1083"/>
      <c r="BE193" s="1083"/>
      <c r="BF193" s="1083"/>
      <c r="BG193" s="1083"/>
      <c r="BH193" s="1083"/>
      <c r="BI193" s="1083"/>
      <c r="BJ193" s="1083"/>
      <c r="BK193" s="1083"/>
      <c r="BL193" s="1083"/>
      <c r="BM193" s="1083"/>
      <c r="BN193" s="1083"/>
      <c r="BO193" s="1083"/>
    </row>
    <row r="194" spans="1:67" ht="13.5" customHeight="1" x14ac:dyDescent="0.2">
      <c r="A194" s="1087" t="s">
        <v>597</v>
      </c>
      <c r="B194" s="1087"/>
      <c r="C194" s="1087"/>
      <c r="D194" s="1087"/>
      <c r="E194" s="1087"/>
      <c r="F194" s="1087"/>
      <c r="G194" s="1087"/>
      <c r="H194" s="1087"/>
      <c r="I194" s="1087"/>
      <c r="J194" s="1087"/>
      <c r="K194" s="1087"/>
      <c r="L194" s="1087"/>
      <c r="M194" s="1087"/>
      <c r="N194" s="1087"/>
      <c r="O194" s="1087"/>
      <c r="P194" s="1087"/>
      <c r="Q194" s="1087"/>
      <c r="R194" s="1087"/>
      <c r="S194" s="1086">
        <v>0</v>
      </c>
      <c r="T194" s="1086"/>
      <c r="U194" s="1086"/>
      <c r="V194" s="1086"/>
      <c r="W194" s="1086"/>
      <c r="X194" s="1086">
        <v>0</v>
      </c>
      <c r="Y194" s="1086"/>
      <c r="Z194" s="1086"/>
      <c r="AA194" s="1086"/>
      <c r="AB194" s="1086"/>
      <c r="AC194" s="1086"/>
      <c r="AD194" s="1086">
        <v>0</v>
      </c>
      <c r="AE194" s="1086"/>
      <c r="AF194" s="1086"/>
      <c r="AG194" s="1086"/>
      <c r="AH194" s="1086"/>
      <c r="AI194" s="1086"/>
      <c r="AJ194" s="1086">
        <v>0</v>
      </c>
      <c r="AK194" s="1086"/>
      <c r="AL194" s="1086"/>
      <c r="AM194" s="1086"/>
      <c r="AN194" s="1086"/>
      <c r="AO194" s="1086"/>
      <c r="AP194" s="1086"/>
      <c r="AQ194" s="1086"/>
      <c r="AR194" s="1086"/>
      <c r="AS194" s="1086"/>
      <c r="AT194" s="1086"/>
      <c r="AU194" s="1086">
        <v>0</v>
      </c>
      <c r="AV194" s="1086"/>
      <c r="AW194" s="1086"/>
      <c r="AX194" s="1086"/>
      <c r="AY194" s="1086"/>
      <c r="AZ194" s="1086"/>
      <c r="BA194" s="1086"/>
      <c r="BB194" s="1086"/>
      <c r="BC194" s="1086">
        <v>0</v>
      </c>
      <c r="BD194" s="1086"/>
      <c r="BE194" s="1086"/>
      <c r="BF194" s="1086"/>
      <c r="BG194" s="1086">
        <v>0</v>
      </c>
      <c r="BH194" s="1086"/>
      <c r="BI194" s="1086"/>
      <c r="BJ194" s="1086"/>
      <c r="BK194" s="1086">
        <v>0</v>
      </c>
      <c r="BL194" s="1086"/>
      <c r="BM194" s="1086"/>
      <c r="BN194" s="1086"/>
      <c r="BO194" s="1086"/>
    </row>
    <row r="195" spans="1:67" ht="13.5" customHeight="1" x14ac:dyDescent="0.2">
      <c r="A195" s="1087" t="s">
        <v>598</v>
      </c>
      <c r="B195" s="1087"/>
      <c r="C195" s="1087"/>
      <c r="D195" s="1087"/>
      <c r="E195" s="1087"/>
      <c r="F195" s="1087"/>
      <c r="G195" s="1087"/>
      <c r="H195" s="1087"/>
      <c r="I195" s="1087"/>
      <c r="J195" s="1087"/>
      <c r="K195" s="1087"/>
      <c r="L195" s="1087"/>
      <c r="M195" s="1087"/>
      <c r="N195" s="1087"/>
      <c r="O195" s="1087"/>
      <c r="P195" s="1087"/>
      <c r="Q195" s="1087"/>
      <c r="R195" s="1087"/>
      <c r="S195" s="1086">
        <v>0</v>
      </c>
      <c r="T195" s="1086"/>
      <c r="U195" s="1086"/>
      <c r="V195" s="1086"/>
      <c r="W195" s="1086"/>
      <c r="X195" s="1086">
        <v>0</v>
      </c>
      <c r="Y195" s="1086"/>
      <c r="Z195" s="1086"/>
      <c r="AA195" s="1086"/>
      <c r="AB195" s="1086"/>
      <c r="AC195" s="1086"/>
      <c r="AD195" s="1086">
        <v>0</v>
      </c>
      <c r="AE195" s="1086"/>
      <c r="AF195" s="1086"/>
      <c r="AG195" s="1086"/>
      <c r="AH195" s="1086"/>
      <c r="AI195" s="1086"/>
      <c r="AJ195" s="1086">
        <v>0</v>
      </c>
      <c r="AK195" s="1086"/>
      <c r="AL195" s="1086"/>
      <c r="AM195" s="1086"/>
      <c r="AN195" s="1086"/>
      <c r="AO195" s="1086"/>
      <c r="AP195" s="1086"/>
      <c r="AQ195" s="1086"/>
      <c r="AR195" s="1086"/>
      <c r="AS195" s="1086"/>
      <c r="AT195" s="1086"/>
      <c r="AU195" s="1086">
        <v>0</v>
      </c>
      <c r="AV195" s="1086"/>
      <c r="AW195" s="1086"/>
      <c r="AX195" s="1086"/>
      <c r="AY195" s="1086"/>
      <c r="AZ195" s="1086"/>
      <c r="BA195" s="1086"/>
      <c r="BB195" s="1086"/>
      <c r="BC195" s="1086">
        <v>0</v>
      </c>
      <c r="BD195" s="1086"/>
      <c r="BE195" s="1086"/>
      <c r="BF195" s="1086"/>
      <c r="BG195" s="1086">
        <v>0</v>
      </c>
      <c r="BH195" s="1086"/>
      <c r="BI195" s="1086"/>
      <c r="BJ195" s="1086"/>
      <c r="BK195" s="1086">
        <v>0</v>
      </c>
      <c r="BL195" s="1086"/>
      <c r="BM195" s="1086"/>
      <c r="BN195" s="1086"/>
      <c r="BO195" s="1086"/>
    </row>
    <row r="196" spans="1:67" ht="13.5" customHeight="1" x14ac:dyDescent="0.2">
      <c r="A196" s="1087" t="s">
        <v>599</v>
      </c>
      <c r="B196" s="1087"/>
      <c r="C196" s="1087"/>
      <c r="D196" s="1087"/>
      <c r="E196" s="1087"/>
      <c r="F196" s="1087"/>
      <c r="G196" s="1087"/>
      <c r="H196" s="1087"/>
      <c r="I196" s="1087"/>
      <c r="J196" s="1087"/>
      <c r="K196" s="1087"/>
      <c r="L196" s="1087"/>
      <c r="M196" s="1087"/>
      <c r="N196" s="1087"/>
      <c r="O196" s="1087"/>
      <c r="P196" s="1087"/>
      <c r="Q196" s="1087"/>
      <c r="R196" s="1087"/>
      <c r="S196" s="1086">
        <v>0</v>
      </c>
      <c r="T196" s="1086"/>
      <c r="U196" s="1086"/>
      <c r="V196" s="1086"/>
      <c r="W196" s="1086"/>
      <c r="X196" s="1086">
        <v>0</v>
      </c>
      <c r="Y196" s="1086"/>
      <c r="Z196" s="1086"/>
      <c r="AA196" s="1086"/>
      <c r="AB196" s="1086"/>
      <c r="AC196" s="1086"/>
      <c r="AD196" s="1086">
        <v>0</v>
      </c>
      <c r="AE196" s="1086"/>
      <c r="AF196" s="1086"/>
      <c r="AG196" s="1086"/>
      <c r="AH196" s="1086"/>
      <c r="AI196" s="1086"/>
      <c r="AJ196" s="1086">
        <v>0</v>
      </c>
      <c r="AK196" s="1086"/>
      <c r="AL196" s="1086"/>
      <c r="AM196" s="1086"/>
      <c r="AN196" s="1086"/>
      <c r="AO196" s="1086"/>
      <c r="AP196" s="1086"/>
      <c r="AQ196" s="1086"/>
      <c r="AR196" s="1086"/>
      <c r="AS196" s="1086"/>
      <c r="AT196" s="1086"/>
      <c r="AU196" s="1086">
        <v>0</v>
      </c>
      <c r="AV196" s="1086"/>
      <c r="AW196" s="1086"/>
      <c r="AX196" s="1086"/>
      <c r="AY196" s="1086"/>
      <c r="AZ196" s="1086"/>
      <c r="BA196" s="1086"/>
      <c r="BB196" s="1086"/>
      <c r="BC196" s="1086">
        <v>0</v>
      </c>
      <c r="BD196" s="1086"/>
      <c r="BE196" s="1086"/>
      <c r="BF196" s="1086"/>
      <c r="BG196" s="1086">
        <v>0</v>
      </c>
      <c r="BH196" s="1086"/>
      <c r="BI196" s="1086"/>
      <c r="BJ196" s="1086"/>
      <c r="BK196" s="1086">
        <v>0</v>
      </c>
      <c r="BL196" s="1086"/>
      <c r="BM196" s="1086"/>
      <c r="BN196" s="1086"/>
      <c r="BO196" s="1086"/>
    </row>
    <row r="197" spans="1:67" ht="13.5" customHeight="1" x14ac:dyDescent="0.2">
      <c r="A197" s="1087" t="s">
        <v>600</v>
      </c>
      <c r="B197" s="1087"/>
      <c r="C197" s="1087"/>
      <c r="D197" s="1087"/>
      <c r="E197" s="1087"/>
      <c r="F197" s="1087"/>
      <c r="G197" s="1087"/>
      <c r="H197" s="1087"/>
      <c r="I197" s="1087"/>
      <c r="J197" s="1087"/>
      <c r="K197" s="1087"/>
      <c r="L197" s="1087"/>
      <c r="M197" s="1087"/>
      <c r="N197" s="1087"/>
      <c r="O197" s="1087"/>
      <c r="P197" s="1087"/>
      <c r="Q197" s="1087"/>
      <c r="R197" s="1087"/>
      <c r="S197" s="1086">
        <v>0</v>
      </c>
      <c r="T197" s="1086"/>
      <c r="U197" s="1086"/>
      <c r="V197" s="1086"/>
      <c r="W197" s="1086"/>
      <c r="X197" s="1086">
        <v>0</v>
      </c>
      <c r="Y197" s="1086"/>
      <c r="Z197" s="1086"/>
      <c r="AA197" s="1086"/>
      <c r="AB197" s="1086"/>
      <c r="AC197" s="1086"/>
      <c r="AD197" s="1086">
        <v>0</v>
      </c>
      <c r="AE197" s="1086"/>
      <c r="AF197" s="1086"/>
      <c r="AG197" s="1086"/>
      <c r="AH197" s="1086"/>
      <c r="AI197" s="1086"/>
      <c r="AJ197" s="1086">
        <v>0</v>
      </c>
      <c r="AK197" s="1086"/>
      <c r="AL197" s="1086"/>
      <c r="AM197" s="1086"/>
      <c r="AN197" s="1086"/>
      <c r="AO197" s="1086"/>
      <c r="AP197" s="1086"/>
      <c r="AQ197" s="1086"/>
      <c r="AR197" s="1086"/>
      <c r="AS197" s="1086"/>
      <c r="AT197" s="1086"/>
      <c r="AU197" s="1086">
        <v>0</v>
      </c>
      <c r="AV197" s="1086"/>
      <c r="AW197" s="1086"/>
      <c r="AX197" s="1086"/>
      <c r="AY197" s="1086"/>
      <c r="AZ197" s="1086"/>
      <c r="BA197" s="1086"/>
      <c r="BB197" s="1086"/>
      <c r="BC197" s="1086">
        <v>0</v>
      </c>
      <c r="BD197" s="1086"/>
      <c r="BE197" s="1086"/>
      <c r="BF197" s="1086"/>
      <c r="BG197" s="1086">
        <v>0</v>
      </c>
      <c r="BH197" s="1086"/>
      <c r="BI197" s="1086"/>
      <c r="BJ197" s="1086"/>
      <c r="BK197" s="1086">
        <v>0</v>
      </c>
      <c r="BL197" s="1086"/>
      <c r="BM197" s="1086"/>
      <c r="BN197" s="1086"/>
      <c r="BO197" s="1086"/>
    </row>
    <row r="198" spans="1:67" ht="26" customHeight="1" x14ac:dyDescent="0.2">
      <c r="A198" s="1087" t="s">
        <v>601</v>
      </c>
      <c r="B198" s="1087"/>
      <c r="C198" s="1087"/>
      <c r="D198" s="1087"/>
      <c r="E198" s="1087"/>
      <c r="F198" s="1087"/>
      <c r="G198" s="1087"/>
      <c r="H198" s="1087"/>
      <c r="I198" s="1087"/>
      <c r="J198" s="1087"/>
      <c r="K198" s="1087"/>
      <c r="L198" s="1087"/>
      <c r="M198" s="1087"/>
      <c r="N198" s="1087"/>
      <c r="O198" s="1087"/>
      <c r="P198" s="1087"/>
      <c r="Q198" s="1087"/>
      <c r="R198" s="1087"/>
      <c r="S198" s="1086">
        <v>0</v>
      </c>
      <c r="T198" s="1086"/>
      <c r="U198" s="1086"/>
      <c r="V198" s="1086"/>
      <c r="W198" s="1086"/>
      <c r="X198" s="1086">
        <v>0</v>
      </c>
      <c r="Y198" s="1086"/>
      <c r="Z198" s="1086"/>
      <c r="AA198" s="1086"/>
      <c r="AB198" s="1086"/>
      <c r="AC198" s="1086"/>
      <c r="AD198" s="1086">
        <v>0</v>
      </c>
      <c r="AE198" s="1086"/>
      <c r="AF198" s="1086"/>
      <c r="AG198" s="1086"/>
      <c r="AH198" s="1086"/>
      <c r="AI198" s="1086"/>
      <c r="AJ198" s="1086">
        <v>0</v>
      </c>
      <c r="AK198" s="1086"/>
      <c r="AL198" s="1086"/>
      <c r="AM198" s="1086"/>
      <c r="AN198" s="1086"/>
      <c r="AO198" s="1086"/>
      <c r="AP198" s="1086"/>
      <c r="AQ198" s="1086"/>
      <c r="AR198" s="1086"/>
      <c r="AS198" s="1086"/>
      <c r="AT198" s="1086"/>
      <c r="AU198" s="1086">
        <v>0</v>
      </c>
      <c r="AV198" s="1086"/>
      <c r="AW198" s="1086"/>
      <c r="AX198" s="1086"/>
      <c r="AY198" s="1086"/>
      <c r="AZ198" s="1086"/>
      <c r="BA198" s="1086"/>
      <c r="BB198" s="1086"/>
      <c r="BC198" s="1086">
        <v>0</v>
      </c>
      <c r="BD198" s="1086"/>
      <c r="BE198" s="1086"/>
      <c r="BF198" s="1086"/>
      <c r="BG198" s="1086">
        <v>0</v>
      </c>
      <c r="BH198" s="1086"/>
      <c r="BI198" s="1086"/>
      <c r="BJ198" s="1086"/>
      <c r="BK198" s="1086">
        <v>0</v>
      </c>
      <c r="BL198" s="1086"/>
      <c r="BM198" s="1086"/>
      <c r="BN198" s="1086"/>
      <c r="BO198" s="1086"/>
    </row>
    <row r="199" spans="1:67" ht="13.5" customHeight="1" x14ac:dyDescent="0.2">
      <c r="A199" s="1087" t="s">
        <v>602</v>
      </c>
      <c r="B199" s="1087"/>
      <c r="C199" s="1087"/>
      <c r="D199" s="1087"/>
      <c r="E199" s="1087"/>
      <c r="F199" s="1087"/>
      <c r="G199" s="1087"/>
      <c r="H199" s="1087"/>
      <c r="I199" s="1087"/>
      <c r="J199" s="1087"/>
      <c r="K199" s="1087"/>
      <c r="L199" s="1087"/>
      <c r="M199" s="1087"/>
      <c r="N199" s="1087"/>
      <c r="O199" s="1087"/>
      <c r="P199" s="1087"/>
      <c r="Q199" s="1087"/>
      <c r="R199" s="1087"/>
      <c r="S199" s="1086">
        <v>0</v>
      </c>
      <c r="T199" s="1086"/>
      <c r="U199" s="1086"/>
      <c r="V199" s="1086"/>
      <c r="W199" s="1086"/>
      <c r="X199" s="1086">
        <v>0</v>
      </c>
      <c r="Y199" s="1086"/>
      <c r="Z199" s="1086"/>
      <c r="AA199" s="1086"/>
      <c r="AB199" s="1086"/>
      <c r="AC199" s="1086"/>
      <c r="AD199" s="1086">
        <v>0</v>
      </c>
      <c r="AE199" s="1086"/>
      <c r="AF199" s="1086"/>
      <c r="AG199" s="1086"/>
      <c r="AH199" s="1086"/>
      <c r="AI199" s="1086"/>
      <c r="AJ199" s="1086">
        <v>0</v>
      </c>
      <c r="AK199" s="1086"/>
      <c r="AL199" s="1086"/>
      <c r="AM199" s="1086"/>
      <c r="AN199" s="1086"/>
      <c r="AO199" s="1086"/>
      <c r="AP199" s="1086"/>
      <c r="AQ199" s="1086"/>
      <c r="AR199" s="1086"/>
      <c r="AS199" s="1086"/>
      <c r="AT199" s="1086"/>
      <c r="AU199" s="1086">
        <v>0</v>
      </c>
      <c r="AV199" s="1086"/>
      <c r="AW199" s="1086"/>
      <c r="AX199" s="1086"/>
      <c r="AY199" s="1086"/>
      <c r="AZ199" s="1086"/>
      <c r="BA199" s="1086"/>
      <c r="BB199" s="1086"/>
      <c r="BC199" s="1086">
        <v>0</v>
      </c>
      <c r="BD199" s="1086"/>
      <c r="BE199" s="1086"/>
      <c r="BF199" s="1086"/>
      <c r="BG199" s="1086">
        <v>0</v>
      </c>
      <c r="BH199" s="1086"/>
      <c r="BI199" s="1086"/>
      <c r="BJ199" s="1086"/>
      <c r="BK199" s="1086">
        <v>0</v>
      </c>
      <c r="BL199" s="1086"/>
      <c r="BM199" s="1086"/>
      <c r="BN199" s="1086"/>
      <c r="BO199" s="1086"/>
    </row>
    <row r="200" spans="1:67" ht="13.5" customHeight="1" x14ac:dyDescent="0.2">
      <c r="A200" s="1087" t="s">
        <v>603</v>
      </c>
      <c r="B200" s="1087"/>
      <c r="C200" s="1087"/>
      <c r="D200" s="1087"/>
      <c r="E200" s="1087"/>
      <c r="F200" s="1087"/>
      <c r="G200" s="1087"/>
      <c r="H200" s="1087"/>
      <c r="I200" s="1087"/>
      <c r="J200" s="1087"/>
      <c r="K200" s="1087"/>
      <c r="L200" s="1087"/>
      <c r="M200" s="1087"/>
      <c r="N200" s="1087"/>
      <c r="O200" s="1087"/>
      <c r="P200" s="1087"/>
      <c r="Q200" s="1087"/>
      <c r="R200" s="1087"/>
      <c r="S200" s="1086">
        <v>0</v>
      </c>
      <c r="T200" s="1086"/>
      <c r="U200" s="1086"/>
      <c r="V200" s="1086"/>
      <c r="W200" s="1086"/>
      <c r="X200" s="1086">
        <v>0</v>
      </c>
      <c r="Y200" s="1086"/>
      <c r="Z200" s="1086"/>
      <c r="AA200" s="1086"/>
      <c r="AB200" s="1086"/>
      <c r="AC200" s="1086"/>
      <c r="AD200" s="1086">
        <v>0</v>
      </c>
      <c r="AE200" s="1086"/>
      <c r="AF200" s="1086"/>
      <c r="AG200" s="1086"/>
      <c r="AH200" s="1086"/>
      <c r="AI200" s="1086"/>
      <c r="AJ200" s="1086">
        <v>0</v>
      </c>
      <c r="AK200" s="1086"/>
      <c r="AL200" s="1086"/>
      <c r="AM200" s="1086"/>
      <c r="AN200" s="1086"/>
      <c r="AO200" s="1086"/>
      <c r="AP200" s="1086"/>
      <c r="AQ200" s="1086"/>
      <c r="AR200" s="1086"/>
      <c r="AS200" s="1086"/>
      <c r="AT200" s="1086"/>
      <c r="AU200" s="1086">
        <v>0</v>
      </c>
      <c r="AV200" s="1086"/>
      <c r="AW200" s="1086"/>
      <c r="AX200" s="1086"/>
      <c r="AY200" s="1086"/>
      <c r="AZ200" s="1086"/>
      <c r="BA200" s="1086"/>
      <c r="BB200" s="1086"/>
      <c r="BC200" s="1086">
        <v>0</v>
      </c>
      <c r="BD200" s="1086"/>
      <c r="BE200" s="1086"/>
      <c r="BF200" s="1086"/>
      <c r="BG200" s="1086">
        <v>0</v>
      </c>
      <c r="BH200" s="1086"/>
      <c r="BI200" s="1086"/>
      <c r="BJ200" s="1086"/>
      <c r="BK200" s="1086">
        <v>0</v>
      </c>
      <c r="BL200" s="1086"/>
      <c r="BM200" s="1086"/>
      <c r="BN200" s="1086"/>
      <c r="BO200" s="1086"/>
    </row>
    <row r="201" spans="1:67" ht="13.5" customHeight="1" x14ac:dyDescent="0.2">
      <c r="A201" s="1087" t="s">
        <v>568</v>
      </c>
      <c r="B201" s="1087"/>
      <c r="C201" s="1087"/>
      <c r="D201" s="1087"/>
      <c r="E201" s="1087"/>
      <c r="F201" s="1087"/>
      <c r="G201" s="1087"/>
      <c r="H201" s="1087"/>
      <c r="I201" s="1087"/>
      <c r="J201" s="1087"/>
      <c r="K201" s="1087"/>
      <c r="L201" s="1087"/>
      <c r="M201" s="1087"/>
      <c r="N201" s="1087"/>
      <c r="O201" s="1087"/>
      <c r="P201" s="1087"/>
      <c r="Q201" s="1087"/>
      <c r="R201" s="1087"/>
      <c r="S201" s="1086">
        <v>0</v>
      </c>
      <c r="T201" s="1086"/>
      <c r="U201" s="1086"/>
      <c r="V201" s="1086"/>
      <c r="W201" s="1086"/>
      <c r="X201" s="1086">
        <v>0</v>
      </c>
      <c r="Y201" s="1086"/>
      <c r="Z201" s="1086"/>
      <c r="AA201" s="1086"/>
      <c r="AB201" s="1086"/>
      <c r="AC201" s="1086"/>
      <c r="AD201" s="1086">
        <v>0</v>
      </c>
      <c r="AE201" s="1086"/>
      <c r="AF201" s="1086"/>
      <c r="AG201" s="1086"/>
      <c r="AH201" s="1086"/>
      <c r="AI201" s="1086"/>
      <c r="AJ201" s="1086">
        <v>0</v>
      </c>
      <c r="AK201" s="1086"/>
      <c r="AL201" s="1086"/>
      <c r="AM201" s="1086"/>
      <c r="AN201" s="1086"/>
      <c r="AO201" s="1086"/>
      <c r="AP201" s="1086"/>
      <c r="AQ201" s="1086"/>
      <c r="AR201" s="1086"/>
      <c r="AS201" s="1086"/>
      <c r="AT201" s="1086"/>
      <c r="AU201" s="1086">
        <v>0</v>
      </c>
      <c r="AV201" s="1086"/>
      <c r="AW201" s="1086"/>
      <c r="AX201" s="1086"/>
      <c r="AY201" s="1086"/>
      <c r="AZ201" s="1086"/>
      <c r="BA201" s="1086"/>
      <c r="BB201" s="1086"/>
      <c r="BC201" s="1086">
        <v>0</v>
      </c>
      <c r="BD201" s="1086"/>
      <c r="BE201" s="1086"/>
      <c r="BF201" s="1086"/>
      <c r="BG201" s="1086">
        <v>0</v>
      </c>
      <c r="BH201" s="1086"/>
      <c r="BI201" s="1086"/>
      <c r="BJ201" s="1086"/>
      <c r="BK201" s="1086">
        <v>0</v>
      </c>
      <c r="BL201" s="1086"/>
      <c r="BM201" s="1086"/>
      <c r="BN201" s="1086"/>
      <c r="BO201" s="1086"/>
    </row>
    <row r="202" spans="1:67" ht="13.5" customHeight="1" x14ac:dyDescent="0.2">
      <c r="A202" s="1087" t="s">
        <v>604</v>
      </c>
      <c r="B202" s="1087"/>
      <c r="C202" s="1087"/>
      <c r="D202" s="1087"/>
      <c r="E202" s="1087"/>
      <c r="F202" s="1087"/>
      <c r="G202" s="1087"/>
      <c r="H202" s="1087"/>
      <c r="I202" s="1087"/>
      <c r="J202" s="1087"/>
      <c r="K202" s="1087"/>
      <c r="L202" s="1087"/>
      <c r="M202" s="1087"/>
      <c r="N202" s="1087"/>
      <c r="O202" s="1087"/>
      <c r="P202" s="1087"/>
      <c r="Q202" s="1087"/>
      <c r="R202" s="1087"/>
      <c r="S202" s="1086">
        <v>0</v>
      </c>
      <c r="T202" s="1086"/>
      <c r="U202" s="1086"/>
      <c r="V202" s="1086"/>
      <c r="W202" s="1086"/>
      <c r="X202" s="1086">
        <v>0</v>
      </c>
      <c r="Y202" s="1086"/>
      <c r="Z202" s="1086"/>
      <c r="AA202" s="1086"/>
      <c r="AB202" s="1086"/>
      <c r="AC202" s="1086"/>
      <c r="AD202" s="1086">
        <v>0</v>
      </c>
      <c r="AE202" s="1086"/>
      <c r="AF202" s="1086"/>
      <c r="AG202" s="1086"/>
      <c r="AH202" s="1086"/>
      <c r="AI202" s="1086"/>
      <c r="AJ202" s="1086">
        <v>0</v>
      </c>
      <c r="AK202" s="1086"/>
      <c r="AL202" s="1086"/>
      <c r="AM202" s="1086"/>
      <c r="AN202" s="1086"/>
      <c r="AO202" s="1086"/>
      <c r="AP202" s="1086"/>
      <c r="AQ202" s="1086"/>
      <c r="AR202" s="1086"/>
      <c r="AS202" s="1086"/>
      <c r="AT202" s="1086"/>
      <c r="AU202" s="1086">
        <v>0</v>
      </c>
      <c r="AV202" s="1086"/>
      <c r="AW202" s="1086"/>
      <c r="AX202" s="1086"/>
      <c r="AY202" s="1086"/>
      <c r="AZ202" s="1086"/>
      <c r="BA202" s="1086"/>
      <c r="BB202" s="1086"/>
      <c r="BC202" s="1086">
        <v>0</v>
      </c>
      <c r="BD202" s="1086"/>
      <c r="BE202" s="1086"/>
      <c r="BF202" s="1086"/>
      <c r="BG202" s="1086">
        <v>0</v>
      </c>
      <c r="BH202" s="1086"/>
      <c r="BI202" s="1086"/>
      <c r="BJ202" s="1086"/>
      <c r="BK202" s="1086">
        <v>0</v>
      </c>
      <c r="BL202" s="1086"/>
      <c r="BM202" s="1086"/>
      <c r="BN202" s="1086"/>
      <c r="BO202" s="1086"/>
    </row>
    <row r="203" spans="1:67" ht="13.5" customHeight="1" x14ac:dyDescent="0.2">
      <c r="A203" s="1087" t="s">
        <v>605</v>
      </c>
      <c r="B203" s="1087"/>
      <c r="C203" s="1087"/>
      <c r="D203" s="1087"/>
      <c r="E203" s="1087"/>
      <c r="F203" s="1087"/>
      <c r="G203" s="1087"/>
      <c r="H203" s="1087"/>
      <c r="I203" s="1087"/>
      <c r="J203" s="1087"/>
      <c r="K203" s="1087"/>
      <c r="L203" s="1087"/>
      <c r="M203" s="1087"/>
      <c r="N203" s="1087"/>
      <c r="O203" s="1087"/>
      <c r="P203" s="1087"/>
      <c r="Q203" s="1087"/>
      <c r="R203" s="1087"/>
      <c r="S203" s="1086">
        <v>0</v>
      </c>
      <c r="T203" s="1086"/>
      <c r="U203" s="1086"/>
      <c r="V203" s="1086"/>
      <c r="W203" s="1086"/>
      <c r="X203" s="1086">
        <v>0</v>
      </c>
      <c r="Y203" s="1086"/>
      <c r="Z203" s="1086"/>
      <c r="AA203" s="1086"/>
      <c r="AB203" s="1086"/>
      <c r="AC203" s="1086"/>
      <c r="AD203" s="1086">
        <v>0</v>
      </c>
      <c r="AE203" s="1086"/>
      <c r="AF203" s="1086"/>
      <c r="AG203" s="1086"/>
      <c r="AH203" s="1086"/>
      <c r="AI203" s="1086"/>
      <c r="AJ203" s="1086">
        <v>0</v>
      </c>
      <c r="AK203" s="1086"/>
      <c r="AL203" s="1086"/>
      <c r="AM203" s="1086"/>
      <c r="AN203" s="1086"/>
      <c r="AO203" s="1086"/>
      <c r="AP203" s="1086"/>
      <c r="AQ203" s="1086"/>
      <c r="AR203" s="1086"/>
      <c r="AS203" s="1086"/>
      <c r="AT203" s="1086"/>
      <c r="AU203" s="1086">
        <v>0</v>
      </c>
      <c r="AV203" s="1086"/>
      <c r="AW203" s="1086"/>
      <c r="AX203" s="1086"/>
      <c r="AY203" s="1086"/>
      <c r="AZ203" s="1086"/>
      <c r="BA203" s="1086"/>
      <c r="BB203" s="1086"/>
      <c r="BC203" s="1086">
        <v>0</v>
      </c>
      <c r="BD203" s="1086"/>
      <c r="BE203" s="1086"/>
      <c r="BF203" s="1086"/>
      <c r="BG203" s="1086">
        <v>0</v>
      </c>
      <c r="BH203" s="1086"/>
      <c r="BI203" s="1086"/>
      <c r="BJ203" s="1086"/>
      <c r="BK203" s="1086">
        <v>0</v>
      </c>
      <c r="BL203" s="1086"/>
      <c r="BM203" s="1086"/>
      <c r="BN203" s="1086"/>
      <c r="BO203" s="1086"/>
    </row>
    <row r="204" spans="1:67" ht="26" customHeight="1" x14ac:dyDescent="0.2">
      <c r="A204" s="1087" t="s">
        <v>606</v>
      </c>
      <c r="B204" s="1087"/>
      <c r="C204" s="1087"/>
      <c r="D204" s="1087"/>
      <c r="E204" s="1087"/>
      <c r="F204" s="1087"/>
      <c r="G204" s="1087"/>
      <c r="H204" s="1087"/>
      <c r="I204" s="1087"/>
      <c r="J204" s="1087"/>
      <c r="K204" s="1087"/>
      <c r="L204" s="1087"/>
      <c r="M204" s="1087"/>
      <c r="N204" s="1087"/>
      <c r="O204" s="1087"/>
      <c r="P204" s="1087"/>
      <c r="Q204" s="1087"/>
      <c r="R204" s="1087"/>
      <c r="S204" s="1086">
        <v>0</v>
      </c>
      <c r="T204" s="1086"/>
      <c r="U204" s="1086"/>
      <c r="V204" s="1086"/>
      <c r="W204" s="1086"/>
      <c r="X204" s="1086">
        <v>0</v>
      </c>
      <c r="Y204" s="1086"/>
      <c r="Z204" s="1086"/>
      <c r="AA204" s="1086"/>
      <c r="AB204" s="1086"/>
      <c r="AC204" s="1086"/>
      <c r="AD204" s="1086">
        <v>0</v>
      </c>
      <c r="AE204" s="1086"/>
      <c r="AF204" s="1086"/>
      <c r="AG204" s="1086"/>
      <c r="AH204" s="1086"/>
      <c r="AI204" s="1086"/>
      <c r="AJ204" s="1086">
        <v>0</v>
      </c>
      <c r="AK204" s="1086"/>
      <c r="AL204" s="1086"/>
      <c r="AM204" s="1086"/>
      <c r="AN204" s="1086"/>
      <c r="AO204" s="1086"/>
      <c r="AP204" s="1086"/>
      <c r="AQ204" s="1086"/>
      <c r="AR204" s="1086"/>
      <c r="AS204" s="1086"/>
      <c r="AT204" s="1086"/>
      <c r="AU204" s="1086">
        <v>0</v>
      </c>
      <c r="AV204" s="1086"/>
      <c r="AW204" s="1086"/>
      <c r="AX204" s="1086"/>
      <c r="AY204" s="1086"/>
      <c r="AZ204" s="1086"/>
      <c r="BA204" s="1086"/>
      <c r="BB204" s="1086"/>
      <c r="BC204" s="1086">
        <v>0</v>
      </c>
      <c r="BD204" s="1086"/>
      <c r="BE204" s="1086"/>
      <c r="BF204" s="1086"/>
      <c r="BG204" s="1086">
        <v>0</v>
      </c>
      <c r="BH204" s="1086"/>
      <c r="BI204" s="1086"/>
      <c r="BJ204" s="1086"/>
      <c r="BK204" s="1086">
        <v>0</v>
      </c>
      <c r="BL204" s="1086"/>
      <c r="BM204" s="1086"/>
      <c r="BN204" s="1086"/>
      <c r="BO204" s="1086"/>
    </row>
    <row r="205" spans="1:67" ht="13.5" customHeight="1" x14ac:dyDescent="0.2">
      <c r="A205" s="1083"/>
      <c r="B205" s="1083"/>
      <c r="C205" s="1083"/>
      <c r="D205" s="1083"/>
      <c r="E205" s="1083"/>
      <c r="F205" s="1083"/>
      <c r="G205" s="1083"/>
      <c r="H205" s="1083"/>
      <c r="I205" s="1083"/>
      <c r="J205" s="1083"/>
      <c r="K205" s="1083"/>
      <c r="L205" s="1083"/>
      <c r="M205" s="1083"/>
      <c r="N205" s="1083"/>
      <c r="O205" s="1083"/>
      <c r="P205" s="1083"/>
      <c r="Q205" s="1083"/>
      <c r="R205" s="1083"/>
      <c r="S205" s="1083"/>
      <c r="T205" s="1083"/>
      <c r="U205" s="1083"/>
      <c r="V205" s="1083"/>
      <c r="W205" s="1083"/>
      <c r="X205" s="1083"/>
      <c r="Y205" s="1083"/>
      <c r="Z205" s="1083"/>
      <c r="AA205" s="1083"/>
      <c r="AB205" s="1083"/>
      <c r="AC205" s="1083"/>
      <c r="AD205" s="1083"/>
      <c r="AE205" s="1083"/>
      <c r="AF205" s="1083"/>
      <c r="AG205" s="1083"/>
      <c r="AH205" s="1083"/>
      <c r="AI205" s="1083"/>
      <c r="AJ205" s="1083"/>
      <c r="AK205" s="1083"/>
      <c r="AL205" s="1083"/>
      <c r="AM205" s="1083"/>
      <c r="AN205" s="1083"/>
      <c r="AO205" s="1083"/>
      <c r="AP205" s="1083"/>
      <c r="AQ205" s="1083"/>
      <c r="AR205" s="1083"/>
      <c r="AS205" s="1083"/>
      <c r="AT205" s="1083"/>
      <c r="AU205" s="1083"/>
      <c r="AV205" s="1083"/>
      <c r="AW205" s="1083"/>
      <c r="AX205" s="1083"/>
      <c r="AY205" s="1083"/>
      <c r="AZ205" s="1083"/>
      <c r="BA205" s="1083"/>
      <c r="BB205" s="1083"/>
      <c r="BC205" s="1083"/>
      <c r="BD205" s="1083"/>
      <c r="BE205" s="1083"/>
      <c r="BF205" s="1083"/>
      <c r="BG205" s="1083"/>
      <c r="BH205" s="1083"/>
      <c r="BI205" s="1083"/>
      <c r="BJ205" s="1083"/>
      <c r="BK205" s="1083"/>
      <c r="BL205" s="1083"/>
      <c r="BM205" s="1083"/>
      <c r="BN205" s="1083"/>
      <c r="BO205" s="1083"/>
    </row>
    <row r="206" spans="1:67" ht="13.5" customHeight="1" x14ac:dyDescent="0.2">
      <c r="A206" s="1087" t="s">
        <v>607</v>
      </c>
      <c r="B206" s="1087"/>
      <c r="C206" s="1087"/>
      <c r="D206" s="1087"/>
      <c r="E206" s="1087"/>
      <c r="F206" s="1087"/>
      <c r="G206" s="1087"/>
      <c r="H206" s="1087"/>
      <c r="I206" s="1087"/>
      <c r="J206" s="1087"/>
      <c r="K206" s="1087"/>
      <c r="L206" s="1087"/>
      <c r="M206" s="1087"/>
      <c r="N206" s="1087"/>
      <c r="O206" s="1087"/>
      <c r="P206" s="1087"/>
      <c r="Q206" s="1087"/>
      <c r="R206" s="1087"/>
      <c r="S206" s="1086">
        <v>242430</v>
      </c>
      <c r="T206" s="1086"/>
      <c r="U206" s="1086"/>
      <c r="V206" s="1086"/>
      <c r="W206" s="1086"/>
      <c r="X206" s="1086">
        <v>891542</v>
      </c>
      <c r="Y206" s="1086"/>
      <c r="Z206" s="1086"/>
      <c r="AA206" s="1086"/>
      <c r="AB206" s="1086"/>
      <c r="AC206" s="1086"/>
      <c r="AD206" s="1086">
        <v>1157532</v>
      </c>
      <c r="AE206" s="1086"/>
      <c r="AF206" s="1086"/>
      <c r="AG206" s="1086"/>
      <c r="AH206" s="1086"/>
      <c r="AI206" s="1086"/>
      <c r="AJ206" s="1086">
        <v>2269671</v>
      </c>
      <c r="AK206" s="1086"/>
      <c r="AL206" s="1086"/>
      <c r="AM206" s="1086"/>
      <c r="AN206" s="1086"/>
      <c r="AO206" s="1086"/>
      <c r="AP206" s="1086"/>
      <c r="AQ206" s="1086"/>
      <c r="AR206" s="1086"/>
      <c r="AS206" s="1086"/>
      <c r="AT206" s="1086"/>
      <c r="AU206" s="1086">
        <v>1988631</v>
      </c>
      <c r="AV206" s="1086"/>
      <c r="AW206" s="1086"/>
      <c r="AX206" s="1086"/>
      <c r="AY206" s="1086"/>
      <c r="AZ206" s="1086"/>
      <c r="BA206" s="1086"/>
      <c r="BB206" s="1086"/>
      <c r="BC206" s="1086">
        <v>603929</v>
      </c>
      <c r="BD206" s="1086"/>
      <c r="BE206" s="1086"/>
      <c r="BF206" s="1086"/>
      <c r="BG206" s="1086">
        <v>337078</v>
      </c>
      <c r="BH206" s="1086"/>
      <c r="BI206" s="1086"/>
      <c r="BJ206" s="1086"/>
      <c r="BK206" s="1086">
        <v>712788</v>
      </c>
      <c r="BL206" s="1086"/>
      <c r="BM206" s="1086"/>
      <c r="BN206" s="1086"/>
      <c r="BO206" s="1086"/>
    </row>
    <row r="207" spans="1:67" ht="13.5" customHeight="1" x14ac:dyDescent="0.2">
      <c r="A207" s="1087" t="s">
        <v>608</v>
      </c>
      <c r="B207" s="1087"/>
      <c r="C207" s="1087"/>
      <c r="D207" s="1087"/>
      <c r="E207" s="1087"/>
      <c r="F207" s="1087"/>
      <c r="G207" s="1087"/>
      <c r="H207" s="1087"/>
      <c r="I207" s="1087"/>
      <c r="J207" s="1087"/>
      <c r="K207" s="1087"/>
      <c r="L207" s="1087"/>
      <c r="M207" s="1087"/>
      <c r="N207" s="1087"/>
      <c r="O207" s="1087"/>
      <c r="P207" s="1087"/>
      <c r="Q207" s="1087"/>
      <c r="R207" s="1087"/>
      <c r="S207" s="1086">
        <v>241919</v>
      </c>
      <c r="T207" s="1086"/>
      <c r="U207" s="1086"/>
      <c r="V207" s="1086"/>
      <c r="W207" s="1086"/>
      <c r="X207" s="1086">
        <v>891422</v>
      </c>
      <c r="Y207" s="1086"/>
      <c r="Z207" s="1086"/>
      <c r="AA207" s="1086"/>
      <c r="AB207" s="1086"/>
      <c r="AC207" s="1086"/>
      <c r="AD207" s="1086">
        <v>1157445</v>
      </c>
      <c r="AE207" s="1086"/>
      <c r="AF207" s="1086"/>
      <c r="AG207" s="1086"/>
      <c r="AH207" s="1086"/>
      <c r="AI207" s="1086"/>
      <c r="AJ207" s="1086">
        <v>2269599</v>
      </c>
      <c r="AK207" s="1086"/>
      <c r="AL207" s="1086"/>
      <c r="AM207" s="1086"/>
      <c r="AN207" s="1086"/>
      <c r="AO207" s="1086"/>
      <c r="AP207" s="1086"/>
      <c r="AQ207" s="1086"/>
      <c r="AR207" s="1086"/>
      <c r="AS207" s="1086"/>
      <c r="AT207" s="1086"/>
      <c r="AU207" s="1086">
        <v>1988227</v>
      </c>
      <c r="AV207" s="1086"/>
      <c r="AW207" s="1086"/>
      <c r="AX207" s="1086"/>
      <c r="AY207" s="1086"/>
      <c r="AZ207" s="1086"/>
      <c r="BA207" s="1086"/>
      <c r="BB207" s="1086"/>
      <c r="BC207" s="1086">
        <v>603874</v>
      </c>
      <c r="BD207" s="1086"/>
      <c r="BE207" s="1086"/>
      <c r="BF207" s="1086"/>
      <c r="BG207" s="1086">
        <v>336843</v>
      </c>
      <c r="BH207" s="1086"/>
      <c r="BI207" s="1086"/>
      <c r="BJ207" s="1086"/>
      <c r="BK207" s="1086">
        <v>712192</v>
      </c>
      <c r="BL207" s="1086"/>
      <c r="BM207" s="1086"/>
      <c r="BN207" s="1086"/>
      <c r="BO207" s="1086"/>
    </row>
    <row r="208" spans="1:67" ht="13.5" customHeight="1" x14ac:dyDescent="0.2">
      <c r="A208" s="1087" t="s">
        <v>609</v>
      </c>
      <c r="B208" s="1087"/>
      <c r="C208" s="1087"/>
      <c r="D208" s="1087"/>
      <c r="E208" s="1087"/>
      <c r="F208" s="1087"/>
      <c r="G208" s="1087"/>
      <c r="H208" s="1087"/>
      <c r="I208" s="1087"/>
      <c r="J208" s="1087"/>
      <c r="K208" s="1087"/>
      <c r="L208" s="1087"/>
      <c r="M208" s="1087"/>
      <c r="N208" s="1087"/>
      <c r="O208" s="1087"/>
      <c r="P208" s="1087"/>
      <c r="Q208" s="1087"/>
      <c r="R208" s="1087"/>
      <c r="S208" s="1086">
        <v>0</v>
      </c>
      <c r="T208" s="1086"/>
      <c r="U208" s="1086"/>
      <c r="V208" s="1086"/>
      <c r="W208" s="1086"/>
      <c r="X208" s="1086">
        <v>0</v>
      </c>
      <c r="Y208" s="1086"/>
      <c r="Z208" s="1086"/>
      <c r="AA208" s="1086"/>
      <c r="AB208" s="1086"/>
      <c r="AC208" s="1086"/>
      <c r="AD208" s="1086">
        <v>0</v>
      </c>
      <c r="AE208" s="1086"/>
      <c r="AF208" s="1086"/>
      <c r="AG208" s="1086"/>
      <c r="AH208" s="1086"/>
      <c r="AI208" s="1086"/>
      <c r="AJ208" s="1086">
        <v>0</v>
      </c>
      <c r="AK208" s="1086"/>
      <c r="AL208" s="1086"/>
      <c r="AM208" s="1086"/>
      <c r="AN208" s="1086"/>
      <c r="AO208" s="1086"/>
      <c r="AP208" s="1086"/>
      <c r="AQ208" s="1086"/>
      <c r="AR208" s="1086"/>
      <c r="AS208" s="1086"/>
      <c r="AT208" s="1086"/>
      <c r="AU208" s="1086">
        <v>0</v>
      </c>
      <c r="AV208" s="1086"/>
      <c r="AW208" s="1086"/>
      <c r="AX208" s="1086"/>
      <c r="AY208" s="1086"/>
      <c r="AZ208" s="1086"/>
      <c r="BA208" s="1086"/>
      <c r="BB208" s="1086"/>
      <c r="BC208" s="1086">
        <v>0</v>
      </c>
      <c r="BD208" s="1086"/>
      <c r="BE208" s="1086"/>
      <c r="BF208" s="1086"/>
      <c r="BG208" s="1086">
        <v>0</v>
      </c>
      <c r="BH208" s="1086"/>
      <c r="BI208" s="1086"/>
      <c r="BJ208" s="1086"/>
      <c r="BK208" s="1086">
        <v>0</v>
      </c>
      <c r="BL208" s="1086"/>
      <c r="BM208" s="1086"/>
      <c r="BN208" s="1086"/>
      <c r="BO208" s="1086"/>
    </row>
    <row r="209" spans="1:67" ht="13.5" customHeight="1" x14ac:dyDescent="0.2">
      <c r="A209" s="1087" t="s">
        <v>610</v>
      </c>
      <c r="B209" s="1087"/>
      <c r="C209" s="1087"/>
      <c r="D209" s="1087"/>
      <c r="E209" s="1087"/>
      <c r="F209" s="1087"/>
      <c r="G209" s="1087"/>
      <c r="H209" s="1087"/>
      <c r="I209" s="1087"/>
      <c r="J209" s="1087"/>
      <c r="K209" s="1087"/>
      <c r="L209" s="1087"/>
      <c r="M209" s="1087"/>
      <c r="N209" s="1087"/>
      <c r="O209" s="1087"/>
      <c r="P209" s="1087"/>
      <c r="Q209" s="1087"/>
      <c r="R209" s="1087"/>
      <c r="S209" s="1086">
        <v>511</v>
      </c>
      <c r="T209" s="1086"/>
      <c r="U209" s="1086"/>
      <c r="V209" s="1086"/>
      <c r="W209" s="1086"/>
      <c r="X209" s="1086">
        <v>120</v>
      </c>
      <c r="Y209" s="1086"/>
      <c r="Z209" s="1086"/>
      <c r="AA209" s="1086"/>
      <c r="AB209" s="1086"/>
      <c r="AC209" s="1086"/>
      <c r="AD209" s="1086">
        <v>87</v>
      </c>
      <c r="AE209" s="1086"/>
      <c r="AF209" s="1086"/>
      <c r="AG209" s="1086"/>
      <c r="AH209" s="1086"/>
      <c r="AI209" s="1086"/>
      <c r="AJ209" s="1086">
        <v>72</v>
      </c>
      <c r="AK209" s="1086"/>
      <c r="AL209" s="1086"/>
      <c r="AM209" s="1086"/>
      <c r="AN209" s="1086"/>
      <c r="AO209" s="1086"/>
      <c r="AP209" s="1086"/>
      <c r="AQ209" s="1086"/>
      <c r="AR209" s="1086"/>
      <c r="AS209" s="1086"/>
      <c r="AT209" s="1086"/>
      <c r="AU209" s="1086">
        <v>404</v>
      </c>
      <c r="AV209" s="1086"/>
      <c r="AW209" s="1086"/>
      <c r="AX209" s="1086"/>
      <c r="AY209" s="1086"/>
      <c r="AZ209" s="1086"/>
      <c r="BA209" s="1086"/>
      <c r="BB209" s="1086"/>
      <c r="BC209" s="1086">
        <v>55</v>
      </c>
      <c r="BD209" s="1086"/>
      <c r="BE209" s="1086"/>
      <c r="BF209" s="1086"/>
      <c r="BG209" s="1086">
        <v>235</v>
      </c>
      <c r="BH209" s="1086"/>
      <c r="BI209" s="1086"/>
      <c r="BJ209" s="1086"/>
      <c r="BK209" s="1086">
        <v>596</v>
      </c>
      <c r="BL209" s="1086"/>
      <c r="BM209" s="1086"/>
      <c r="BN209" s="1086"/>
      <c r="BO209" s="1086"/>
    </row>
    <row r="210" spans="1:67" ht="13.5" customHeight="1" x14ac:dyDescent="0.2">
      <c r="A210" s="1083"/>
      <c r="B210" s="1083"/>
      <c r="C210" s="1083"/>
      <c r="D210" s="1083"/>
      <c r="E210" s="1083"/>
      <c r="F210" s="1083"/>
      <c r="G210" s="1083"/>
      <c r="H210" s="1083"/>
      <c r="I210" s="1083"/>
      <c r="J210" s="1083"/>
      <c r="K210" s="1083"/>
      <c r="L210" s="1083"/>
      <c r="M210" s="1083"/>
      <c r="N210" s="1083"/>
      <c r="O210" s="1083"/>
      <c r="P210" s="1083"/>
      <c r="Q210" s="1083"/>
      <c r="R210" s="1083"/>
      <c r="S210" s="1083"/>
      <c r="T210" s="1083"/>
      <c r="U210" s="1083"/>
      <c r="V210" s="1083"/>
      <c r="W210" s="1083"/>
      <c r="X210" s="1083"/>
      <c r="Y210" s="1083"/>
      <c r="Z210" s="1083"/>
      <c r="AA210" s="1083"/>
      <c r="AB210" s="1083"/>
      <c r="AC210" s="1083"/>
      <c r="AD210" s="1083"/>
      <c r="AE210" s="1083"/>
      <c r="AF210" s="1083"/>
      <c r="AG210" s="1083"/>
      <c r="AH210" s="1083"/>
      <c r="AI210" s="1083"/>
      <c r="AJ210" s="1083"/>
      <c r="AK210" s="1083"/>
      <c r="AL210" s="1083"/>
      <c r="AM210" s="1083"/>
      <c r="AN210" s="1083"/>
      <c r="AO210" s="1083"/>
      <c r="AP210" s="1083"/>
      <c r="AQ210" s="1083"/>
      <c r="AR210" s="1083"/>
      <c r="AS210" s="1083"/>
      <c r="AT210" s="1083"/>
      <c r="AU210" s="1083"/>
      <c r="AV210" s="1083"/>
      <c r="AW210" s="1083"/>
      <c r="AX210" s="1083"/>
      <c r="AY210" s="1083"/>
      <c r="AZ210" s="1083"/>
      <c r="BA210" s="1083"/>
      <c r="BB210" s="1083"/>
      <c r="BC210" s="1083"/>
      <c r="BD210" s="1083"/>
      <c r="BE210" s="1083"/>
      <c r="BF210" s="1083"/>
      <c r="BG210" s="1083"/>
      <c r="BH210" s="1083"/>
      <c r="BI210" s="1083"/>
      <c r="BJ210" s="1083"/>
      <c r="BK210" s="1083"/>
      <c r="BL210" s="1083"/>
      <c r="BM210" s="1083"/>
      <c r="BN210" s="1083"/>
      <c r="BO210" s="1083"/>
    </row>
    <row r="211" spans="1:67" ht="13.5" customHeight="1" x14ac:dyDescent="0.2">
      <c r="A211" s="1087" t="s">
        <v>611</v>
      </c>
      <c r="B211" s="1087"/>
      <c r="C211" s="1087"/>
      <c r="D211" s="1087"/>
      <c r="E211" s="1087"/>
      <c r="F211" s="1087"/>
      <c r="G211" s="1087"/>
      <c r="H211" s="1087"/>
      <c r="I211" s="1087"/>
      <c r="J211" s="1087"/>
      <c r="K211" s="1087"/>
      <c r="L211" s="1087"/>
      <c r="M211" s="1087"/>
      <c r="N211" s="1087"/>
      <c r="O211" s="1087"/>
      <c r="P211" s="1087"/>
      <c r="Q211" s="1087"/>
      <c r="R211" s="1087"/>
      <c r="S211" s="1086">
        <v>82949</v>
      </c>
      <c r="T211" s="1086"/>
      <c r="U211" s="1086"/>
      <c r="V211" s="1086"/>
      <c r="W211" s="1086"/>
      <c r="X211" s="1086">
        <v>66553</v>
      </c>
      <c r="Y211" s="1086"/>
      <c r="Z211" s="1086"/>
      <c r="AA211" s="1086"/>
      <c r="AB211" s="1086"/>
      <c r="AC211" s="1086"/>
      <c r="AD211" s="1086">
        <v>67834</v>
      </c>
      <c r="AE211" s="1086"/>
      <c r="AF211" s="1086"/>
      <c r="AG211" s="1086"/>
      <c r="AH211" s="1086"/>
      <c r="AI211" s="1086"/>
      <c r="AJ211" s="1086">
        <v>70670</v>
      </c>
      <c r="AK211" s="1086"/>
      <c r="AL211" s="1086"/>
      <c r="AM211" s="1086"/>
      <c r="AN211" s="1086"/>
      <c r="AO211" s="1086"/>
      <c r="AP211" s="1086"/>
      <c r="AQ211" s="1086"/>
      <c r="AR211" s="1086"/>
      <c r="AS211" s="1086"/>
      <c r="AT211" s="1086"/>
      <c r="AU211" s="1086">
        <v>65092</v>
      </c>
      <c r="AV211" s="1086"/>
      <c r="AW211" s="1086"/>
      <c r="AX211" s="1086"/>
      <c r="AY211" s="1086"/>
      <c r="AZ211" s="1086"/>
      <c r="BA211" s="1086"/>
      <c r="BB211" s="1086"/>
      <c r="BC211" s="1086">
        <v>26537</v>
      </c>
      <c r="BD211" s="1086"/>
      <c r="BE211" s="1086"/>
      <c r="BF211" s="1086"/>
      <c r="BG211" s="1086">
        <v>36724</v>
      </c>
      <c r="BH211" s="1086"/>
      <c r="BI211" s="1086"/>
      <c r="BJ211" s="1086"/>
      <c r="BK211" s="1086">
        <v>24511</v>
      </c>
      <c r="BL211" s="1086"/>
      <c r="BM211" s="1086"/>
      <c r="BN211" s="1086"/>
      <c r="BO211" s="1086"/>
    </row>
    <row r="212" spans="1:67" ht="13.5" customHeight="1" x14ac:dyDescent="0.2">
      <c r="A212" s="1087" t="s">
        <v>612</v>
      </c>
      <c r="B212" s="1087"/>
      <c r="C212" s="1087"/>
      <c r="D212" s="1087"/>
      <c r="E212" s="1087"/>
      <c r="F212" s="1087"/>
      <c r="G212" s="1087"/>
      <c r="H212" s="1087"/>
      <c r="I212" s="1087"/>
      <c r="J212" s="1087"/>
      <c r="K212" s="1087"/>
      <c r="L212" s="1087"/>
      <c r="M212" s="1087"/>
      <c r="N212" s="1087"/>
      <c r="O212" s="1087"/>
      <c r="P212" s="1087"/>
      <c r="Q212" s="1087"/>
      <c r="R212" s="1087"/>
      <c r="S212" s="1092" t="s">
        <v>535</v>
      </c>
      <c r="T212" s="1092"/>
      <c r="U212" s="1092"/>
      <c r="V212" s="1092"/>
      <c r="W212" s="1092"/>
      <c r="X212" s="1092" t="s">
        <v>535</v>
      </c>
      <c r="Y212" s="1092"/>
      <c r="Z212" s="1092"/>
      <c r="AA212" s="1092"/>
      <c r="AB212" s="1092"/>
      <c r="AC212" s="1092"/>
      <c r="AD212" s="1092" t="s">
        <v>535</v>
      </c>
      <c r="AE212" s="1092"/>
      <c r="AF212" s="1092"/>
      <c r="AG212" s="1092"/>
      <c r="AH212" s="1092"/>
      <c r="AI212" s="1092"/>
      <c r="AJ212" s="1092" t="s">
        <v>535</v>
      </c>
      <c r="AK212" s="1092"/>
      <c r="AL212" s="1092"/>
      <c r="AM212" s="1092"/>
      <c r="AN212" s="1092"/>
      <c r="AO212" s="1092"/>
      <c r="AP212" s="1092"/>
      <c r="AQ212" s="1092"/>
      <c r="AR212" s="1092"/>
      <c r="AS212" s="1092"/>
      <c r="AT212" s="1092"/>
      <c r="AU212" s="1092" t="s">
        <v>535</v>
      </c>
      <c r="AV212" s="1092"/>
      <c r="AW212" s="1092"/>
      <c r="AX212" s="1092"/>
      <c r="AY212" s="1092"/>
      <c r="AZ212" s="1092"/>
      <c r="BA212" s="1092"/>
      <c r="BB212" s="1092"/>
      <c r="BC212" s="1092" t="s">
        <v>535</v>
      </c>
      <c r="BD212" s="1092"/>
      <c r="BE212" s="1092"/>
      <c r="BF212" s="1092"/>
      <c r="BG212" s="1092" t="s">
        <v>535</v>
      </c>
      <c r="BH212" s="1092"/>
      <c r="BI212" s="1092"/>
      <c r="BJ212" s="1092"/>
      <c r="BK212" s="1092" t="s">
        <v>535</v>
      </c>
      <c r="BL212" s="1092"/>
      <c r="BM212" s="1092"/>
      <c r="BN212" s="1092"/>
      <c r="BO212" s="1092"/>
    </row>
    <row r="213" spans="1:67" ht="13.5" customHeight="1" x14ac:dyDescent="0.2">
      <c r="A213" s="1083"/>
      <c r="B213" s="1083"/>
      <c r="C213" s="1083"/>
      <c r="D213" s="1083"/>
      <c r="E213" s="1083"/>
      <c r="F213" s="1083"/>
      <c r="G213" s="1083"/>
      <c r="H213" s="1083"/>
      <c r="I213" s="1083"/>
      <c r="J213" s="1083"/>
      <c r="K213" s="1083"/>
      <c r="L213" s="1083"/>
      <c r="M213" s="1083"/>
      <c r="N213" s="1083"/>
      <c r="O213" s="1083"/>
      <c r="P213" s="1083"/>
      <c r="Q213" s="1083"/>
      <c r="R213" s="1083"/>
      <c r="S213" s="1083"/>
      <c r="T213" s="1083"/>
      <c r="U213" s="1083"/>
      <c r="V213" s="1083"/>
      <c r="W213" s="1083"/>
      <c r="X213" s="1083"/>
      <c r="Y213" s="1083"/>
      <c r="Z213" s="1083"/>
      <c r="AA213" s="1083"/>
      <c r="AB213" s="1083"/>
      <c r="AC213" s="1083"/>
      <c r="AD213" s="1083"/>
      <c r="AE213" s="1083"/>
      <c r="AF213" s="1083"/>
      <c r="AG213" s="1083"/>
      <c r="AH213" s="1083"/>
      <c r="AI213" s="1083"/>
      <c r="AJ213" s="1083"/>
      <c r="AK213" s="1083"/>
      <c r="AL213" s="1083"/>
      <c r="AM213" s="1083"/>
      <c r="AN213" s="1083"/>
      <c r="AO213" s="1083"/>
      <c r="AP213" s="1083"/>
      <c r="AQ213" s="1083"/>
      <c r="AR213" s="1083"/>
      <c r="AS213" s="1083"/>
      <c r="AT213" s="1083"/>
      <c r="AU213" s="1083"/>
      <c r="AV213" s="1083"/>
      <c r="AW213" s="1083"/>
      <c r="AX213" s="1083"/>
      <c r="AY213" s="1083"/>
      <c r="AZ213" s="1083"/>
      <c r="BA213" s="1083"/>
      <c r="BB213" s="1083"/>
      <c r="BC213" s="1083"/>
      <c r="BD213" s="1083"/>
      <c r="BE213" s="1083"/>
      <c r="BF213" s="1083"/>
      <c r="BG213" s="1083"/>
      <c r="BH213" s="1083"/>
      <c r="BI213" s="1083"/>
      <c r="BJ213" s="1083"/>
      <c r="BK213" s="1083"/>
      <c r="BL213" s="1083"/>
      <c r="BM213" s="1083"/>
      <c r="BN213" s="1083"/>
      <c r="BO213" s="1083"/>
    </row>
    <row r="214" spans="1:67" ht="13.5" customHeight="1" x14ac:dyDescent="0.2">
      <c r="A214" s="1087" t="s">
        <v>613</v>
      </c>
      <c r="B214" s="1087"/>
      <c r="C214" s="1087"/>
      <c r="D214" s="1087"/>
      <c r="E214" s="1087"/>
      <c r="F214" s="1087"/>
      <c r="G214" s="1087"/>
      <c r="H214" s="1087"/>
      <c r="I214" s="1087"/>
      <c r="J214" s="1087"/>
      <c r="K214" s="1087"/>
      <c r="L214" s="1087"/>
      <c r="M214" s="1087"/>
      <c r="N214" s="1087"/>
      <c r="O214" s="1087"/>
      <c r="P214" s="1087"/>
      <c r="Q214" s="1087"/>
      <c r="R214" s="1087"/>
      <c r="S214" s="1086">
        <v>18790859</v>
      </c>
      <c r="T214" s="1086"/>
      <c r="U214" s="1086"/>
      <c r="V214" s="1086"/>
      <c r="W214" s="1086"/>
      <c r="X214" s="1086">
        <v>20554377</v>
      </c>
      <c r="Y214" s="1086"/>
      <c r="Z214" s="1086"/>
      <c r="AA214" s="1086"/>
      <c r="AB214" s="1086"/>
      <c r="AC214" s="1086"/>
      <c r="AD214" s="1086">
        <v>20723060</v>
      </c>
      <c r="AE214" s="1086"/>
      <c r="AF214" s="1086"/>
      <c r="AG214" s="1086"/>
      <c r="AH214" s="1086"/>
      <c r="AI214" s="1086"/>
      <c r="AJ214" s="1086">
        <v>18204611</v>
      </c>
      <c r="AK214" s="1086"/>
      <c r="AL214" s="1086"/>
      <c r="AM214" s="1086"/>
      <c r="AN214" s="1086"/>
      <c r="AO214" s="1086"/>
      <c r="AP214" s="1086"/>
      <c r="AQ214" s="1086"/>
      <c r="AR214" s="1086"/>
      <c r="AS214" s="1086"/>
      <c r="AT214" s="1086"/>
      <c r="AU214" s="1086">
        <v>14795011</v>
      </c>
      <c r="AV214" s="1086"/>
      <c r="AW214" s="1086"/>
      <c r="AX214" s="1086"/>
      <c r="AY214" s="1086"/>
      <c r="AZ214" s="1086"/>
      <c r="BA214" s="1086"/>
      <c r="BB214" s="1086"/>
      <c r="BC214" s="1086">
        <v>9311398</v>
      </c>
      <c r="BD214" s="1086"/>
      <c r="BE214" s="1086"/>
      <c r="BF214" s="1086"/>
      <c r="BG214" s="1086">
        <v>6455031</v>
      </c>
      <c r="BH214" s="1086"/>
      <c r="BI214" s="1086"/>
      <c r="BJ214" s="1086"/>
      <c r="BK214" s="1086">
        <v>6151737</v>
      </c>
      <c r="BL214" s="1086"/>
      <c r="BM214" s="1086"/>
      <c r="BN214" s="1086"/>
      <c r="BO214" s="1086"/>
    </row>
    <row r="215" spans="1:67" ht="13.5" customHeight="1" x14ac:dyDescent="0.2">
      <c r="A215" s="1083"/>
      <c r="B215" s="1083"/>
      <c r="C215" s="1083"/>
      <c r="D215" s="1083"/>
      <c r="E215" s="1083"/>
      <c r="F215" s="1083"/>
      <c r="G215" s="1083"/>
      <c r="H215" s="1083"/>
      <c r="I215" s="1083"/>
      <c r="J215" s="1083"/>
      <c r="K215" s="1083"/>
      <c r="L215" s="1083"/>
      <c r="M215" s="1083"/>
      <c r="N215" s="1083"/>
      <c r="O215" s="1083"/>
      <c r="P215" s="1083"/>
      <c r="Q215" s="1083"/>
      <c r="R215" s="1083"/>
      <c r="S215" s="1083"/>
      <c r="T215" s="1083"/>
      <c r="U215" s="1083"/>
      <c r="V215" s="1083"/>
      <c r="W215" s="1083"/>
      <c r="X215" s="1083"/>
      <c r="Y215" s="1083"/>
      <c r="Z215" s="1083"/>
      <c r="AA215" s="1083"/>
      <c r="AB215" s="1083"/>
      <c r="AC215" s="1083"/>
      <c r="AD215" s="1083"/>
      <c r="AE215" s="1083"/>
      <c r="AF215" s="1083"/>
      <c r="AG215" s="1083"/>
      <c r="AH215" s="1083"/>
      <c r="AI215" s="1083"/>
      <c r="AJ215" s="1083"/>
      <c r="AK215" s="1083"/>
      <c r="AL215" s="1083"/>
      <c r="AM215" s="1083"/>
      <c r="AN215" s="1083"/>
      <c r="AO215" s="1083"/>
      <c r="AP215" s="1083"/>
      <c r="AQ215" s="1083"/>
      <c r="AR215" s="1083"/>
      <c r="AS215" s="1083"/>
      <c r="AT215" s="1083"/>
      <c r="AU215" s="1083"/>
      <c r="AV215" s="1083"/>
      <c r="AW215" s="1083"/>
      <c r="AX215" s="1083"/>
      <c r="AY215" s="1083"/>
      <c r="AZ215" s="1083"/>
      <c r="BA215" s="1083"/>
      <c r="BB215" s="1083"/>
      <c r="BC215" s="1083"/>
      <c r="BD215" s="1083"/>
      <c r="BE215" s="1083"/>
      <c r="BF215" s="1083"/>
      <c r="BG215" s="1083"/>
      <c r="BH215" s="1083"/>
      <c r="BI215" s="1083"/>
      <c r="BJ215" s="1083"/>
      <c r="BK215" s="1083"/>
      <c r="BL215" s="1083"/>
      <c r="BM215" s="1083"/>
      <c r="BN215" s="1083"/>
      <c r="BO215" s="1083"/>
    </row>
    <row r="216" spans="1:67" ht="13.5" customHeight="1" x14ac:dyDescent="0.2">
      <c r="A216" s="1090" t="s">
        <v>614</v>
      </c>
      <c r="B216" s="1090"/>
      <c r="C216" s="1090"/>
      <c r="D216" s="1090"/>
      <c r="E216" s="1090"/>
      <c r="F216" s="1090"/>
      <c r="G216" s="1090"/>
      <c r="H216" s="1090"/>
      <c r="I216" s="1090"/>
      <c r="J216" s="1090"/>
      <c r="K216" s="1090"/>
      <c r="L216" s="1090"/>
      <c r="M216" s="1090"/>
      <c r="N216" s="1090"/>
      <c r="O216" s="1090"/>
      <c r="P216" s="1090"/>
      <c r="Q216" s="1090"/>
      <c r="R216" s="1090"/>
      <c r="S216" s="1089"/>
      <c r="T216" s="1089"/>
      <c r="U216" s="1089"/>
      <c r="V216" s="1089"/>
      <c r="W216" s="1089"/>
      <c r="X216" s="1089"/>
      <c r="Y216" s="1089"/>
      <c r="Z216" s="1089"/>
      <c r="AA216" s="1089"/>
      <c r="AB216" s="1089"/>
      <c r="AC216" s="1089"/>
      <c r="AD216" s="1089"/>
      <c r="AE216" s="1089"/>
      <c r="AF216" s="1089"/>
      <c r="AG216" s="1089"/>
      <c r="AH216" s="1089"/>
      <c r="AI216" s="1089"/>
      <c r="AJ216" s="1089"/>
      <c r="AK216" s="1089"/>
      <c r="AL216" s="1089"/>
      <c r="AM216" s="1089"/>
      <c r="AN216" s="1089"/>
      <c r="AO216" s="1089"/>
      <c r="AP216" s="1089"/>
      <c r="AQ216" s="1089"/>
      <c r="AR216" s="1089"/>
      <c r="AS216" s="1089"/>
      <c r="AT216" s="1089"/>
      <c r="AU216" s="1089"/>
      <c r="AV216" s="1089"/>
      <c r="AW216" s="1089"/>
      <c r="AX216" s="1089"/>
      <c r="AY216" s="1089"/>
      <c r="AZ216" s="1089"/>
      <c r="BA216" s="1089"/>
      <c r="BB216" s="1089"/>
      <c r="BC216" s="1089"/>
      <c r="BD216" s="1089"/>
      <c r="BE216" s="1089"/>
      <c r="BF216" s="1089"/>
      <c r="BG216" s="1089"/>
      <c r="BH216" s="1089"/>
      <c r="BI216" s="1089"/>
      <c r="BJ216" s="1089"/>
      <c r="BK216" s="1089"/>
      <c r="BL216" s="1089"/>
      <c r="BM216" s="1089"/>
      <c r="BN216" s="1089"/>
      <c r="BO216" s="1089"/>
    </row>
    <row r="217" spans="1:67" ht="13.5" customHeight="1" x14ac:dyDescent="0.2">
      <c r="A217" s="1083"/>
      <c r="B217" s="1083"/>
      <c r="C217" s="1083"/>
      <c r="D217" s="1083"/>
      <c r="E217" s="1083"/>
      <c r="F217" s="1083"/>
      <c r="G217" s="1083"/>
      <c r="H217" s="1083"/>
      <c r="I217" s="1083"/>
      <c r="J217" s="1083"/>
      <c r="K217" s="1083"/>
      <c r="L217" s="1083"/>
      <c r="M217" s="1083"/>
      <c r="N217" s="1083"/>
      <c r="O217" s="1083"/>
      <c r="P217" s="1083"/>
      <c r="Q217" s="1083"/>
      <c r="R217" s="1083"/>
      <c r="S217" s="1083"/>
      <c r="T217" s="1083"/>
      <c r="U217" s="1083"/>
      <c r="V217" s="1083"/>
      <c r="W217" s="1083"/>
      <c r="X217" s="1083"/>
      <c r="Y217" s="1083"/>
      <c r="Z217" s="1083"/>
      <c r="AA217" s="1083"/>
      <c r="AB217" s="1083"/>
      <c r="AC217" s="1083"/>
      <c r="AD217" s="1083"/>
      <c r="AE217" s="1083"/>
      <c r="AF217" s="1083"/>
      <c r="AG217" s="1083"/>
      <c r="AH217" s="1083"/>
      <c r="AI217" s="1083"/>
      <c r="AJ217" s="1083"/>
      <c r="AK217" s="1083"/>
      <c r="AL217" s="1083"/>
      <c r="AM217" s="1083"/>
      <c r="AN217" s="1083"/>
      <c r="AO217" s="1083"/>
      <c r="AP217" s="1083"/>
      <c r="AQ217" s="1083"/>
      <c r="AR217" s="1083"/>
      <c r="AS217" s="1083"/>
      <c r="AT217" s="1083"/>
      <c r="AU217" s="1083"/>
      <c r="AV217" s="1083"/>
      <c r="AW217" s="1083"/>
      <c r="AX217" s="1083"/>
      <c r="AY217" s="1083"/>
      <c r="AZ217" s="1083"/>
      <c r="BA217" s="1083"/>
      <c r="BB217" s="1083"/>
      <c r="BC217" s="1083"/>
      <c r="BD217" s="1083"/>
      <c r="BE217" s="1083"/>
      <c r="BF217" s="1083"/>
      <c r="BG217" s="1083"/>
      <c r="BH217" s="1083"/>
      <c r="BI217" s="1083"/>
      <c r="BJ217" s="1083"/>
      <c r="BK217" s="1083"/>
      <c r="BL217" s="1083"/>
      <c r="BM217" s="1083"/>
      <c r="BN217" s="1083"/>
      <c r="BO217" s="1083"/>
    </row>
    <row r="218" spans="1:67" ht="13.5" customHeight="1" x14ac:dyDescent="0.2">
      <c r="A218" s="1117" t="s">
        <v>615</v>
      </c>
      <c r="B218" s="1117"/>
      <c r="C218" s="1117"/>
      <c r="D218" s="1117"/>
      <c r="E218" s="1117"/>
      <c r="F218" s="1117"/>
      <c r="G218" s="1117"/>
      <c r="H218" s="1117"/>
      <c r="I218" s="1117"/>
      <c r="J218" s="1117"/>
      <c r="K218" s="1117"/>
      <c r="L218" s="1117"/>
      <c r="M218" s="1117"/>
      <c r="N218" s="1117"/>
      <c r="O218" s="1117"/>
      <c r="P218" s="1117"/>
      <c r="Q218" s="1117"/>
      <c r="R218" s="1117"/>
      <c r="S218" s="1118"/>
      <c r="T218" s="1118"/>
      <c r="U218" s="1118"/>
      <c r="V218" s="1118"/>
      <c r="W218" s="1118"/>
      <c r="X218" s="1118"/>
      <c r="Y218" s="1118"/>
      <c r="Z218" s="1118"/>
      <c r="AA218" s="1118"/>
      <c r="AB218" s="1118"/>
      <c r="AC218" s="1118"/>
      <c r="AD218" s="1118"/>
      <c r="AE218" s="1118"/>
      <c r="AF218" s="1118"/>
      <c r="AG218" s="1118"/>
      <c r="AH218" s="1118"/>
      <c r="AI218" s="1118"/>
      <c r="AJ218" s="1118"/>
      <c r="AK218" s="1118"/>
      <c r="AL218" s="1118"/>
      <c r="AM218" s="1118"/>
      <c r="AN218" s="1118"/>
      <c r="AO218" s="1118"/>
      <c r="AP218" s="1118"/>
      <c r="AQ218" s="1118"/>
      <c r="AR218" s="1118"/>
      <c r="AS218" s="1118"/>
      <c r="AT218" s="1118"/>
      <c r="AU218" s="1118"/>
      <c r="AV218" s="1118"/>
      <c r="AW218" s="1118"/>
      <c r="AX218" s="1118"/>
      <c r="AY218" s="1118"/>
      <c r="AZ218" s="1118"/>
      <c r="BA218" s="1118"/>
      <c r="BB218" s="1118"/>
      <c r="BC218" s="1118"/>
      <c r="BD218" s="1118"/>
      <c r="BE218" s="1118"/>
      <c r="BF218" s="1118"/>
      <c r="BG218" s="1118"/>
      <c r="BH218" s="1118"/>
      <c r="BI218" s="1118"/>
      <c r="BJ218" s="1118"/>
      <c r="BK218" s="1118"/>
      <c r="BL218" s="1118"/>
      <c r="BM218" s="1118"/>
      <c r="BN218" s="1118"/>
      <c r="BO218" s="1118"/>
    </row>
    <row r="219" spans="1:67" ht="13.5" customHeight="1" x14ac:dyDescent="0.2">
      <c r="A219" s="1083"/>
      <c r="B219" s="1083"/>
      <c r="C219" s="1083"/>
      <c r="D219" s="1083"/>
      <c r="E219" s="1083"/>
      <c r="F219" s="1083"/>
      <c r="G219" s="1083"/>
      <c r="H219" s="1083"/>
      <c r="I219" s="1083"/>
      <c r="J219" s="1083"/>
      <c r="K219" s="1083"/>
      <c r="L219" s="1083"/>
      <c r="M219" s="1083"/>
      <c r="N219" s="1083"/>
      <c r="O219" s="1083"/>
      <c r="P219" s="1083"/>
      <c r="Q219" s="1083"/>
      <c r="R219" s="1083"/>
      <c r="S219" s="1083"/>
      <c r="T219" s="1083"/>
      <c r="U219" s="1083"/>
      <c r="V219" s="1083"/>
      <c r="W219" s="1083"/>
      <c r="X219" s="1083"/>
      <c r="Y219" s="1083"/>
      <c r="Z219" s="1083"/>
      <c r="AA219" s="1083"/>
      <c r="AB219" s="1083"/>
      <c r="AC219" s="1083"/>
      <c r="AD219" s="1083"/>
      <c r="AE219" s="1083"/>
      <c r="AF219" s="1083"/>
      <c r="AG219" s="1083"/>
      <c r="AH219" s="1083"/>
      <c r="AI219" s="1083"/>
      <c r="AJ219" s="1083"/>
      <c r="AK219" s="1083"/>
      <c r="AL219" s="1083"/>
      <c r="AM219" s="1083"/>
      <c r="AN219" s="1083"/>
      <c r="AO219" s="1083"/>
      <c r="AP219" s="1083"/>
      <c r="AQ219" s="1083"/>
      <c r="AR219" s="1083"/>
      <c r="AS219" s="1083"/>
      <c r="AT219" s="1083"/>
      <c r="AU219" s="1083"/>
      <c r="AV219" s="1083"/>
      <c r="AW219" s="1083"/>
      <c r="AX219" s="1083"/>
      <c r="AY219" s="1083"/>
      <c r="AZ219" s="1083"/>
      <c r="BA219" s="1083"/>
      <c r="BB219" s="1083"/>
      <c r="BC219" s="1083"/>
      <c r="BD219" s="1083"/>
      <c r="BE219" s="1083"/>
      <c r="BF219" s="1083"/>
      <c r="BG219" s="1083"/>
      <c r="BH219" s="1083"/>
      <c r="BI219" s="1083"/>
      <c r="BJ219" s="1083"/>
      <c r="BK219" s="1083"/>
      <c r="BL219" s="1083"/>
      <c r="BM219" s="1083"/>
      <c r="BN219" s="1083"/>
      <c r="BO219" s="1083"/>
    </row>
    <row r="220" spans="1:67" ht="13.5" customHeight="1" x14ac:dyDescent="0.2">
      <c r="A220" s="1087" t="s">
        <v>616</v>
      </c>
      <c r="B220" s="1087"/>
      <c r="C220" s="1087"/>
      <c r="D220" s="1087"/>
      <c r="E220" s="1087"/>
      <c r="F220" s="1087"/>
      <c r="G220" s="1087"/>
      <c r="H220" s="1087"/>
      <c r="I220" s="1087"/>
      <c r="J220" s="1087"/>
      <c r="K220" s="1087"/>
      <c r="L220" s="1087"/>
      <c r="M220" s="1087"/>
      <c r="N220" s="1087"/>
      <c r="O220" s="1087"/>
      <c r="P220" s="1087"/>
      <c r="Q220" s="1087"/>
      <c r="R220" s="1087"/>
      <c r="S220" s="1086">
        <v>5757287</v>
      </c>
      <c r="T220" s="1086"/>
      <c r="U220" s="1086"/>
      <c r="V220" s="1086"/>
      <c r="W220" s="1086"/>
      <c r="X220" s="1086">
        <v>5227552</v>
      </c>
      <c r="Y220" s="1086"/>
      <c r="Z220" s="1086"/>
      <c r="AA220" s="1086"/>
      <c r="AB220" s="1086"/>
      <c r="AC220" s="1086"/>
      <c r="AD220" s="1086">
        <v>4660887</v>
      </c>
      <c r="AE220" s="1086"/>
      <c r="AF220" s="1086"/>
      <c r="AG220" s="1086"/>
      <c r="AH220" s="1086"/>
      <c r="AI220" s="1086"/>
      <c r="AJ220" s="1086">
        <v>4082303</v>
      </c>
      <c r="AK220" s="1086"/>
      <c r="AL220" s="1086"/>
      <c r="AM220" s="1086"/>
      <c r="AN220" s="1086"/>
      <c r="AO220" s="1086"/>
      <c r="AP220" s="1086"/>
      <c r="AQ220" s="1086"/>
      <c r="AR220" s="1086"/>
      <c r="AS220" s="1086"/>
      <c r="AT220" s="1086"/>
      <c r="AU220" s="1086">
        <v>3206001</v>
      </c>
      <c r="AV220" s="1086"/>
      <c r="AW220" s="1086"/>
      <c r="AX220" s="1086"/>
      <c r="AY220" s="1086"/>
      <c r="AZ220" s="1086"/>
      <c r="BA220" s="1086"/>
      <c r="BB220" s="1086"/>
      <c r="BC220" s="1086">
        <v>2384718</v>
      </c>
      <c r="BD220" s="1086"/>
      <c r="BE220" s="1086"/>
      <c r="BF220" s="1086"/>
      <c r="BG220" s="1086">
        <v>1733081</v>
      </c>
      <c r="BH220" s="1086"/>
      <c r="BI220" s="1086"/>
      <c r="BJ220" s="1086"/>
      <c r="BK220" s="1086">
        <v>1062658</v>
      </c>
      <c r="BL220" s="1086"/>
      <c r="BM220" s="1086"/>
      <c r="BN220" s="1086"/>
      <c r="BO220" s="1086"/>
    </row>
    <row r="221" spans="1:67" ht="13.5" customHeight="1" x14ac:dyDescent="0.2">
      <c r="A221" s="1087" t="s">
        <v>617</v>
      </c>
      <c r="B221" s="1087"/>
      <c r="C221" s="1087"/>
      <c r="D221" s="1087"/>
      <c r="E221" s="1087"/>
      <c r="F221" s="1087"/>
      <c r="G221" s="1087"/>
      <c r="H221" s="1087"/>
      <c r="I221" s="1087"/>
      <c r="J221" s="1087"/>
      <c r="K221" s="1087"/>
      <c r="L221" s="1087"/>
      <c r="M221" s="1087"/>
      <c r="N221" s="1087"/>
      <c r="O221" s="1087"/>
      <c r="P221" s="1087"/>
      <c r="Q221" s="1087"/>
      <c r="R221" s="1087"/>
      <c r="S221" s="1086">
        <v>140000</v>
      </c>
      <c r="T221" s="1086"/>
      <c r="U221" s="1086"/>
      <c r="V221" s="1086"/>
      <c r="W221" s="1086"/>
      <c r="X221" s="1086">
        <v>140000</v>
      </c>
      <c r="Y221" s="1086"/>
      <c r="Z221" s="1086"/>
      <c r="AA221" s="1086"/>
      <c r="AB221" s="1086"/>
      <c r="AC221" s="1086"/>
      <c r="AD221" s="1086">
        <v>140000</v>
      </c>
      <c r="AE221" s="1086"/>
      <c r="AF221" s="1086"/>
      <c r="AG221" s="1086"/>
      <c r="AH221" s="1086"/>
      <c r="AI221" s="1086"/>
      <c r="AJ221" s="1086">
        <v>140000</v>
      </c>
      <c r="AK221" s="1086"/>
      <c r="AL221" s="1086"/>
      <c r="AM221" s="1086"/>
      <c r="AN221" s="1086"/>
      <c r="AO221" s="1086"/>
      <c r="AP221" s="1086"/>
      <c r="AQ221" s="1086"/>
      <c r="AR221" s="1086"/>
      <c r="AS221" s="1086"/>
      <c r="AT221" s="1086"/>
      <c r="AU221" s="1086">
        <v>140000</v>
      </c>
      <c r="AV221" s="1086"/>
      <c r="AW221" s="1086"/>
      <c r="AX221" s="1086"/>
      <c r="AY221" s="1086"/>
      <c r="AZ221" s="1086"/>
      <c r="BA221" s="1086"/>
      <c r="BB221" s="1086"/>
      <c r="BC221" s="1086">
        <v>140000</v>
      </c>
      <c r="BD221" s="1086"/>
      <c r="BE221" s="1086"/>
      <c r="BF221" s="1086"/>
      <c r="BG221" s="1086">
        <v>140000</v>
      </c>
      <c r="BH221" s="1086"/>
      <c r="BI221" s="1086"/>
      <c r="BJ221" s="1086"/>
      <c r="BK221" s="1086">
        <v>140000</v>
      </c>
      <c r="BL221" s="1086"/>
      <c r="BM221" s="1086"/>
      <c r="BN221" s="1086"/>
      <c r="BO221" s="1086"/>
    </row>
    <row r="222" spans="1:67" ht="13.5" customHeight="1" x14ac:dyDescent="0.2">
      <c r="A222" s="1087" t="s">
        <v>618</v>
      </c>
      <c r="B222" s="1087"/>
      <c r="C222" s="1087"/>
      <c r="D222" s="1087"/>
      <c r="E222" s="1087"/>
      <c r="F222" s="1087"/>
      <c r="G222" s="1087"/>
      <c r="H222" s="1087"/>
      <c r="I222" s="1087"/>
      <c r="J222" s="1087"/>
      <c r="K222" s="1087"/>
      <c r="L222" s="1087"/>
      <c r="M222" s="1087"/>
      <c r="N222" s="1087"/>
      <c r="O222" s="1087"/>
      <c r="P222" s="1087"/>
      <c r="Q222" s="1087"/>
      <c r="R222" s="1087"/>
      <c r="S222" s="1086">
        <v>0</v>
      </c>
      <c r="T222" s="1086"/>
      <c r="U222" s="1086"/>
      <c r="V222" s="1086"/>
      <c r="W222" s="1086"/>
      <c r="X222" s="1086">
        <v>0</v>
      </c>
      <c r="Y222" s="1086"/>
      <c r="Z222" s="1086"/>
      <c r="AA222" s="1086"/>
      <c r="AB222" s="1086"/>
      <c r="AC222" s="1086"/>
      <c r="AD222" s="1086">
        <v>0</v>
      </c>
      <c r="AE222" s="1086"/>
      <c r="AF222" s="1086"/>
      <c r="AG222" s="1086"/>
      <c r="AH222" s="1086"/>
      <c r="AI222" s="1086"/>
      <c r="AJ222" s="1086">
        <v>0</v>
      </c>
      <c r="AK222" s="1086"/>
      <c r="AL222" s="1086"/>
      <c r="AM222" s="1086"/>
      <c r="AN222" s="1086"/>
      <c r="AO222" s="1086"/>
      <c r="AP222" s="1086"/>
      <c r="AQ222" s="1086"/>
      <c r="AR222" s="1086"/>
      <c r="AS222" s="1086"/>
      <c r="AT222" s="1086"/>
      <c r="AU222" s="1086">
        <v>0</v>
      </c>
      <c r="AV222" s="1086"/>
      <c r="AW222" s="1086"/>
      <c r="AX222" s="1086"/>
      <c r="AY222" s="1086"/>
      <c r="AZ222" s="1086"/>
      <c r="BA222" s="1086"/>
      <c r="BB222" s="1086"/>
      <c r="BC222" s="1086">
        <v>0</v>
      </c>
      <c r="BD222" s="1086"/>
      <c r="BE222" s="1086"/>
      <c r="BF222" s="1086"/>
      <c r="BG222" s="1086">
        <v>0</v>
      </c>
      <c r="BH222" s="1086"/>
      <c r="BI222" s="1086"/>
      <c r="BJ222" s="1086"/>
      <c r="BK222" s="1086">
        <v>0</v>
      </c>
      <c r="BL222" s="1086"/>
      <c r="BM222" s="1086"/>
      <c r="BN222" s="1086"/>
      <c r="BO222" s="1086"/>
    </row>
    <row r="223" spans="1:67" ht="26" customHeight="1" x14ac:dyDescent="0.2">
      <c r="A223" s="1087" t="s">
        <v>619</v>
      </c>
      <c r="B223" s="1087"/>
      <c r="C223" s="1087"/>
      <c r="D223" s="1087"/>
      <c r="E223" s="1087"/>
      <c r="F223" s="1087"/>
      <c r="G223" s="1087"/>
      <c r="H223" s="1087"/>
      <c r="I223" s="1087"/>
      <c r="J223" s="1087"/>
      <c r="K223" s="1087"/>
      <c r="L223" s="1087"/>
      <c r="M223" s="1087"/>
      <c r="N223" s="1087"/>
      <c r="O223" s="1087"/>
      <c r="P223" s="1087"/>
      <c r="Q223" s="1087"/>
      <c r="R223" s="1087"/>
      <c r="S223" s="1086">
        <v>0</v>
      </c>
      <c r="T223" s="1086"/>
      <c r="U223" s="1086"/>
      <c r="V223" s="1086"/>
      <c r="W223" s="1086"/>
      <c r="X223" s="1086">
        <v>0</v>
      </c>
      <c r="Y223" s="1086"/>
      <c r="Z223" s="1086"/>
      <c r="AA223" s="1086"/>
      <c r="AB223" s="1086"/>
      <c r="AC223" s="1086"/>
      <c r="AD223" s="1086">
        <v>0</v>
      </c>
      <c r="AE223" s="1086"/>
      <c r="AF223" s="1086"/>
      <c r="AG223" s="1086"/>
      <c r="AH223" s="1086"/>
      <c r="AI223" s="1086"/>
      <c r="AJ223" s="1086">
        <v>0</v>
      </c>
      <c r="AK223" s="1086"/>
      <c r="AL223" s="1086"/>
      <c r="AM223" s="1086"/>
      <c r="AN223" s="1086"/>
      <c r="AO223" s="1086"/>
      <c r="AP223" s="1086"/>
      <c r="AQ223" s="1086"/>
      <c r="AR223" s="1086"/>
      <c r="AS223" s="1086"/>
      <c r="AT223" s="1086"/>
      <c r="AU223" s="1086">
        <v>0</v>
      </c>
      <c r="AV223" s="1086"/>
      <c r="AW223" s="1086"/>
      <c r="AX223" s="1086"/>
      <c r="AY223" s="1086"/>
      <c r="AZ223" s="1086"/>
      <c r="BA223" s="1086"/>
      <c r="BB223" s="1086"/>
      <c r="BC223" s="1086">
        <v>0</v>
      </c>
      <c r="BD223" s="1086"/>
      <c r="BE223" s="1086"/>
      <c r="BF223" s="1086"/>
      <c r="BG223" s="1086">
        <v>0</v>
      </c>
      <c r="BH223" s="1086"/>
      <c r="BI223" s="1086"/>
      <c r="BJ223" s="1086"/>
      <c r="BK223" s="1086">
        <v>0</v>
      </c>
      <c r="BL223" s="1086"/>
      <c r="BM223" s="1086"/>
      <c r="BN223" s="1086"/>
      <c r="BO223" s="1086"/>
    </row>
    <row r="224" spans="1:67" ht="13.5" customHeight="1" x14ac:dyDescent="0.2">
      <c r="A224" s="1087" t="s">
        <v>620</v>
      </c>
      <c r="B224" s="1087"/>
      <c r="C224" s="1087"/>
      <c r="D224" s="1087"/>
      <c r="E224" s="1087"/>
      <c r="F224" s="1087"/>
      <c r="G224" s="1087"/>
      <c r="H224" s="1087"/>
      <c r="I224" s="1087"/>
      <c r="J224" s="1087"/>
      <c r="K224" s="1087"/>
      <c r="L224" s="1087"/>
      <c r="M224" s="1087"/>
      <c r="N224" s="1087"/>
      <c r="O224" s="1087"/>
      <c r="P224" s="1087"/>
      <c r="Q224" s="1087"/>
      <c r="R224" s="1087"/>
      <c r="S224" s="1086">
        <v>0</v>
      </c>
      <c r="T224" s="1086"/>
      <c r="U224" s="1086"/>
      <c r="V224" s="1086"/>
      <c r="W224" s="1086"/>
      <c r="X224" s="1086">
        <v>0</v>
      </c>
      <c r="Y224" s="1086"/>
      <c r="Z224" s="1086"/>
      <c r="AA224" s="1086"/>
      <c r="AB224" s="1086"/>
      <c r="AC224" s="1086"/>
      <c r="AD224" s="1086">
        <v>0</v>
      </c>
      <c r="AE224" s="1086"/>
      <c r="AF224" s="1086"/>
      <c r="AG224" s="1086"/>
      <c r="AH224" s="1086"/>
      <c r="AI224" s="1086"/>
      <c r="AJ224" s="1086">
        <v>0</v>
      </c>
      <c r="AK224" s="1086"/>
      <c r="AL224" s="1086"/>
      <c r="AM224" s="1086"/>
      <c r="AN224" s="1086"/>
      <c r="AO224" s="1086"/>
      <c r="AP224" s="1086"/>
      <c r="AQ224" s="1086"/>
      <c r="AR224" s="1086"/>
      <c r="AS224" s="1086"/>
      <c r="AT224" s="1086"/>
      <c r="AU224" s="1086">
        <v>0</v>
      </c>
      <c r="AV224" s="1086"/>
      <c r="AW224" s="1086"/>
      <c r="AX224" s="1086"/>
      <c r="AY224" s="1086"/>
      <c r="AZ224" s="1086"/>
      <c r="BA224" s="1086"/>
      <c r="BB224" s="1086"/>
      <c r="BC224" s="1086">
        <v>0</v>
      </c>
      <c r="BD224" s="1086"/>
      <c r="BE224" s="1086"/>
      <c r="BF224" s="1086"/>
      <c r="BG224" s="1086">
        <v>0</v>
      </c>
      <c r="BH224" s="1086"/>
      <c r="BI224" s="1086"/>
      <c r="BJ224" s="1086"/>
      <c r="BK224" s="1086">
        <v>0</v>
      </c>
      <c r="BL224" s="1086"/>
      <c r="BM224" s="1086"/>
      <c r="BN224" s="1086"/>
      <c r="BO224" s="1086"/>
    </row>
    <row r="225" spans="1:71" ht="13.5" customHeight="1" x14ac:dyDescent="0.2">
      <c r="A225" s="1087" t="s">
        <v>621</v>
      </c>
      <c r="B225" s="1087"/>
      <c r="C225" s="1087"/>
      <c r="D225" s="1087"/>
      <c r="E225" s="1087"/>
      <c r="F225" s="1087"/>
      <c r="G225" s="1087"/>
      <c r="H225" s="1087"/>
      <c r="I225" s="1087"/>
      <c r="J225" s="1087"/>
      <c r="K225" s="1087"/>
      <c r="L225" s="1087"/>
      <c r="M225" s="1087"/>
      <c r="N225" s="1087"/>
      <c r="O225" s="1087"/>
      <c r="P225" s="1087"/>
      <c r="Q225" s="1087"/>
      <c r="R225" s="1087"/>
      <c r="S225" s="1086">
        <v>0</v>
      </c>
      <c r="T225" s="1086"/>
      <c r="U225" s="1086"/>
      <c r="V225" s="1086"/>
      <c r="W225" s="1086"/>
      <c r="X225" s="1086">
        <v>0</v>
      </c>
      <c r="Y225" s="1086"/>
      <c r="Z225" s="1086"/>
      <c r="AA225" s="1086"/>
      <c r="AB225" s="1086"/>
      <c r="AC225" s="1086"/>
      <c r="AD225" s="1086">
        <v>0</v>
      </c>
      <c r="AE225" s="1086"/>
      <c r="AF225" s="1086"/>
      <c r="AG225" s="1086"/>
      <c r="AH225" s="1086"/>
      <c r="AI225" s="1086"/>
      <c r="AJ225" s="1086">
        <v>0</v>
      </c>
      <c r="AK225" s="1086"/>
      <c r="AL225" s="1086"/>
      <c r="AM225" s="1086"/>
      <c r="AN225" s="1086"/>
      <c r="AO225" s="1086"/>
      <c r="AP225" s="1086"/>
      <c r="AQ225" s="1086"/>
      <c r="AR225" s="1086"/>
      <c r="AS225" s="1086"/>
      <c r="AT225" s="1086"/>
      <c r="AU225" s="1086">
        <v>0</v>
      </c>
      <c r="AV225" s="1086"/>
      <c r="AW225" s="1086"/>
      <c r="AX225" s="1086"/>
      <c r="AY225" s="1086"/>
      <c r="AZ225" s="1086"/>
      <c r="BA225" s="1086"/>
      <c r="BB225" s="1086"/>
      <c r="BC225" s="1086">
        <v>0</v>
      </c>
      <c r="BD225" s="1086"/>
      <c r="BE225" s="1086"/>
      <c r="BF225" s="1086"/>
      <c r="BG225" s="1086">
        <v>0</v>
      </c>
      <c r="BH225" s="1086"/>
      <c r="BI225" s="1086"/>
      <c r="BJ225" s="1086"/>
      <c r="BK225" s="1086">
        <v>0</v>
      </c>
      <c r="BL225" s="1086"/>
      <c r="BM225" s="1086"/>
      <c r="BN225" s="1086"/>
      <c r="BO225" s="1086"/>
    </row>
    <row r="226" spans="1:71" ht="13.5" customHeight="1" x14ac:dyDescent="0.2">
      <c r="A226" s="1087" t="s">
        <v>622</v>
      </c>
      <c r="B226" s="1087"/>
      <c r="C226" s="1087"/>
      <c r="D226" s="1087"/>
      <c r="E226" s="1087"/>
      <c r="F226" s="1087"/>
      <c r="G226" s="1087"/>
      <c r="H226" s="1087"/>
      <c r="I226" s="1087"/>
      <c r="J226" s="1087"/>
      <c r="K226" s="1087"/>
      <c r="L226" s="1087"/>
      <c r="M226" s="1087"/>
      <c r="N226" s="1087"/>
      <c r="O226" s="1087"/>
      <c r="P226" s="1087"/>
      <c r="Q226" s="1087"/>
      <c r="R226" s="1087"/>
      <c r="S226" s="1086">
        <v>0</v>
      </c>
      <c r="T226" s="1086"/>
      <c r="U226" s="1086"/>
      <c r="V226" s="1086"/>
      <c r="W226" s="1086"/>
      <c r="X226" s="1086">
        <v>0</v>
      </c>
      <c r="Y226" s="1086"/>
      <c r="Z226" s="1086"/>
      <c r="AA226" s="1086"/>
      <c r="AB226" s="1086"/>
      <c r="AC226" s="1086"/>
      <c r="AD226" s="1086">
        <v>0</v>
      </c>
      <c r="AE226" s="1086"/>
      <c r="AF226" s="1086"/>
      <c r="AG226" s="1086"/>
      <c r="AH226" s="1086"/>
      <c r="AI226" s="1086"/>
      <c r="AJ226" s="1086">
        <v>0</v>
      </c>
      <c r="AK226" s="1086"/>
      <c r="AL226" s="1086"/>
      <c r="AM226" s="1086"/>
      <c r="AN226" s="1086"/>
      <c r="AO226" s="1086"/>
      <c r="AP226" s="1086"/>
      <c r="AQ226" s="1086"/>
      <c r="AR226" s="1086"/>
      <c r="AS226" s="1086"/>
      <c r="AT226" s="1086"/>
      <c r="AU226" s="1086">
        <v>0</v>
      </c>
      <c r="AV226" s="1086"/>
      <c r="AW226" s="1086"/>
      <c r="AX226" s="1086"/>
      <c r="AY226" s="1086"/>
      <c r="AZ226" s="1086"/>
      <c r="BA226" s="1086"/>
      <c r="BB226" s="1086"/>
      <c r="BC226" s="1086">
        <v>0</v>
      </c>
      <c r="BD226" s="1086"/>
      <c r="BE226" s="1086"/>
      <c r="BF226" s="1086"/>
      <c r="BG226" s="1086">
        <v>0</v>
      </c>
      <c r="BH226" s="1086"/>
      <c r="BI226" s="1086"/>
      <c r="BJ226" s="1086"/>
      <c r="BK226" s="1086">
        <v>0</v>
      </c>
      <c r="BL226" s="1086"/>
      <c r="BM226" s="1086"/>
      <c r="BN226" s="1086"/>
      <c r="BO226" s="1086"/>
    </row>
    <row r="227" spans="1:71" ht="13.5" customHeight="1" x14ac:dyDescent="0.2">
      <c r="A227" s="1087" t="s">
        <v>623</v>
      </c>
      <c r="B227" s="1087"/>
      <c r="C227" s="1087"/>
      <c r="D227" s="1087"/>
      <c r="E227" s="1087"/>
      <c r="F227" s="1087"/>
      <c r="G227" s="1087"/>
      <c r="H227" s="1087"/>
      <c r="I227" s="1087"/>
      <c r="J227" s="1087"/>
      <c r="K227" s="1087"/>
      <c r="L227" s="1087"/>
      <c r="M227" s="1087"/>
      <c r="N227" s="1087"/>
      <c r="O227" s="1087"/>
      <c r="P227" s="1087"/>
      <c r="Q227" s="1087"/>
      <c r="R227" s="1087"/>
      <c r="S227" s="1086">
        <v>0</v>
      </c>
      <c r="T227" s="1086"/>
      <c r="U227" s="1086"/>
      <c r="V227" s="1086"/>
      <c r="W227" s="1086"/>
      <c r="X227" s="1086">
        <v>0</v>
      </c>
      <c r="Y227" s="1086"/>
      <c r="Z227" s="1086"/>
      <c r="AA227" s="1086"/>
      <c r="AB227" s="1086"/>
      <c r="AC227" s="1086"/>
      <c r="AD227" s="1086">
        <v>0</v>
      </c>
      <c r="AE227" s="1086"/>
      <c r="AF227" s="1086"/>
      <c r="AG227" s="1086"/>
      <c r="AH227" s="1086"/>
      <c r="AI227" s="1086"/>
      <c r="AJ227" s="1086">
        <v>0</v>
      </c>
      <c r="AK227" s="1086"/>
      <c r="AL227" s="1086"/>
      <c r="AM227" s="1086"/>
      <c r="AN227" s="1086"/>
      <c r="AO227" s="1086"/>
      <c r="AP227" s="1086"/>
      <c r="AQ227" s="1086"/>
      <c r="AR227" s="1086"/>
      <c r="AS227" s="1086"/>
      <c r="AT227" s="1086"/>
      <c r="AU227" s="1086">
        <v>0</v>
      </c>
      <c r="AV227" s="1086"/>
      <c r="AW227" s="1086"/>
      <c r="AX227" s="1086"/>
      <c r="AY227" s="1086"/>
      <c r="AZ227" s="1086"/>
      <c r="BA227" s="1086"/>
      <c r="BB227" s="1086"/>
      <c r="BC227" s="1086">
        <v>0</v>
      </c>
      <c r="BD227" s="1086"/>
      <c r="BE227" s="1086"/>
      <c r="BF227" s="1086"/>
      <c r="BG227" s="1086">
        <v>0</v>
      </c>
      <c r="BH227" s="1086"/>
      <c r="BI227" s="1086"/>
      <c r="BJ227" s="1086"/>
      <c r="BK227" s="1086">
        <v>0</v>
      </c>
      <c r="BL227" s="1086"/>
      <c r="BM227" s="1086"/>
      <c r="BN227" s="1086"/>
      <c r="BO227" s="1086"/>
    </row>
    <row r="228" spans="1:71" s="365" customFormat="1" ht="13.5" customHeight="1" x14ac:dyDescent="0.2">
      <c r="A228" s="1120" t="s">
        <v>624</v>
      </c>
      <c r="B228" s="1120"/>
      <c r="C228" s="1120"/>
      <c r="D228" s="1120"/>
      <c r="E228" s="1120"/>
      <c r="F228" s="1120"/>
      <c r="G228" s="1120"/>
      <c r="H228" s="1120"/>
      <c r="I228" s="1120"/>
      <c r="J228" s="1120"/>
      <c r="K228" s="1120"/>
      <c r="L228" s="1120"/>
      <c r="M228" s="1120"/>
      <c r="N228" s="1120"/>
      <c r="O228" s="1120"/>
      <c r="P228" s="1120"/>
      <c r="Q228" s="1120"/>
      <c r="R228" s="1120"/>
      <c r="S228" s="1119">
        <v>28000</v>
      </c>
      <c r="T228" s="1119"/>
      <c r="U228" s="1119"/>
      <c r="V228" s="1119"/>
      <c r="W228" s="1119"/>
      <c r="X228" s="1119">
        <v>28000</v>
      </c>
      <c r="Y228" s="1119"/>
      <c r="Z228" s="1119"/>
      <c r="AA228" s="1119"/>
      <c r="AB228" s="1119"/>
      <c r="AC228" s="1119"/>
      <c r="AD228" s="1119">
        <v>28000</v>
      </c>
      <c r="AE228" s="1119"/>
      <c r="AF228" s="1119"/>
      <c r="AG228" s="1119"/>
      <c r="AH228" s="1119"/>
      <c r="AI228" s="1119"/>
      <c r="AJ228" s="1119">
        <v>28000</v>
      </c>
      <c r="AK228" s="1119"/>
      <c r="AL228" s="1119"/>
      <c r="AM228" s="1119"/>
      <c r="AN228" s="1119"/>
      <c r="AO228" s="1119"/>
      <c r="AP228" s="1119"/>
      <c r="AQ228" s="1119"/>
      <c r="AR228" s="1119"/>
      <c r="AS228" s="1119"/>
      <c r="AT228" s="1119"/>
      <c r="AU228" s="1119">
        <v>28000</v>
      </c>
      <c r="AV228" s="1119"/>
      <c r="AW228" s="1119"/>
      <c r="AX228" s="1119"/>
      <c r="AY228" s="1119"/>
      <c r="AZ228" s="1119"/>
      <c r="BA228" s="1119"/>
      <c r="BB228" s="1119"/>
      <c r="BC228" s="1119">
        <v>28000</v>
      </c>
      <c r="BD228" s="1119"/>
      <c r="BE228" s="1119"/>
      <c r="BF228" s="1119"/>
      <c r="BG228" s="1119">
        <v>18237</v>
      </c>
      <c r="BH228" s="1119"/>
      <c r="BI228" s="1119"/>
      <c r="BJ228" s="1119"/>
      <c r="BK228" s="1119">
        <v>0</v>
      </c>
      <c r="BL228" s="1119"/>
      <c r="BM228" s="1119"/>
      <c r="BN228" s="1119"/>
      <c r="BO228" s="1119"/>
    </row>
    <row r="229" spans="1:71" ht="13.5" customHeight="1" x14ac:dyDescent="0.2">
      <c r="A229" s="1087" t="s">
        <v>625</v>
      </c>
      <c r="B229" s="1087"/>
      <c r="C229" s="1087"/>
      <c r="D229" s="1087"/>
      <c r="E229" s="1087"/>
      <c r="F229" s="1087"/>
      <c r="G229" s="1087"/>
      <c r="H229" s="1087"/>
      <c r="I229" s="1087"/>
      <c r="J229" s="1087"/>
      <c r="K229" s="1087"/>
      <c r="L229" s="1087"/>
      <c r="M229" s="1087"/>
      <c r="N229" s="1087"/>
      <c r="O229" s="1087"/>
      <c r="P229" s="1087"/>
      <c r="Q229" s="1087"/>
      <c r="R229" s="1087"/>
      <c r="S229" s="1086">
        <v>0</v>
      </c>
      <c r="T229" s="1086"/>
      <c r="U229" s="1086"/>
      <c r="V229" s="1086"/>
      <c r="W229" s="1086"/>
      <c r="X229" s="1086">
        <v>0</v>
      </c>
      <c r="Y229" s="1086"/>
      <c r="Z229" s="1086"/>
      <c r="AA229" s="1086"/>
      <c r="AB229" s="1086"/>
      <c r="AC229" s="1086"/>
      <c r="AD229" s="1086">
        <v>0</v>
      </c>
      <c r="AE229" s="1086"/>
      <c r="AF229" s="1086"/>
      <c r="AG229" s="1086"/>
      <c r="AH229" s="1086"/>
      <c r="AI229" s="1086"/>
      <c r="AJ229" s="1086">
        <v>0</v>
      </c>
      <c r="AK229" s="1086"/>
      <c r="AL229" s="1086"/>
      <c r="AM229" s="1086"/>
      <c r="AN229" s="1086"/>
      <c r="AO229" s="1086"/>
      <c r="AP229" s="1086"/>
      <c r="AQ229" s="1086"/>
      <c r="AR229" s="1086"/>
      <c r="AS229" s="1086"/>
      <c r="AT229" s="1086"/>
      <c r="AU229" s="1086">
        <v>0</v>
      </c>
      <c r="AV229" s="1086"/>
      <c r="AW229" s="1086"/>
      <c r="AX229" s="1086"/>
      <c r="AY229" s="1086"/>
      <c r="AZ229" s="1086"/>
      <c r="BA229" s="1086"/>
      <c r="BB229" s="1086"/>
      <c r="BC229" s="1086">
        <v>0</v>
      </c>
      <c r="BD229" s="1086"/>
      <c r="BE229" s="1086"/>
      <c r="BF229" s="1086"/>
      <c r="BG229" s="1086">
        <v>0</v>
      </c>
      <c r="BH229" s="1086"/>
      <c r="BI229" s="1086"/>
      <c r="BJ229" s="1086"/>
      <c r="BK229" s="1086">
        <v>0</v>
      </c>
      <c r="BL229" s="1086"/>
      <c r="BM229" s="1086"/>
      <c r="BN229" s="1086"/>
      <c r="BO229" s="1086"/>
    </row>
    <row r="230" spans="1:71" ht="13.5" customHeight="1" x14ac:dyDescent="0.2">
      <c r="A230" s="1087" t="s">
        <v>626</v>
      </c>
      <c r="B230" s="1087"/>
      <c r="C230" s="1087"/>
      <c r="D230" s="1087"/>
      <c r="E230" s="1087"/>
      <c r="F230" s="1087"/>
      <c r="G230" s="1087"/>
      <c r="H230" s="1087"/>
      <c r="I230" s="1087"/>
      <c r="J230" s="1087"/>
      <c r="K230" s="1087"/>
      <c r="L230" s="1087"/>
      <c r="M230" s="1087"/>
      <c r="N230" s="1087"/>
      <c r="O230" s="1087"/>
      <c r="P230" s="1087"/>
      <c r="Q230" s="1087"/>
      <c r="R230" s="1087"/>
      <c r="S230" s="1086">
        <v>0</v>
      </c>
      <c r="T230" s="1086"/>
      <c r="U230" s="1086"/>
      <c r="V230" s="1086"/>
      <c r="W230" s="1086"/>
      <c r="X230" s="1086">
        <v>0</v>
      </c>
      <c r="Y230" s="1086"/>
      <c r="Z230" s="1086"/>
      <c r="AA230" s="1086"/>
      <c r="AB230" s="1086"/>
      <c r="AC230" s="1086"/>
      <c r="AD230" s="1086">
        <v>0</v>
      </c>
      <c r="AE230" s="1086"/>
      <c r="AF230" s="1086"/>
      <c r="AG230" s="1086"/>
      <c r="AH230" s="1086"/>
      <c r="AI230" s="1086"/>
      <c r="AJ230" s="1086">
        <v>0</v>
      </c>
      <c r="AK230" s="1086"/>
      <c r="AL230" s="1086"/>
      <c r="AM230" s="1086"/>
      <c r="AN230" s="1086"/>
      <c r="AO230" s="1086"/>
      <c r="AP230" s="1086"/>
      <c r="AQ230" s="1086"/>
      <c r="AR230" s="1086"/>
      <c r="AS230" s="1086"/>
      <c r="AT230" s="1086"/>
      <c r="AU230" s="1086">
        <v>0</v>
      </c>
      <c r="AV230" s="1086"/>
      <c r="AW230" s="1086"/>
      <c r="AX230" s="1086"/>
      <c r="AY230" s="1086"/>
      <c r="AZ230" s="1086"/>
      <c r="BA230" s="1086"/>
      <c r="BB230" s="1086"/>
      <c r="BC230" s="1086">
        <v>0</v>
      </c>
      <c r="BD230" s="1086"/>
      <c r="BE230" s="1086"/>
      <c r="BF230" s="1086"/>
      <c r="BG230" s="1086">
        <v>0</v>
      </c>
      <c r="BH230" s="1086"/>
      <c r="BI230" s="1086"/>
      <c r="BJ230" s="1086"/>
      <c r="BK230" s="1086">
        <v>0</v>
      </c>
      <c r="BL230" s="1086"/>
      <c r="BM230" s="1086"/>
      <c r="BN230" s="1086"/>
      <c r="BO230" s="1086"/>
      <c r="BP230" s="366">
        <f>S235</f>
        <v>899733</v>
      </c>
      <c r="BQ230" s="366">
        <f>X235</f>
        <v>566667</v>
      </c>
      <c r="BR230" s="366">
        <f>AD235</f>
        <v>678581</v>
      </c>
      <c r="BS230" s="5" t="s">
        <v>1430</v>
      </c>
    </row>
    <row r="231" spans="1:71" s="365" customFormat="1" ht="13.5" customHeight="1" x14ac:dyDescent="0.2">
      <c r="A231" s="1120" t="s">
        <v>627</v>
      </c>
      <c r="B231" s="1120"/>
      <c r="C231" s="1120"/>
      <c r="D231" s="1120"/>
      <c r="E231" s="1120"/>
      <c r="F231" s="1120"/>
      <c r="G231" s="1120"/>
      <c r="H231" s="1120"/>
      <c r="I231" s="1120"/>
      <c r="J231" s="1120"/>
      <c r="K231" s="1120"/>
      <c r="L231" s="1120"/>
      <c r="M231" s="1120"/>
      <c r="N231" s="1120"/>
      <c r="O231" s="1120"/>
      <c r="P231" s="1120"/>
      <c r="Q231" s="1120"/>
      <c r="R231" s="1120"/>
      <c r="S231" s="1119">
        <v>4689554</v>
      </c>
      <c r="T231" s="1119"/>
      <c r="U231" s="1119"/>
      <c r="V231" s="1119"/>
      <c r="W231" s="1119"/>
      <c r="X231" s="1119">
        <v>4492885</v>
      </c>
      <c r="Y231" s="1119"/>
      <c r="Z231" s="1119"/>
      <c r="AA231" s="1119"/>
      <c r="AB231" s="1119"/>
      <c r="AC231" s="1119"/>
      <c r="AD231" s="1119">
        <v>3814306</v>
      </c>
      <c r="AE231" s="1119"/>
      <c r="AF231" s="1119"/>
      <c r="AG231" s="1119"/>
      <c r="AH231" s="1119"/>
      <c r="AI231" s="1119"/>
      <c r="AJ231" s="1119">
        <v>2953000</v>
      </c>
      <c r="AK231" s="1119"/>
      <c r="AL231" s="1119"/>
      <c r="AM231" s="1119"/>
      <c r="AN231" s="1119"/>
      <c r="AO231" s="1119"/>
      <c r="AP231" s="1119"/>
      <c r="AQ231" s="1119"/>
      <c r="AR231" s="1119"/>
      <c r="AS231" s="1119"/>
      <c r="AT231" s="1119"/>
      <c r="AU231" s="1119">
        <v>2116719</v>
      </c>
      <c r="AV231" s="1119"/>
      <c r="AW231" s="1119"/>
      <c r="AX231" s="1119"/>
      <c r="AY231" s="1119"/>
      <c r="AZ231" s="1119"/>
      <c r="BA231" s="1119"/>
      <c r="BB231" s="1119"/>
      <c r="BC231" s="1119">
        <v>1465082</v>
      </c>
      <c r="BD231" s="1119"/>
      <c r="BE231" s="1119"/>
      <c r="BF231" s="1119"/>
      <c r="BG231" s="1119">
        <v>904419</v>
      </c>
      <c r="BH231" s="1119"/>
      <c r="BI231" s="1119"/>
      <c r="BJ231" s="1119"/>
      <c r="BK231" s="1119">
        <v>-1</v>
      </c>
      <c r="BL231" s="1119"/>
      <c r="BM231" s="1119"/>
      <c r="BN231" s="1119"/>
      <c r="BO231" s="1119"/>
      <c r="BQ231" s="655">
        <f>S231-X231</f>
        <v>196669</v>
      </c>
      <c r="BR231" s="655">
        <f>X231-AD231</f>
        <v>678579</v>
      </c>
      <c r="BS231" s="365" t="s">
        <v>1431</v>
      </c>
    </row>
    <row r="232" spans="1:71" ht="13.5" customHeight="1" x14ac:dyDescent="0.2">
      <c r="A232" s="1087" t="s">
        <v>628</v>
      </c>
      <c r="B232" s="1087"/>
      <c r="C232" s="1087"/>
      <c r="D232" s="1087"/>
      <c r="E232" s="1087"/>
      <c r="F232" s="1087"/>
      <c r="G232" s="1087"/>
      <c r="H232" s="1087"/>
      <c r="I232" s="1087"/>
      <c r="J232" s="1087"/>
      <c r="K232" s="1087"/>
      <c r="L232" s="1087"/>
      <c r="M232" s="1087"/>
      <c r="N232" s="1087"/>
      <c r="O232" s="1087"/>
      <c r="P232" s="1087"/>
      <c r="Q232" s="1087"/>
      <c r="R232" s="1087"/>
      <c r="S232" s="1092" t="s">
        <v>535</v>
      </c>
      <c r="T232" s="1092"/>
      <c r="U232" s="1092"/>
      <c r="V232" s="1092"/>
      <c r="W232" s="1092"/>
      <c r="X232" s="1092" t="s">
        <v>535</v>
      </c>
      <c r="Y232" s="1092"/>
      <c r="Z232" s="1092"/>
      <c r="AA232" s="1092"/>
      <c r="AB232" s="1092"/>
      <c r="AC232" s="1092"/>
      <c r="AD232" s="1092" t="s">
        <v>535</v>
      </c>
      <c r="AE232" s="1092"/>
      <c r="AF232" s="1092"/>
      <c r="AG232" s="1092"/>
      <c r="AH232" s="1092"/>
      <c r="AI232" s="1092"/>
      <c r="AJ232" s="1092" t="s">
        <v>535</v>
      </c>
      <c r="AK232" s="1092"/>
      <c r="AL232" s="1092"/>
      <c r="AM232" s="1092"/>
      <c r="AN232" s="1092"/>
      <c r="AO232" s="1092"/>
      <c r="AP232" s="1092"/>
      <c r="AQ232" s="1092"/>
      <c r="AR232" s="1092"/>
      <c r="AS232" s="1092"/>
      <c r="AT232" s="1092"/>
      <c r="AU232" s="1092" t="s">
        <v>535</v>
      </c>
      <c r="AV232" s="1092"/>
      <c r="AW232" s="1092"/>
      <c r="AX232" s="1092"/>
      <c r="AY232" s="1092"/>
      <c r="AZ232" s="1092"/>
      <c r="BA232" s="1092"/>
      <c r="BB232" s="1092"/>
      <c r="BC232" s="1092" t="s">
        <v>535</v>
      </c>
      <c r="BD232" s="1092"/>
      <c r="BE232" s="1092"/>
      <c r="BF232" s="1092"/>
      <c r="BG232" s="1092" t="s">
        <v>535</v>
      </c>
      <c r="BH232" s="1092"/>
      <c r="BI232" s="1092"/>
      <c r="BJ232" s="1092"/>
      <c r="BK232" s="1092" t="s">
        <v>535</v>
      </c>
      <c r="BL232" s="1092"/>
      <c r="BM232" s="1092"/>
      <c r="BN232" s="1092"/>
      <c r="BO232" s="1092"/>
      <c r="BQ232" s="366">
        <f>BQ230-BQ231</f>
        <v>369998</v>
      </c>
      <c r="BR232" s="366">
        <f>BR230-BR231</f>
        <v>2</v>
      </c>
      <c r="BS232" s="5" t="s">
        <v>1432</v>
      </c>
    </row>
    <row r="233" spans="1:71" ht="26" customHeight="1" x14ac:dyDescent="0.2">
      <c r="A233" s="1087" t="s">
        <v>629</v>
      </c>
      <c r="B233" s="1087"/>
      <c r="C233" s="1087"/>
      <c r="D233" s="1087"/>
      <c r="E233" s="1087"/>
      <c r="F233" s="1087"/>
      <c r="G233" s="1087"/>
      <c r="H233" s="1087"/>
      <c r="I233" s="1087"/>
      <c r="J233" s="1087"/>
      <c r="K233" s="1087"/>
      <c r="L233" s="1087"/>
      <c r="M233" s="1087"/>
      <c r="N233" s="1087"/>
      <c r="O233" s="1087"/>
      <c r="P233" s="1087"/>
      <c r="Q233" s="1087"/>
      <c r="R233" s="1087"/>
      <c r="S233" s="1086">
        <v>0</v>
      </c>
      <c r="T233" s="1086"/>
      <c r="U233" s="1086"/>
      <c r="V233" s="1086"/>
      <c r="W233" s="1086"/>
      <c r="X233" s="1086">
        <v>0</v>
      </c>
      <c r="Y233" s="1086"/>
      <c r="Z233" s="1086"/>
      <c r="AA233" s="1086"/>
      <c r="AB233" s="1086"/>
      <c r="AC233" s="1086"/>
      <c r="AD233" s="1086">
        <v>0</v>
      </c>
      <c r="AE233" s="1086"/>
      <c r="AF233" s="1086"/>
      <c r="AG233" s="1086"/>
      <c r="AH233" s="1086"/>
      <c r="AI233" s="1086"/>
      <c r="AJ233" s="1086">
        <v>0</v>
      </c>
      <c r="AK233" s="1086"/>
      <c r="AL233" s="1086"/>
      <c r="AM233" s="1086"/>
      <c r="AN233" s="1086"/>
      <c r="AO233" s="1086"/>
      <c r="AP233" s="1086"/>
      <c r="AQ233" s="1086"/>
      <c r="AR233" s="1086"/>
      <c r="AS233" s="1086"/>
      <c r="AT233" s="1086"/>
      <c r="AU233" s="1086">
        <v>0</v>
      </c>
      <c r="AV233" s="1086"/>
      <c r="AW233" s="1086"/>
      <c r="AX233" s="1086"/>
      <c r="AY233" s="1086"/>
      <c r="AZ233" s="1086"/>
      <c r="BA233" s="1086"/>
      <c r="BB233" s="1086"/>
      <c r="BC233" s="1086">
        <v>0</v>
      </c>
      <c r="BD233" s="1086"/>
      <c r="BE233" s="1086"/>
      <c r="BF233" s="1086"/>
      <c r="BG233" s="1086">
        <v>0</v>
      </c>
      <c r="BH233" s="1086"/>
      <c r="BI233" s="1086"/>
      <c r="BJ233" s="1086"/>
      <c r="BK233" s="1086">
        <v>0</v>
      </c>
      <c r="BL233" s="1086"/>
      <c r="BM233" s="1086"/>
      <c r="BN233" s="1086"/>
      <c r="BO233" s="1086"/>
    </row>
    <row r="234" spans="1:71" ht="13.5" customHeight="1" x14ac:dyDescent="0.2">
      <c r="A234" s="1087" t="s">
        <v>630</v>
      </c>
      <c r="B234" s="1087"/>
      <c r="C234" s="1087"/>
      <c r="D234" s="1087"/>
      <c r="E234" s="1087"/>
      <c r="F234" s="1087"/>
      <c r="G234" s="1087"/>
      <c r="H234" s="1087"/>
      <c r="I234" s="1087"/>
      <c r="J234" s="1087"/>
      <c r="K234" s="1087"/>
      <c r="L234" s="1087"/>
      <c r="M234" s="1087"/>
      <c r="N234" s="1087"/>
      <c r="O234" s="1087"/>
      <c r="P234" s="1087"/>
      <c r="Q234" s="1087"/>
      <c r="R234" s="1087"/>
      <c r="S234" s="1086">
        <v>0</v>
      </c>
      <c r="T234" s="1086"/>
      <c r="U234" s="1086"/>
      <c r="V234" s="1086"/>
      <c r="W234" s="1086"/>
      <c r="X234" s="1086">
        <v>0</v>
      </c>
      <c r="Y234" s="1086"/>
      <c r="Z234" s="1086"/>
      <c r="AA234" s="1086"/>
      <c r="AB234" s="1086"/>
      <c r="AC234" s="1086"/>
      <c r="AD234" s="1086">
        <v>0</v>
      </c>
      <c r="AE234" s="1086"/>
      <c r="AF234" s="1086"/>
      <c r="AG234" s="1086"/>
      <c r="AH234" s="1086"/>
      <c r="AI234" s="1086"/>
      <c r="AJ234" s="1086">
        <v>0</v>
      </c>
      <c r="AK234" s="1086"/>
      <c r="AL234" s="1086"/>
      <c r="AM234" s="1086"/>
      <c r="AN234" s="1086"/>
      <c r="AO234" s="1086"/>
      <c r="AP234" s="1086"/>
      <c r="AQ234" s="1086"/>
      <c r="AR234" s="1086"/>
      <c r="AS234" s="1086"/>
      <c r="AT234" s="1086"/>
      <c r="AU234" s="1086">
        <v>0</v>
      </c>
      <c r="AV234" s="1086"/>
      <c r="AW234" s="1086"/>
      <c r="AX234" s="1086"/>
      <c r="AY234" s="1086"/>
      <c r="AZ234" s="1086"/>
      <c r="BA234" s="1086"/>
      <c r="BB234" s="1086"/>
      <c r="BC234" s="1086">
        <v>0</v>
      </c>
      <c r="BD234" s="1086"/>
      <c r="BE234" s="1086"/>
      <c r="BF234" s="1086"/>
      <c r="BG234" s="1086">
        <v>0</v>
      </c>
      <c r="BH234" s="1086"/>
      <c r="BI234" s="1086"/>
      <c r="BJ234" s="1086"/>
      <c r="BK234" s="1086">
        <v>557913</v>
      </c>
      <c r="BL234" s="1086"/>
      <c r="BM234" s="1086"/>
      <c r="BN234" s="1086"/>
      <c r="BO234" s="1086"/>
    </row>
    <row r="235" spans="1:71" ht="13.5" customHeight="1" x14ac:dyDescent="0.2">
      <c r="A235" s="1087" t="s">
        <v>631</v>
      </c>
      <c r="B235" s="1087"/>
      <c r="C235" s="1087"/>
      <c r="D235" s="1087"/>
      <c r="E235" s="1087"/>
      <c r="F235" s="1087"/>
      <c r="G235" s="1087"/>
      <c r="H235" s="1087"/>
      <c r="I235" s="1087"/>
      <c r="J235" s="1087"/>
      <c r="K235" s="1087"/>
      <c r="L235" s="1087"/>
      <c r="M235" s="1087"/>
      <c r="N235" s="1087"/>
      <c r="O235" s="1087"/>
      <c r="P235" s="1087"/>
      <c r="Q235" s="1087"/>
      <c r="R235" s="1087"/>
      <c r="S235" s="1086">
        <v>899733</v>
      </c>
      <c r="T235" s="1086"/>
      <c r="U235" s="1086"/>
      <c r="V235" s="1086"/>
      <c r="W235" s="1086"/>
      <c r="X235" s="1086">
        <v>566667</v>
      </c>
      <c r="Y235" s="1086"/>
      <c r="Z235" s="1086"/>
      <c r="AA235" s="1086"/>
      <c r="AB235" s="1086"/>
      <c r="AC235" s="1086"/>
      <c r="AD235" s="1086">
        <v>678581</v>
      </c>
      <c r="AE235" s="1086"/>
      <c r="AF235" s="1086"/>
      <c r="AG235" s="1086"/>
      <c r="AH235" s="1086"/>
      <c r="AI235" s="1086"/>
      <c r="AJ235" s="1086">
        <v>961303</v>
      </c>
      <c r="AK235" s="1086"/>
      <c r="AL235" s="1086"/>
      <c r="AM235" s="1086"/>
      <c r="AN235" s="1086"/>
      <c r="AO235" s="1086"/>
      <c r="AP235" s="1086"/>
      <c r="AQ235" s="1086"/>
      <c r="AR235" s="1086"/>
      <c r="AS235" s="1086"/>
      <c r="AT235" s="1086"/>
      <c r="AU235" s="1086">
        <v>921282</v>
      </c>
      <c r="AV235" s="1086"/>
      <c r="AW235" s="1086"/>
      <c r="AX235" s="1086"/>
      <c r="AY235" s="1086"/>
      <c r="AZ235" s="1086"/>
      <c r="BA235" s="1086"/>
      <c r="BB235" s="1086"/>
      <c r="BC235" s="1086">
        <v>751636</v>
      </c>
      <c r="BD235" s="1086"/>
      <c r="BE235" s="1086"/>
      <c r="BF235" s="1086"/>
      <c r="BG235" s="1086">
        <v>670425</v>
      </c>
      <c r="BH235" s="1086"/>
      <c r="BI235" s="1086"/>
      <c r="BJ235" s="1086"/>
      <c r="BK235" s="1086">
        <v>364746</v>
      </c>
      <c r="BL235" s="1086"/>
      <c r="BM235" s="1086"/>
      <c r="BN235" s="1086"/>
      <c r="BO235" s="1086"/>
    </row>
    <row r="236" spans="1:71" ht="13.5" customHeight="1" x14ac:dyDescent="0.2">
      <c r="A236" s="1087" t="s">
        <v>632</v>
      </c>
      <c r="B236" s="1087"/>
      <c r="C236" s="1087"/>
      <c r="D236" s="1087"/>
      <c r="E236" s="1087"/>
      <c r="F236" s="1087"/>
      <c r="G236" s="1087"/>
      <c r="H236" s="1087"/>
      <c r="I236" s="1087"/>
      <c r="J236" s="1087"/>
      <c r="K236" s="1087"/>
      <c r="L236" s="1087"/>
      <c r="M236" s="1087"/>
      <c r="N236" s="1087"/>
      <c r="O236" s="1087"/>
      <c r="P236" s="1087"/>
      <c r="Q236" s="1087"/>
      <c r="R236" s="1087"/>
      <c r="S236" s="1086">
        <v>0</v>
      </c>
      <c r="T236" s="1086"/>
      <c r="U236" s="1086"/>
      <c r="V236" s="1086"/>
      <c r="W236" s="1086"/>
      <c r="X236" s="1086">
        <v>0</v>
      </c>
      <c r="Y236" s="1086"/>
      <c r="Z236" s="1086"/>
      <c r="AA236" s="1086"/>
      <c r="AB236" s="1086"/>
      <c r="AC236" s="1086"/>
      <c r="AD236" s="1086">
        <v>0</v>
      </c>
      <c r="AE236" s="1086"/>
      <c r="AF236" s="1086"/>
      <c r="AG236" s="1086"/>
      <c r="AH236" s="1086"/>
      <c r="AI236" s="1086"/>
      <c r="AJ236" s="1086">
        <v>0</v>
      </c>
      <c r="AK236" s="1086"/>
      <c r="AL236" s="1086"/>
      <c r="AM236" s="1086"/>
      <c r="AN236" s="1086"/>
      <c r="AO236" s="1086"/>
      <c r="AP236" s="1086"/>
      <c r="AQ236" s="1086"/>
      <c r="AR236" s="1086"/>
      <c r="AS236" s="1086"/>
      <c r="AT236" s="1086"/>
      <c r="AU236" s="1086">
        <v>0</v>
      </c>
      <c r="AV236" s="1086"/>
      <c r="AW236" s="1086"/>
      <c r="AX236" s="1086"/>
      <c r="AY236" s="1086"/>
      <c r="AZ236" s="1086"/>
      <c r="BA236" s="1086"/>
      <c r="BB236" s="1086"/>
      <c r="BC236" s="1086">
        <v>0</v>
      </c>
      <c r="BD236" s="1086"/>
      <c r="BE236" s="1086"/>
      <c r="BF236" s="1086"/>
      <c r="BG236" s="1086">
        <v>0</v>
      </c>
      <c r="BH236" s="1086"/>
      <c r="BI236" s="1086"/>
      <c r="BJ236" s="1086"/>
      <c r="BK236" s="1086">
        <v>0</v>
      </c>
      <c r="BL236" s="1086"/>
      <c r="BM236" s="1086"/>
      <c r="BN236" s="1086"/>
      <c r="BO236" s="1086"/>
    </row>
    <row r="237" spans="1:71" ht="13.5" customHeight="1" x14ac:dyDescent="0.2">
      <c r="A237" s="1087" t="s">
        <v>633</v>
      </c>
      <c r="B237" s="1087"/>
      <c r="C237" s="1087"/>
      <c r="D237" s="1087"/>
      <c r="E237" s="1087"/>
      <c r="F237" s="1087"/>
      <c r="G237" s="1087"/>
      <c r="H237" s="1087"/>
      <c r="I237" s="1087"/>
      <c r="J237" s="1087"/>
      <c r="K237" s="1087"/>
      <c r="L237" s="1087"/>
      <c r="M237" s="1087"/>
      <c r="N237" s="1087"/>
      <c r="O237" s="1087"/>
      <c r="P237" s="1087"/>
      <c r="Q237" s="1087"/>
      <c r="R237" s="1087"/>
      <c r="S237" s="1086">
        <v>0</v>
      </c>
      <c r="T237" s="1086"/>
      <c r="U237" s="1086"/>
      <c r="V237" s="1086"/>
      <c r="W237" s="1086"/>
      <c r="X237" s="1086">
        <v>0</v>
      </c>
      <c r="Y237" s="1086"/>
      <c r="Z237" s="1086"/>
      <c r="AA237" s="1086"/>
      <c r="AB237" s="1086"/>
      <c r="AC237" s="1086"/>
      <c r="AD237" s="1086">
        <v>0</v>
      </c>
      <c r="AE237" s="1086"/>
      <c r="AF237" s="1086"/>
      <c r="AG237" s="1086"/>
      <c r="AH237" s="1086"/>
      <c r="AI237" s="1086"/>
      <c r="AJ237" s="1086">
        <v>0</v>
      </c>
      <c r="AK237" s="1086"/>
      <c r="AL237" s="1086"/>
      <c r="AM237" s="1086"/>
      <c r="AN237" s="1086"/>
      <c r="AO237" s="1086"/>
      <c r="AP237" s="1086"/>
      <c r="AQ237" s="1086"/>
      <c r="AR237" s="1086"/>
      <c r="AS237" s="1086"/>
      <c r="AT237" s="1086"/>
      <c r="AU237" s="1086">
        <v>0</v>
      </c>
      <c r="AV237" s="1086"/>
      <c r="AW237" s="1086"/>
      <c r="AX237" s="1086"/>
      <c r="AY237" s="1086"/>
      <c r="AZ237" s="1086"/>
      <c r="BA237" s="1086"/>
      <c r="BB237" s="1086"/>
      <c r="BC237" s="1086">
        <v>0</v>
      </c>
      <c r="BD237" s="1086"/>
      <c r="BE237" s="1086"/>
      <c r="BF237" s="1086"/>
      <c r="BG237" s="1086">
        <v>0</v>
      </c>
      <c r="BH237" s="1086"/>
      <c r="BI237" s="1086"/>
      <c r="BJ237" s="1086"/>
      <c r="BK237" s="1086">
        <v>0</v>
      </c>
      <c r="BL237" s="1086"/>
      <c r="BM237" s="1086"/>
      <c r="BN237" s="1086"/>
      <c r="BO237" s="1086"/>
    </row>
    <row r="238" spans="1:71" ht="26" customHeight="1" x14ac:dyDescent="0.2">
      <c r="A238" s="1087" t="s">
        <v>634</v>
      </c>
      <c r="B238" s="1087"/>
      <c r="C238" s="1087"/>
      <c r="D238" s="1087"/>
      <c r="E238" s="1087"/>
      <c r="F238" s="1087"/>
      <c r="G238" s="1087"/>
      <c r="H238" s="1087"/>
      <c r="I238" s="1087"/>
      <c r="J238" s="1087"/>
      <c r="K238" s="1087"/>
      <c r="L238" s="1087"/>
      <c r="M238" s="1087"/>
      <c r="N238" s="1087"/>
      <c r="O238" s="1087"/>
      <c r="P238" s="1087"/>
      <c r="Q238" s="1087"/>
      <c r="R238" s="1087"/>
      <c r="S238" s="1086">
        <v>0</v>
      </c>
      <c r="T238" s="1086"/>
      <c r="U238" s="1086"/>
      <c r="V238" s="1086"/>
      <c r="W238" s="1086"/>
      <c r="X238" s="1086">
        <v>0</v>
      </c>
      <c r="Y238" s="1086"/>
      <c r="Z238" s="1086"/>
      <c r="AA238" s="1086"/>
      <c r="AB238" s="1086"/>
      <c r="AC238" s="1086"/>
      <c r="AD238" s="1086">
        <v>0</v>
      </c>
      <c r="AE238" s="1086"/>
      <c r="AF238" s="1086"/>
      <c r="AG238" s="1086"/>
      <c r="AH238" s="1086"/>
      <c r="AI238" s="1086"/>
      <c r="AJ238" s="1086">
        <v>0</v>
      </c>
      <c r="AK238" s="1086"/>
      <c r="AL238" s="1086"/>
      <c r="AM238" s="1086"/>
      <c r="AN238" s="1086"/>
      <c r="AO238" s="1086"/>
      <c r="AP238" s="1086"/>
      <c r="AQ238" s="1086"/>
      <c r="AR238" s="1086"/>
      <c r="AS238" s="1086"/>
      <c r="AT238" s="1086"/>
      <c r="AU238" s="1086">
        <v>0</v>
      </c>
      <c r="AV238" s="1086"/>
      <c r="AW238" s="1086"/>
      <c r="AX238" s="1086"/>
      <c r="AY238" s="1086"/>
      <c r="AZ238" s="1086"/>
      <c r="BA238" s="1086"/>
      <c r="BB238" s="1086"/>
      <c r="BC238" s="1086">
        <v>0</v>
      </c>
      <c r="BD238" s="1086"/>
      <c r="BE238" s="1086"/>
      <c r="BF238" s="1086"/>
      <c r="BG238" s="1086">
        <v>0</v>
      </c>
      <c r="BH238" s="1086"/>
      <c r="BI238" s="1086"/>
      <c r="BJ238" s="1086"/>
      <c r="BK238" s="1086">
        <v>0</v>
      </c>
      <c r="BL238" s="1086"/>
      <c r="BM238" s="1086"/>
      <c r="BN238" s="1086"/>
      <c r="BO238" s="1086"/>
    </row>
    <row r="239" spans="1:71" ht="13.5" customHeight="1" x14ac:dyDescent="0.2">
      <c r="A239" s="1087" t="s">
        <v>635</v>
      </c>
      <c r="B239" s="1087"/>
      <c r="C239" s="1087"/>
      <c r="D239" s="1087"/>
      <c r="E239" s="1087"/>
      <c r="F239" s="1087"/>
      <c r="G239" s="1087"/>
      <c r="H239" s="1087"/>
      <c r="I239" s="1087"/>
      <c r="J239" s="1087"/>
      <c r="K239" s="1087"/>
      <c r="L239" s="1087"/>
      <c r="M239" s="1087"/>
      <c r="N239" s="1087"/>
      <c r="O239" s="1087"/>
      <c r="P239" s="1087"/>
      <c r="Q239" s="1087"/>
      <c r="R239" s="1087"/>
      <c r="S239" s="1092" t="s">
        <v>535</v>
      </c>
      <c r="T239" s="1092"/>
      <c r="U239" s="1092"/>
      <c r="V239" s="1092"/>
      <c r="W239" s="1092"/>
      <c r="X239" s="1092" t="s">
        <v>535</v>
      </c>
      <c r="Y239" s="1092"/>
      <c r="Z239" s="1092"/>
      <c r="AA239" s="1092"/>
      <c r="AB239" s="1092"/>
      <c r="AC239" s="1092"/>
      <c r="AD239" s="1092" t="s">
        <v>535</v>
      </c>
      <c r="AE239" s="1092"/>
      <c r="AF239" s="1092"/>
      <c r="AG239" s="1092"/>
      <c r="AH239" s="1092"/>
      <c r="AI239" s="1092"/>
      <c r="AJ239" s="1092" t="s">
        <v>535</v>
      </c>
      <c r="AK239" s="1092"/>
      <c r="AL239" s="1092"/>
      <c r="AM239" s="1092"/>
      <c r="AN239" s="1092"/>
      <c r="AO239" s="1092"/>
      <c r="AP239" s="1092"/>
      <c r="AQ239" s="1092"/>
      <c r="AR239" s="1092"/>
      <c r="AS239" s="1092"/>
      <c r="AT239" s="1092"/>
      <c r="AU239" s="1092" t="s">
        <v>535</v>
      </c>
      <c r="AV239" s="1092"/>
      <c r="AW239" s="1092"/>
      <c r="AX239" s="1092"/>
      <c r="AY239" s="1092"/>
      <c r="AZ239" s="1092"/>
      <c r="BA239" s="1092"/>
      <c r="BB239" s="1092"/>
      <c r="BC239" s="1092" t="s">
        <v>535</v>
      </c>
      <c r="BD239" s="1092"/>
      <c r="BE239" s="1092"/>
      <c r="BF239" s="1092"/>
      <c r="BG239" s="1092" t="s">
        <v>535</v>
      </c>
      <c r="BH239" s="1092"/>
      <c r="BI239" s="1092"/>
      <c r="BJ239" s="1092"/>
      <c r="BK239" s="1092" t="s">
        <v>535</v>
      </c>
      <c r="BL239" s="1092"/>
      <c r="BM239" s="1092"/>
      <c r="BN239" s="1092"/>
      <c r="BO239" s="1092"/>
    </row>
    <row r="240" spans="1:71" ht="13.5" customHeight="1" x14ac:dyDescent="0.2">
      <c r="A240" s="1087" t="s">
        <v>636</v>
      </c>
      <c r="B240" s="1087"/>
      <c r="C240" s="1087"/>
      <c r="D240" s="1087"/>
      <c r="E240" s="1087"/>
      <c r="F240" s="1087"/>
      <c r="G240" s="1087"/>
      <c r="H240" s="1087"/>
      <c r="I240" s="1087"/>
      <c r="J240" s="1087"/>
      <c r="K240" s="1087"/>
      <c r="L240" s="1087"/>
      <c r="M240" s="1087"/>
      <c r="N240" s="1087"/>
      <c r="O240" s="1087"/>
      <c r="P240" s="1087"/>
      <c r="Q240" s="1087"/>
      <c r="R240" s="1087"/>
      <c r="S240" s="1092" t="s">
        <v>535</v>
      </c>
      <c r="T240" s="1092"/>
      <c r="U240" s="1092"/>
      <c r="V240" s="1092"/>
      <c r="W240" s="1092"/>
      <c r="X240" s="1092" t="s">
        <v>535</v>
      </c>
      <c r="Y240" s="1092"/>
      <c r="Z240" s="1092"/>
      <c r="AA240" s="1092"/>
      <c r="AB240" s="1092"/>
      <c r="AC240" s="1092"/>
      <c r="AD240" s="1092" t="s">
        <v>535</v>
      </c>
      <c r="AE240" s="1092"/>
      <c r="AF240" s="1092"/>
      <c r="AG240" s="1092"/>
      <c r="AH240" s="1092"/>
      <c r="AI240" s="1092"/>
      <c r="AJ240" s="1092" t="s">
        <v>535</v>
      </c>
      <c r="AK240" s="1092"/>
      <c r="AL240" s="1092"/>
      <c r="AM240" s="1092"/>
      <c r="AN240" s="1092"/>
      <c r="AO240" s="1092"/>
      <c r="AP240" s="1092"/>
      <c r="AQ240" s="1092"/>
      <c r="AR240" s="1092"/>
      <c r="AS240" s="1092"/>
      <c r="AT240" s="1092"/>
      <c r="AU240" s="1092" t="s">
        <v>535</v>
      </c>
      <c r="AV240" s="1092"/>
      <c r="AW240" s="1092"/>
      <c r="AX240" s="1092"/>
      <c r="AY240" s="1092"/>
      <c r="AZ240" s="1092"/>
      <c r="BA240" s="1092"/>
      <c r="BB240" s="1092"/>
      <c r="BC240" s="1092" t="s">
        <v>535</v>
      </c>
      <c r="BD240" s="1092"/>
      <c r="BE240" s="1092"/>
      <c r="BF240" s="1092"/>
      <c r="BG240" s="1092" t="s">
        <v>535</v>
      </c>
      <c r="BH240" s="1092"/>
      <c r="BI240" s="1092"/>
      <c r="BJ240" s="1092"/>
      <c r="BK240" s="1092" t="s">
        <v>535</v>
      </c>
      <c r="BL240" s="1092"/>
      <c r="BM240" s="1092"/>
      <c r="BN240" s="1092"/>
      <c r="BO240" s="1092"/>
    </row>
    <row r="241" spans="1:67" ht="13.5" customHeight="1" x14ac:dyDescent="0.2">
      <c r="A241" s="1087" t="s">
        <v>637</v>
      </c>
      <c r="B241" s="1087"/>
      <c r="C241" s="1087"/>
      <c r="D241" s="1087"/>
      <c r="E241" s="1087"/>
      <c r="F241" s="1087"/>
      <c r="G241" s="1087"/>
      <c r="H241" s="1087"/>
      <c r="I241" s="1087"/>
      <c r="J241" s="1087"/>
      <c r="K241" s="1087"/>
      <c r="L241" s="1087"/>
      <c r="M241" s="1087"/>
      <c r="N241" s="1087"/>
      <c r="O241" s="1087"/>
      <c r="P241" s="1087"/>
      <c r="Q241" s="1087"/>
      <c r="R241" s="1087"/>
      <c r="S241" s="1086">
        <v>0</v>
      </c>
      <c r="T241" s="1086"/>
      <c r="U241" s="1086"/>
      <c r="V241" s="1086"/>
      <c r="W241" s="1086"/>
      <c r="X241" s="1086">
        <v>0</v>
      </c>
      <c r="Y241" s="1086"/>
      <c r="Z241" s="1086"/>
      <c r="AA241" s="1086"/>
      <c r="AB241" s="1086"/>
      <c r="AC241" s="1086"/>
      <c r="AD241" s="1086">
        <v>0</v>
      </c>
      <c r="AE241" s="1086"/>
      <c r="AF241" s="1086"/>
      <c r="AG241" s="1086"/>
      <c r="AH241" s="1086"/>
      <c r="AI241" s="1086"/>
      <c r="AJ241" s="1086">
        <v>0</v>
      </c>
      <c r="AK241" s="1086"/>
      <c r="AL241" s="1086"/>
      <c r="AM241" s="1086"/>
      <c r="AN241" s="1086"/>
      <c r="AO241" s="1086"/>
      <c r="AP241" s="1086"/>
      <c r="AQ241" s="1086"/>
      <c r="AR241" s="1086"/>
      <c r="AS241" s="1086"/>
      <c r="AT241" s="1086"/>
      <c r="AU241" s="1086">
        <v>0</v>
      </c>
      <c r="AV241" s="1086"/>
      <c r="AW241" s="1086"/>
      <c r="AX241" s="1086"/>
      <c r="AY241" s="1086"/>
      <c r="AZ241" s="1086"/>
      <c r="BA241" s="1086"/>
      <c r="BB241" s="1086"/>
      <c r="BC241" s="1086">
        <v>0</v>
      </c>
      <c r="BD241" s="1086"/>
      <c r="BE241" s="1086"/>
      <c r="BF241" s="1086"/>
      <c r="BG241" s="1086">
        <v>0</v>
      </c>
      <c r="BH241" s="1086"/>
      <c r="BI241" s="1086"/>
      <c r="BJ241" s="1086"/>
      <c r="BK241" s="1086">
        <v>0</v>
      </c>
      <c r="BL241" s="1086"/>
      <c r="BM241" s="1086"/>
      <c r="BN241" s="1086"/>
      <c r="BO241" s="1086"/>
    </row>
    <row r="242" spans="1:67" ht="13.5" customHeight="1" x14ac:dyDescent="0.2">
      <c r="A242" s="1087" t="s">
        <v>638</v>
      </c>
      <c r="B242" s="1087"/>
      <c r="C242" s="1087"/>
      <c r="D242" s="1087"/>
      <c r="E242" s="1087"/>
      <c r="F242" s="1087"/>
      <c r="G242" s="1087"/>
      <c r="H242" s="1087"/>
      <c r="I242" s="1087"/>
      <c r="J242" s="1087"/>
      <c r="K242" s="1087"/>
      <c r="L242" s="1087"/>
      <c r="M242" s="1087"/>
      <c r="N242" s="1087"/>
      <c r="O242" s="1087"/>
      <c r="P242" s="1087"/>
      <c r="Q242" s="1087"/>
      <c r="R242" s="1087"/>
      <c r="S242" s="1092" t="s">
        <v>535</v>
      </c>
      <c r="T242" s="1092"/>
      <c r="U242" s="1092"/>
      <c r="V242" s="1092"/>
      <c r="W242" s="1092"/>
      <c r="X242" s="1092" t="s">
        <v>535</v>
      </c>
      <c r="Y242" s="1092"/>
      <c r="Z242" s="1092"/>
      <c r="AA242" s="1092"/>
      <c r="AB242" s="1092"/>
      <c r="AC242" s="1092"/>
      <c r="AD242" s="1092" t="s">
        <v>535</v>
      </c>
      <c r="AE242" s="1092"/>
      <c r="AF242" s="1092"/>
      <c r="AG242" s="1092"/>
      <c r="AH242" s="1092"/>
      <c r="AI242" s="1092"/>
      <c r="AJ242" s="1092" t="s">
        <v>535</v>
      </c>
      <c r="AK242" s="1092"/>
      <c r="AL242" s="1092"/>
      <c r="AM242" s="1092"/>
      <c r="AN242" s="1092"/>
      <c r="AO242" s="1092"/>
      <c r="AP242" s="1092"/>
      <c r="AQ242" s="1092"/>
      <c r="AR242" s="1092"/>
      <c r="AS242" s="1092"/>
      <c r="AT242" s="1092"/>
      <c r="AU242" s="1092" t="s">
        <v>535</v>
      </c>
      <c r="AV242" s="1092"/>
      <c r="AW242" s="1092"/>
      <c r="AX242" s="1092"/>
      <c r="AY242" s="1092"/>
      <c r="AZ242" s="1092"/>
      <c r="BA242" s="1092"/>
      <c r="BB242" s="1092"/>
      <c r="BC242" s="1092" t="s">
        <v>535</v>
      </c>
      <c r="BD242" s="1092"/>
      <c r="BE242" s="1092"/>
      <c r="BF242" s="1092"/>
      <c r="BG242" s="1092" t="s">
        <v>535</v>
      </c>
      <c r="BH242" s="1092"/>
      <c r="BI242" s="1092"/>
      <c r="BJ242" s="1092"/>
      <c r="BK242" s="1092" t="s">
        <v>535</v>
      </c>
      <c r="BL242" s="1092"/>
      <c r="BM242" s="1092"/>
      <c r="BN242" s="1092"/>
      <c r="BO242" s="1092"/>
    </row>
    <row r="243" spans="1:67" ht="13.5" customHeight="1" x14ac:dyDescent="0.2">
      <c r="A243" s="1087" t="s">
        <v>639</v>
      </c>
      <c r="B243" s="1087"/>
      <c r="C243" s="1087"/>
      <c r="D243" s="1087"/>
      <c r="E243" s="1087"/>
      <c r="F243" s="1087"/>
      <c r="G243" s="1087"/>
      <c r="H243" s="1087"/>
      <c r="I243" s="1087"/>
      <c r="J243" s="1087"/>
      <c r="K243" s="1087"/>
      <c r="L243" s="1087"/>
      <c r="M243" s="1087"/>
      <c r="N243" s="1087"/>
      <c r="O243" s="1087"/>
      <c r="P243" s="1087"/>
      <c r="Q243" s="1087"/>
      <c r="R243" s="1087"/>
      <c r="S243" s="1092" t="s">
        <v>535</v>
      </c>
      <c r="T243" s="1092"/>
      <c r="U243" s="1092"/>
      <c r="V243" s="1092"/>
      <c r="W243" s="1092"/>
      <c r="X243" s="1092" t="s">
        <v>535</v>
      </c>
      <c r="Y243" s="1092"/>
      <c r="Z243" s="1092"/>
      <c r="AA243" s="1092"/>
      <c r="AB243" s="1092"/>
      <c r="AC243" s="1092"/>
      <c r="AD243" s="1092" t="s">
        <v>535</v>
      </c>
      <c r="AE243" s="1092"/>
      <c r="AF243" s="1092"/>
      <c r="AG243" s="1092"/>
      <c r="AH243" s="1092"/>
      <c r="AI243" s="1092"/>
      <c r="AJ243" s="1092" t="s">
        <v>535</v>
      </c>
      <c r="AK243" s="1092"/>
      <c r="AL243" s="1092"/>
      <c r="AM243" s="1092"/>
      <c r="AN243" s="1092"/>
      <c r="AO243" s="1092"/>
      <c r="AP243" s="1092"/>
      <c r="AQ243" s="1092"/>
      <c r="AR243" s="1092"/>
      <c r="AS243" s="1092"/>
      <c r="AT243" s="1092"/>
      <c r="AU243" s="1092" t="s">
        <v>535</v>
      </c>
      <c r="AV243" s="1092"/>
      <c r="AW243" s="1092"/>
      <c r="AX243" s="1092"/>
      <c r="AY243" s="1092"/>
      <c r="AZ243" s="1092"/>
      <c r="BA243" s="1092"/>
      <c r="BB243" s="1092"/>
      <c r="BC243" s="1092" t="s">
        <v>535</v>
      </c>
      <c r="BD243" s="1092"/>
      <c r="BE243" s="1092"/>
      <c r="BF243" s="1092"/>
      <c r="BG243" s="1092" t="s">
        <v>535</v>
      </c>
      <c r="BH243" s="1092"/>
      <c r="BI243" s="1092"/>
      <c r="BJ243" s="1092"/>
      <c r="BK243" s="1092" t="s">
        <v>535</v>
      </c>
      <c r="BL243" s="1092"/>
      <c r="BM243" s="1092"/>
      <c r="BN243" s="1092"/>
      <c r="BO243" s="1092"/>
    </row>
    <row r="244" spans="1:67" ht="13.5" customHeight="1" x14ac:dyDescent="0.2">
      <c r="A244" s="1083"/>
      <c r="B244" s="1083"/>
      <c r="C244" s="1083"/>
      <c r="D244" s="1083"/>
      <c r="E244" s="1083"/>
      <c r="F244" s="1083"/>
      <c r="G244" s="1083"/>
      <c r="H244" s="1083"/>
      <c r="I244" s="1083"/>
      <c r="J244" s="1083"/>
      <c r="K244" s="1083"/>
      <c r="L244" s="1083"/>
      <c r="M244" s="1083"/>
      <c r="N244" s="1083"/>
      <c r="O244" s="1083"/>
      <c r="P244" s="1083"/>
      <c r="Q244" s="1083"/>
      <c r="R244" s="1083"/>
      <c r="S244" s="1083"/>
      <c r="T244" s="1083"/>
      <c r="U244" s="1083"/>
      <c r="V244" s="1083"/>
      <c r="W244" s="1083"/>
      <c r="X244" s="1083"/>
      <c r="Y244" s="1083"/>
      <c r="Z244" s="1083"/>
      <c r="AA244" s="1083"/>
      <c r="AB244" s="1083"/>
      <c r="AC244" s="1083"/>
      <c r="AD244" s="1083"/>
      <c r="AE244" s="1083"/>
      <c r="AF244" s="1083"/>
      <c r="AG244" s="1083"/>
      <c r="AH244" s="1083"/>
      <c r="AI244" s="1083"/>
      <c r="AJ244" s="1083"/>
      <c r="AK244" s="1083"/>
      <c r="AL244" s="1083"/>
      <c r="AM244" s="1083"/>
      <c r="AN244" s="1083"/>
      <c r="AO244" s="1083"/>
      <c r="AP244" s="1083"/>
      <c r="AQ244" s="1083"/>
      <c r="AR244" s="1083"/>
      <c r="AS244" s="1083"/>
      <c r="AT244" s="1083"/>
      <c r="AU244" s="1083"/>
      <c r="AV244" s="1083"/>
      <c r="AW244" s="1083"/>
      <c r="AX244" s="1083"/>
      <c r="AY244" s="1083"/>
      <c r="AZ244" s="1083"/>
      <c r="BA244" s="1083"/>
      <c r="BB244" s="1083"/>
      <c r="BC244" s="1083"/>
      <c r="BD244" s="1083"/>
      <c r="BE244" s="1083"/>
      <c r="BF244" s="1083"/>
      <c r="BG244" s="1083"/>
      <c r="BH244" s="1083"/>
      <c r="BI244" s="1083"/>
      <c r="BJ244" s="1083"/>
      <c r="BK244" s="1083"/>
      <c r="BL244" s="1083"/>
      <c r="BM244" s="1083"/>
      <c r="BN244" s="1083"/>
      <c r="BO244" s="1083"/>
    </row>
    <row r="245" spans="1:67" ht="13.5" customHeight="1" x14ac:dyDescent="0.2">
      <c r="A245" s="1087" t="s">
        <v>640</v>
      </c>
      <c r="B245" s="1087"/>
      <c r="C245" s="1087"/>
      <c r="D245" s="1087"/>
      <c r="E245" s="1087"/>
      <c r="F245" s="1087"/>
      <c r="G245" s="1087"/>
      <c r="H245" s="1087"/>
      <c r="I245" s="1087"/>
      <c r="J245" s="1087"/>
      <c r="K245" s="1087"/>
      <c r="L245" s="1087"/>
      <c r="M245" s="1087"/>
      <c r="N245" s="1087"/>
      <c r="O245" s="1087"/>
      <c r="P245" s="1087"/>
      <c r="Q245" s="1087"/>
      <c r="R245" s="1087"/>
      <c r="S245" s="1086">
        <v>0</v>
      </c>
      <c r="T245" s="1086"/>
      <c r="U245" s="1086"/>
      <c r="V245" s="1086"/>
      <c r="W245" s="1086"/>
      <c r="X245" s="1086">
        <v>0</v>
      </c>
      <c r="Y245" s="1086"/>
      <c r="Z245" s="1086"/>
      <c r="AA245" s="1086"/>
      <c r="AB245" s="1086"/>
      <c r="AC245" s="1086"/>
      <c r="AD245" s="1086">
        <v>0</v>
      </c>
      <c r="AE245" s="1086"/>
      <c r="AF245" s="1086"/>
      <c r="AG245" s="1086"/>
      <c r="AH245" s="1086"/>
      <c r="AI245" s="1086"/>
      <c r="AJ245" s="1086">
        <v>0</v>
      </c>
      <c r="AK245" s="1086"/>
      <c r="AL245" s="1086"/>
      <c r="AM245" s="1086"/>
      <c r="AN245" s="1086"/>
      <c r="AO245" s="1086"/>
      <c r="AP245" s="1086"/>
      <c r="AQ245" s="1086"/>
      <c r="AR245" s="1086"/>
      <c r="AS245" s="1086"/>
      <c r="AT245" s="1086"/>
      <c r="AU245" s="1086">
        <v>0</v>
      </c>
      <c r="AV245" s="1086"/>
      <c r="AW245" s="1086"/>
      <c r="AX245" s="1086"/>
      <c r="AY245" s="1086"/>
      <c r="AZ245" s="1086"/>
      <c r="BA245" s="1086"/>
      <c r="BB245" s="1086"/>
      <c r="BC245" s="1086">
        <v>0</v>
      </c>
      <c r="BD245" s="1086"/>
      <c r="BE245" s="1086"/>
      <c r="BF245" s="1086"/>
      <c r="BG245" s="1086">
        <v>41042</v>
      </c>
      <c r="BH245" s="1086"/>
      <c r="BI245" s="1086"/>
      <c r="BJ245" s="1086"/>
      <c r="BK245" s="1086">
        <v>41042</v>
      </c>
      <c r="BL245" s="1086"/>
      <c r="BM245" s="1086"/>
      <c r="BN245" s="1086"/>
      <c r="BO245" s="1086"/>
    </row>
    <row r="246" spans="1:67" ht="13.5" customHeight="1" x14ac:dyDescent="0.2">
      <c r="A246" s="1087" t="s">
        <v>641</v>
      </c>
      <c r="B246" s="1087"/>
      <c r="C246" s="1087"/>
      <c r="D246" s="1087"/>
      <c r="E246" s="1087"/>
      <c r="F246" s="1087"/>
      <c r="G246" s="1087"/>
      <c r="H246" s="1087"/>
      <c r="I246" s="1087"/>
      <c r="J246" s="1087"/>
      <c r="K246" s="1087"/>
      <c r="L246" s="1087"/>
      <c r="M246" s="1087"/>
      <c r="N246" s="1087"/>
      <c r="O246" s="1087"/>
      <c r="P246" s="1087"/>
      <c r="Q246" s="1087"/>
      <c r="R246" s="1087"/>
      <c r="S246" s="1086">
        <v>0</v>
      </c>
      <c r="T246" s="1086"/>
      <c r="U246" s="1086"/>
      <c r="V246" s="1086"/>
      <c r="W246" s="1086"/>
      <c r="X246" s="1086">
        <v>0</v>
      </c>
      <c r="Y246" s="1086"/>
      <c r="Z246" s="1086"/>
      <c r="AA246" s="1086"/>
      <c r="AB246" s="1086"/>
      <c r="AC246" s="1086"/>
      <c r="AD246" s="1086">
        <v>0</v>
      </c>
      <c r="AE246" s="1086"/>
      <c r="AF246" s="1086"/>
      <c r="AG246" s="1086"/>
      <c r="AH246" s="1086"/>
      <c r="AI246" s="1086"/>
      <c r="AJ246" s="1086">
        <v>0</v>
      </c>
      <c r="AK246" s="1086"/>
      <c r="AL246" s="1086"/>
      <c r="AM246" s="1086"/>
      <c r="AN246" s="1086"/>
      <c r="AO246" s="1086"/>
      <c r="AP246" s="1086"/>
      <c r="AQ246" s="1086"/>
      <c r="AR246" s="1086"/>
      <c r="AS246" s="1086"/>
      <c r="AT246" s="1086"/>
      <c r="AU246" s="1086">
        <v>0</v>
      </c>
      <c r="AV246" s="1086"/>
      <c r="AW246" s="1086"/>
      <c r="AX246" s="1086"/>
      <c r="AY246" s="1086"/>
      <c r="AZ246" s="1086"/>
      <c r="BA246" s="1086"/>
      <c r="BB246" s="1086"/>
      <c r="BC246" s="1086">
        <v>0</v>
      </c>
      <c r="BD246" s="1086"/>
      <c r="BE246" s="1086"/>
      <c r="BF246" s="1086"/>
      <c r="BG246" s="1086">
        <v>0</v>
      </c>
      <c r="BH246" s="1086"/>
      <c r="BI246" s="1086"/>
      <c r="BJ246" s="1086"/>
      <c r="BK246" s="1086">
        <v>0</v>
      </c>
      <c r="BL246" s="1086"/>
      <c r="BM246" s="1086"/>
      <c r="BN246" s="1086"/>
      <c r="BO246" s="1086"/>
    </row>
    <row r="247" spans="1:67" ht="13.5" customHeight="1" x14ac:dyDescent="0.2">
      <c r="A247" s="1087" t="s">
        <v>642</v>
      </c>
      <c r="B247" s="1087"/>
      <c r="C247" s="1087"/>
      <c r="D247" s="1087"/>
      <c r="E247" s="1087"/>
      <c r="F247" s="1087"/>
      <c r="G247" s="1087"/>
      <c r="H247" s="1087"/>
      <c r="I247" s="1087"/>
      <c r="J247" s="1087"/>
      <c r="K247" s="1087"/>
      <c r="L247" s="1087"/>
      <c r="M247" s="1087"/>
      <c r="N247" s="1087"/>
      <c r="O247" s="1087"/>
      <c r="P247" s="1087"/>
      <c r="Q247" s="1087"/>
      <c r="R247" s="1087"/>
      <c r="S247" s="1086">
        <v>0</v>
      </c>
      <c r="T247" s="1086"/>
      <c r="U247" s="1086"/>
      <c r="V247" s="1086"/>
      <c r="W247" s="1086"/>
      <c r="X247" s="1086">
        <v>0</v>
      </c>
      <c r="Y247" s="1086"/>
      <c r="Z247" s="1086"/>
      <c r="AA247" s="1086"/>
      <c r="AB247" s="1086"/>
      <c r="AC247" s="1086"/>
      <c r="AD247" s="1086">
        <v>0</v>
      </c>
      <c r="AE247" s="1086"/>
      <c r="AF247" s="1086"/>
      <c r="AG247" s="1086"/>
      <c r="AH247" s="1086"/>
      <c r="AI247" s="1086"/>
      <c r="AJ247" s="1086">
        <v>0</v>
      </c>
      <c r="AK247" s="1086"/>
      <c r="AL247" s="1086"/>
      <c r="AM247" s="1086"/>
      <c r="AN247" s="1086"/>
      <c r="AO247" s="1086"/>
      <c r="AP247" s="1086"/>
      <c r="AQ247" s="1086"/>
      <c r="AR247" s="1086"/>
      <c r="AS247" s="1086"/>
      <c r="AT247" s="1086"/>
      <c r="AU247" s="1086">
        <v>0</v>
      </c>
      <c r="AV247" s="1086"/>
      <c r="AW247" s="1086"/>
      <c r="AX247" s="1086"/>
      <c r="AY247" s="1086"/>
      <c r="AZ247" s="1086"/>
      <c r="BA247" s="1086"/>
      <c r="BB247" s="1086"/>
      <c r="BC247" s="1086">
        <v>0</v>
      </c>
      <c r="BD247" s="1086"/>
      <c r="BE247" s="1086"/>
      <c r="BF247" s="1086"/>
      <c r="BG247" s="1086">
        <v>0</v>
      </c>
      <c r="BH247" s="1086"/>
      <c r="BI247" s="1086"/>
      <c r="BJ247" s="1086"/>
      <c r="BK247" s="1086">
        <v>0</v>
      </c>
      <c r="BL247" s="1086"/>
      <c r="BM247" s="1086"/>
      <c r="BN247" s="1086"/>
      <c r="BO247" s="1086"/>
    </row>
    <row r="248" spans="1:67" ht="13.5" customHeight="1" x14ac:dyDescent="0.2">
      <c r="A248" s="1087" t="s">
        <v>643</v>
      </c>
      <c r="B248" s="1087"/>
      <c r="C248" s="1087"/>
      <c r="D248" s="1087"/>
      <c r="E248" s="1087"/>
      <c r="F248" s="1087"/>
      <c r="G248" s="1087"/>
      <c r="H248" s="1087"/>
      <c r="I248" s="1087"/>
      <c r="J248" s="1087"/>
      <c r="K248" s="1087"/>
      <c r="L248" s="1087"/>
      <c r="M248" s="1087"/>
      <c r="N248" s="1087"/>
      <c r="O248" s="1087"/>
      <c r="P248" s="1087"/>
      <c r="Q248" s="1087"/>
      <c r="R248" s="1087"/>
      <c r="S248" s="1086">
        <v>0</v>
      </c>
      <c r="T248" s="1086"/>
      <c r="U248" s="1086"/>
      <c r="V248" s="1086"/>
      <c r="W248" s="1086"/>
      <c r="X248" s="1086">
        <v>0</v>
      </c>
      <c r="Y248" s="1086"/>
      <c r="Z248" s="1086"/>
      <c r="AA248" s="1086"/>
      <c r="AB248" s="1086"/>
      <c r="AC248" s="1086"/>
      <c r="AD248" s="1086">
        <v>0</v>
      </c>
      <c r="AE248" s="1086"/>
      <c r="AF248" s="1086"/>
      <c r="AG248" s="1086"/>
      <c r="AH248" s="1086"/>
      <c r="AI248" s="1086"/>
      <c r="AJ248" s="1086">
        <v>0</v>
      </c>
      <c r="AK248" s="1086"/>
      <c r="AL248" s="1086"/>
      <c r="AM248" s="1086"/>
      <c r="AN248" s="1086"/>
      <c r="AO248" s="1086"/>
      <c r="AP248" s="1086"/>
      <c r="AQ248" s="1086"/>
      <c r="AR248" s="1086"/>
      <c r="AS248" s="1086"/>
      <c r="AT248" s="1086"/>
      <c r="AU248" s="1086">
        <v>0</v>
      </c>
      <c r="AV248" s="1086"/>
      <c r="AW248" s="1086"/>
      <c r="AX248" s="1086"/>
      <c r="AY248" s="1086"/>
      <c r="AZ248" s="1086"/>
      <c r="BA248" s="1086"/>
      <c r="BB248" s="1086"/>
      <c r="BC248" s="1086">
        <v>0</v>
      </c>
      <c r="BD248" s="1086"/>
      <c r="BE248" s="1086"/>
      <c r="BF248" s="1086"/>
      <c r="BG248" s="1086">
        <v>0</v>
      </c>
      <c r="BH248" s="1086"/>
      <c r="BI248" s="1086"/>
      <c r="BJ248" s="1086"/>
      <c r="BK248" s="1086">
        <v>0</v>
      </c>
      <c r="BL248" s="1086"/>
      <c r="BM248" s="1086"/>
      <c r="BN248" s="1086"/>
      <c r="BO248" s="1086"/>
    </row>
    <row r="249" spans="1:67" ht="13.5" customHeight="1" x14ac:dyDescent="0.2">
      <c r="A249" s="1087" t="s">
        <v>644</v>
      </c>
      <c r="B249" s="1087"/>
      <c r="C249" s="1087"/>
      <c r="D249" s="1087"/>
      <c r="E249" s="1087"/>
      <c r="F249" s="1087"/>
      <c r="G249" s="1087"/>
      <c r="H249" s="1087"/>
      <c r="I249" s="1087"/>
      <c r="J249" s="1087"/>
      <c r="K249" s="1087"/>
      <c r="L249" s="1087"/>
      <c r="M249" s="1087"/>
      <c r="N249" s="1087"/>
      <c r="O249" s="1087"/>
      <c r="P249" s="1087"/>
      <c r="Q249" s="1087"/>
      <c r="R249" s="1087"/>
      <c r="S249" s="1086">
        <v>0</v>
      </c>
      <c r="T249" s="1086"/>
      <c r="U249" s="1086"/>
      <c r="V249" s="1086"/>
      <c r="W249" s="1086"/>
      <c r="X249" s="1086">
        <v>0</v>
      </c>
      <c r="Y249" s="1086"/>
      <c r="Z249" s="1086"/>
      <c r="AA249" s="1086"/>
      <c r="AB249" s="1086"/>
      <c r="AC249" s="1086"/>
      <c r="AD249" s="1086">
        <v>0</v>
      </c>
      <c r="AE249" s="1086"/>
      <c r="AF249" s="1086"/>
      <c r="AG249" s="1086"/>
      <c r="AH249" s="1086"/>
      <c r="AI249" s="1086"/>
      <c r="AJ249" s="1086">
        <v>0</v>
      </c>
      <c r="AK249" s="1086"/>
      <c r="AL249" s="1086"/>
      <c r="AM249" s="1086"/>
      <c r="AN249" s="1086"/>
      <c r="AO249" s="1086"/>
      <c r="AP249" s="1086"/>
      <c r="AQ249" s="1086"/>
      <c r="AR249" s="1086"/>
      <c r="AS249" s="1086"/>
      <c r="AT249" s="1086"/>
      <c r="AU249" s="1086">
        <v>0</v>
      </c>
      <c r="AV249" s="1086"/>
      <c r="AW249" s="1086"/>
      <c r="AX249" s="1086"/>
      <c r="AY249" s="1086"/>
      <c r="AZ249" s="1086"/>
      <c r="BA249" s="1086"/>
      <c r="BB249" s="1086"/>
      <c r="BC249" s="1086">
        <v>0</v>
      </c>
      <c r="BD249" s="1086"/>
      <c r="BE249" s="1086"/>
      <c r="BF249" s="1086"/>
      <c r="BG249" s="1086">
        <v>41042</v>
      </c>
      <c r="BH249" s="1086"/>
      <c r="BI249" s="1086"/>
      <c r="BJ249" s="1086"/>
      <c r="BK249" s="1086">
        <v>41042</v>
      </c>
      <c r="BL249" s="1086"/>
      <c r="BM249" s="1086"/>
      <c r="BN249" s="1086"/>
      <c r="BO249" s="1086"/>
    </row>
    <row r="250" spans="1:67" ht="13.5" customHeight="1" x14ac:dyDescent="0.2">
      <c r="A250" s="1087" t="s">
        <v>645</v>
      </c>
      <c r="B250" s="1087"/>
      <c r="C250" s="1087"/>
      <c r="D250" s="1087"/>
      <c r="E250" s="1087"/>
      <c r="F250" s="1087"/>
      <c r="G250" s="1087"/>
      <c r="H250" s="1087"/>
      <c r="I250" s="1087"/>
      <c r="J250" s="1087"/>
      <c r="K250" s="1087"/>
      <c r="L250" s="1087"/>
      <c r="M250" s="1087"/>
      <c r="N250" s="1087"/>
      <c r="O250" s="1087"/>
      <c r="P250" s="1087"/>
      <c r="Q250" s="1087"/>
      <c r="R250" s="1087"/>
      <c r="S250" s="1092" t="s">
        <v>535</v>
      </c>
      <c r="T250" s="1092"/>
      <c r="U250" s="1092"/>
      <c r="V250" s="1092"/>
      <c r="W250" s="1092"/>
      <c r="X250" s="1092" t="s">
        <v>535</v>
      </c>
      <c r="Y250" s="1092"/>
      <c r="Z250" s="1092"/>
      <c r="AA250" s="1092"/>
      <c r="AB250" s="1092"/>
      <c r="AC250" s="1092"/>
      <c r="AD250" s="1092" t="s">
        <v>535</v>
      </c>
      <c r="AE250" s="1092"/>
      <c r="AF250" s="1092"/>
      <c r="AG250" s="1092"/>
      <c r="AH250" s="1092"/>
      <c r="AI250" s="1092"/>
      <c r="AJ250" s="1092" t="s">
        <v>535</v>
      </c>
      <c r="AK250" s="1092"/>
      <c r="AL250" s="1092"/>
      <c r="AM250" s="1092"/>
      <c r="AN250" s="1092"/>
      <c r="AO250" s="1092"/>
      <c r="AP250" s="1092"/>
      <c r="AQ250" s="1092"/>
      <c r="AR250" s="1092"/>
      <c r="AS250" s="1092"/>
      <c r="AT250" s="1092"/>
      <c r="AU250" s="1092" t="s">
        <v>535</v>
      </c>
      <c r="AV250" s="1092"/>
      <c r="AW250" s="1092"/>
      <c r="AX250" s="1092"/>
      <c r="AY250" s="1092"/>
      <c r="AZ250" s="1092"/>
      <c r="BA250" s="1092"/>
      <c r="BB250" s="1092"/>
      <c r="BC250" s="1092" t="s">
        <v>535</v>
      </c>
      <c r="BD250" s="1092"/>
      <c r="BE250" s="1092"/>
      <c r="BF250" s="1092"/>
      <c r="BG250" s="1092" t="s">
        <v>535</v>
      </c>
      <c r="BH250" s="1092"/>
      <c r="BI250" s="1092"/>
      <c r="BJ250" s="1092"/>
      <c r="BK250" s="1092" t="s">
        <v>535</v>
      </c>
      <c r="BL250" s="1092"/>
      <c r="BM250" s="1092"/>
      <c r="BN250" s="1092"/>
      <c r="BO250" s="1092"/>
    </row>
    <row r="251" spans="1:67" ht="13.5" customHeight="1" x14ac:dyDescent="0.2">
      <c r="A251" s="1083"/>
      <c r="B251" s="1083"/>
      <c r="C251" s="1083"/>
      <c r="D251" s="1083"/>
      <c r="E251" s="1083"/>
      <c r="F251" s="1083"/>
      <c r="G251" s="1083"/>
      <c r="H251" s="1083"/>
      <c r="I251" s="1083"/>
      <c r="J251" s="1083"/>
      <c r="K251" s="1083"/>
      <c r="L251" s="1083"/>
      <c r="M251" s="1083"/>
      <c r="N251" s="1083"/>
      <c r="O251" s="1083"/>
      <c r="P251" s="1083"/>
      <c r="Q251" s="1083"/>
      <c r="R251" s="1083"/>
      <c r="S251" s="1083"/>
      <c r="T251" s="1083"/>
      <c r="U251" s="1083"/>
      <c r="V251" s="1083"/>
      <c r="W251" s="1083"/>
      <c r="X251" s="1083"/>
      <c r="Y251" s="1083"/>
      <c r="Z251" s="1083"/>
      <c r="AA251" s="1083"/>
      <c r="AB251" s="1083"/>
      <c r="AC251" s="1083"/>
      <c r="AD251" s="1083"/>
      <c r="AE251" s="1083"/>
      <c r="AF251" s="1083"/>
      <c r="AG251" s="1083"/>
      <c r="AH251" s="1083"/>
      <c r="AI251" s="1083"/>
      <c r="AJ251" s="1083"/>
      <c r="AK251" s="1083"/>
      <c r="AL251" s="1083"/>
      <c r="AM251" s="1083"/>
      <c r="AN251" s="1083"/>
      <c r="AO251" s="1083"/>
      <c r="AP251" s="1083"/>
      <c r="AQ251" s="1083"/>
      <c r="AR251" s="1083"/>
      <c r="AS251" s="1083"/>
      <c r="AT251" s="1083"/>
      <c r="AU251" s="1083"/>
      <c r="AV251" s="1083"/>
      <c r="AW251" s="1083"/>
      <c r="AX251" s="1083"/>
      <c r="AY251" s="1083"/>
      <c r="AZ251" s="1083"/>
      <c r="BA251" s="1083"/>
      <c r="BB251" s="1083"/>
      <c r="BC251" s="1083"/>
      <c r="BD251" s="1083"/>
      <c r="BE251" s="1083"/>
      <c r="BF251" s="1083"/>
      <c r="BG251" s="1083"/>
      <c r="BH251" s="1083"/>
      <c r="BI251" s="1083"/>
      <c r="BJ251" s="1083"/>
      <c r="BK251" s="1083"/>
      <c r="BL251" s="1083"/>
      <c r="BM251" s="1083"/>
      <c r="BN251" s="1083"/>
      <c r="BO251" s="1083"/>
    </row>
    <row r="252" spans="1:67" s="365" customFormat="1" ht="13.5" customHeight="1" x14ac:dyDescent="0.2">
      <c r="A252" s="1120" t="s">
        <v>646</v>
      </c>
      <c r="B252" s="1120"/>
      <c r="C252" s="1120"/>
      <c r="D252" s="1120"/>
      <c r="E252" s="1120"/>
      <c r="F252" s="1120"/>
      <c r="G252" s="1120"/>
      <c r="H252" s="1120"/>
      <c r="I252" s="1120"/>
      <c r="J252" s="1120"/>
      <c r="K252" s="1120"/>
      <c r="L252" s="1120"/>
      <c r="M252" s="1120"/>
      <c r="N252" s="1120"/>
      <c r="O252" s="1120"/>
      <c r="P252" s="1120"/>
      <c r="Q252" s="1120"/>
      <c r="R252" s="1120"/>
      <c r="S252" s="1119">
        <v>191675</v>
      </c>
      <c r="T252" s="1119"/>
      <c r="U252" s="1119"/>
      <c r="V252" s="1119"/>
      <c r="W252" s="1119"/>
      <c r="X252" s="1119">
        <v>179286</v>
      </c>
      <c r="Y252" s="1119"/>
      <c r="Z252" s="1119"/>
      <c r="AA252" s="1119"/>
      <c r="AB252" s="1119"/>
      <c r="AC252" s="1119"/>
      <c r="AD252" s="1119">
        <v>189098</v>
      </c>
      <c r="AE252" s="1119"/>
      <c r="AF252" s="1119"/>
      <c r="AG252" s="1119"/>
      <c r="AH252" s="1119"/>
      <c r="AI252" s="1119"/>
      <c r="AJ252" s="1119">
        <v>197380</v>
      </c>
      <c r="AK252" s="1119"/>
      <c r="AL252" s="1119"/>
      <c r="AM252" s="1119"/>
      <c r="AN252" s="1119"/>
      <c r="AO252" s="1119"/>
      <c r="AP252" s="1119"/>
      <c r="AQ252" s="1119"/>
      <c r="AR252" s="1119"/>
      <c r="AS252" s="1119"/>
      <c r="AT252" s="1119"/>
      <c r="AU252" s="1119">
        <v>174392</v>
      </c>
      <c r="AV252" s="1119"/>
      <c r="AW252" s="1119"/>
      <c r="AX252" s="1119"/>
      <c r="AY252" s="1119"/>
      <c r="AZ252" s="1119"/>
      <c r="BA252" s="1119"/>
      <c r="BB252" s="1119"/>
      <c r="BC252" s="1119">
        <v>206556</v>
      </c>
      <c r="BD252" s="1119"/>
      <c r="BE252" s="1119"/>
      <c r="BF252" s="1119"/>
      <c r="BG252" s="1119">
        <v>187238</v>
      </c>
      <c r="BH252" s="1119"/>
      <c r="BI252" s="1119"/>
      <c r="BJ252" s="1119"/>
      <c r="BK252" s="1119">
        <v>173667</v>
      </c>
      <c r="BL252" s="1119"/>
      <c r="BM252" s="1119"/>
      <c r="BN252" s="1119"/>
      <c r="BO252" s="1119"/>
    </row>
    <row r="253" spans="1:67" ht="13.5" customHeight="1" x14ac:dyDescent="0.2">
      <c r="A253" s="1083"/>
      <c r="B253" s="1083"/>
      <c r="C253" s="1083"/>
      <c r="D253" s="1083"/>
      <c r="E253" s="1083"/>
      <c r="F253" s="1083"/>
      <c r="G253" s="1083"/>
      <c r="H253" s="1083"/>
      <c r="I253" s="1083"/>
      <c r="J253" s="1083"/>
      <c r="K253" s="1083"/>
      <c r="L253" s="1083"/>
      <c r="M253" s="1083"/>
      <c r="N253" s="1083"/>
      <c r="O253" s="1083"/>
      <c r="P253" s="1083"/>
      <c r="Q253" s="1083"/>
      <c r="R253" s="1083"/>
      <c r="S253" s="1083"/>
      <c r="T253" s="1083"/>
      <c r="U253" s="1083"/>
      <c r="V253" s="1083"/>
      <c r="W253" s="1083"/>
      <c r="X253" s="1083"/>
      <c r="Y253" s="1083"/>
      <c r="Z253" s="1083"/>
      <c r="AA253" s="1083"/>
      <c r="AB253" s="1083"/>
      <c r="AC253" s="1083"/>
      <c r="AD253" s="1083"/>
      <c r="AE253" s="1083"/>
      <c r="AF253" s="1083"/>
      <c r="AG253" s="1083"/>
      <c r="AH253" s="1083"/>
      <c r="AI253" s="1083"/>
      <c r="AJ253" s="1083"/>
      <c r="AK253" s="1083"/>
      <c r="AL253" s="1083"/>
      <c r="AM253" s="1083"/>
      <c r="AN253" s="1083"/>
      <c r="AO253" s="1083"/>
      <c r="AP253" s="1083"/>
      <c r="AQ253" s="1083"/>
      <c r="AR253" s="1083"/>
      <c r="AS253" s="1083"/>
      <c r="AT253" s="1083"/>
      <c r="AU253" s="1083"/>
      <c r="AV253" s="1083"/>
      <c r="AW253" s="1083"/>
      <c r="AX253" s="1083"/>
      <c r="AY253" s="1083"/>
      <c r="AZ253" s="1083"/>
      <c r="BA253" s="1083"/>
      <c r="BB253" s="1083"/>
      <c r="BC253" s="1083"/>
      <c r="BD253" s="1083"/>
      <c r="BE253" s="1083"/>
      <c r="BF253" s="1083"/>
      <c r="BG253" s="1083"/>
      <c r="BH253" s="1083"/>
      <c r="BI253" s="1083"/>
      <c r="BJ253" s="1083"/>
      <c r="BK253" s="1083"/>
      <c r="BL253" s="1083"/>
      <c r="BM253" s="1083"/>
      <c r="BN253" s="1083"/>
      <c r="BO253" s="1083"/>
    </row>
    <row r="254" spans="1:67" ht="13.5" customHeight="1" x14ac:dyDescent="0.2">
      <c r="A254" s="1117" t="s">
        <v>647</v>
      </c>
      <c r="B254" s="1117"/>
      <c r="C254" s="1117"/>
      <c r="D254" s="1117"/>
      <c r="E254" s="1117"/>
      <c r="F254" s="1117"/>
      <c r="G254" s="1117"/>
      <c r="H254" s="1117"/>
      <c r="I254" s="1117"/>
      <c r="J254" s="1117"/>
      <c r="K254" s="1117"/>
      <c r="L254" s="1117"/>
      <c r="M254" s="1117"/>
      <c r="N254" s="1117"/>
      <c r="O254" s="1117"/>
      <c r="P254" s="1117"/>
      <c r="Q254" s="1117"/>
      <c r="R254" s="1117"/>
      <c r="S254" s="1118"/>
      <c r="T254" s="1118"/>
      <c r="U254" s="1118"/>
      <c r="V254" s="1118"/>
      <c r="W254" s="1118"/>
      <c r="X254" s="1118"/>
      <c r="Y254" s="1118"/>
      <c r="Z254" s="1118"/>
      <c r="AA254" s="1118"/>
      <c r="AB254" s="1118"/>
      <c r="AC254" s="1118"/>
      <c r="AD254" s="1118"/>
      <c r="AE254" s="1118"/>
      <c r="AF254" s="1118"/>
      <c r="AG254" s="1118"/>
      <c r="AH254" s="1118"/>
      <c r="AI254" s="1118"/>
      <c r="AJ254" s="1118"/>
      <c r="AK254" s="1118"/>
      <c r="AL254" s="1118"/>
      <c r="AM254" s="1118"/>
      <c r="AN254" s="1118"/>
      <c r="AO254" s="1118"/>
      <c r="AP254" s="1118"/>
      <c r="AQ254" s="1118"/>
      <c r="AR254" s="1118"/>
      <c r="AS254" s="1118"/>
      <c r="AT254" s="1118"/>
      <c r="AU254" s="1118"/>
      <c r="AV254" s="1118"/>
      <c r="AW254" s="1118"/>
      <c r="AX254" s="1118"/>
      <c r="AY254" s="1118"/>
      <c r="AZ254" s="1118"/>
      <c r="BA254" s="1118"/>
      <c r="BB254" s="1118"/>
      <c r="BC254" s="1118"/>
      <c r="BD254" s="1118"/>
      <c r="BE254" s="1118"/>
      <c r="BF254" s="1118"/>
      <c r="BG254" s="1118"/>
      <c r="BH254" s="1118"/>
      <c r="BI254" s="1118"/>
      <c r="BJ254" s="1118"/>
      <c r="BK254" s="1118"/>
      <c r="BL254" s="1118"/>
      <c r="BM254" s="1118"/>
      <c r="BN254" s="1118"/>
      <c r="BO254" s="1118"/>
    </row>
    <row r="255" spans="1:67" ht="13.5" customHeight="1" x14ac:dyDescent="0.2">
      <c r="A255" s="1083"/>
      <c r="B255" s="1083"/>
      <c r="C255" s="1083"/>
      <c r="D255" s="1083"/>
      <c r="E255" s="1083"/>
      <c r="F255" s="1083"/>
      <c r="G255" s="1083"/>
      <c r="H255" s="1083"/>
      <c r="I255" s="1083"/>
      <c r="J255" s="1083"/>
      <c r="K255" s="1083"/>
      <c r="L255" s="1083"/>
      <c r="M255" s="1083"/>
      <c r="N255" s="1083"/>
      <c r="O255" s="1083"/>
      <c r="P255" s="1083"/>
      <c r="Q255" s="1083"/>
      <c r="R255" s="1083"/>
      <c r="S255" s="1083"/>
      <c r="T255" s="1083"/>
      <c r="U255" s="1083"/>
      <c r="V255" s="1083"/>
      <c r="W255" s="1083"/>
      <c r="X255" s="1083"/>
      <c r="Y255" s="1083"/>
      <c r="Z255" s="1083"/>
      <c r="AA255" s="1083"/>
      <c r="AB255" s="1083"/>
      <c r="AC255" s="1083"/>
      <c r="AD255" s="1083"/>
      <c r="AE255" s="1083"/>
      <c r="AF255" s="1083"/>
      <c r="AG255" s="1083"/>
      <c r="AH255" s="1083"/>
      <c r="AI255" s="1083"/>
      <c r="AJ255" s="1083"/>
      <c r="AK255" s="1083"/>
      <c r="AL255" s="1083"/>
      <c r="AM255" s="1083"/>
      <c r="AN255" s="1083"/>
      <c r="AO255" s="1083"/>
      <c r="AP255" s="1083"/>
      <c r="AQ255" s="1083"/>
      <c r="AR255" s="1083"/>
      <c r="AS255" s="1083"/>
      <c r="AT255" s="1083"/>
      <c r="AU255" s="1083"/>
      <c r="AV255" s="1083"/>
      <c r="AW255" s="1083"/>
      <c r="AX255" s="1083"/>
      <c r="AY255" s="1083"/>
      <c r="AZ255" s="1083"/>
      <c r="BA255" s="1083"/>
      <c r="BB255" s="1083"/>
      <c r="BC255" s="1083"/>
      <c r="BD255" s="1083"/>
      <c r="BE255" s="1083"/>
      <c r="BF255" s="1083"/>
      <c r="BG255" s="1083"/>
      <c r="BH255" s="1083"/>
      <c r="BI255" s="1083"/>
      <c r="BJ255" s="1083"/>
      <c r="BK255" s="1083"/>
      <c r="BL255" s="1083"/>
      <c r="BM255" s="1083"/>
      <c r="BN255" s="1083"/>
      <c r="BO255" s="1083"/>
    </row>
    <row r="256" spans="1:67" ht="13.5" customHeight="1" x14ac:dyDescent="0.2">
      <c r="A256" s="1087" t="s">
        <v>648</v>
      </c>
      <c r="B256" s="1087"/>
      <c r="C256" s="1087"/>
      <c r="D256" s="1087"/>
      <c r="E256" s="1087"/>
      <c r="F256" s="1087"/>
      <c r="G256" s="1087"/>
      <c r="H256" s="1087"/>
      <c r="I256" s="1087"/>
      <c r="J256" s="1087"/>
      <c r="K256" s="1087"/>
      <c r="L256" s="1087"/>
      <c r="M256" s="1087"/>
      <c r="N256" s="1087"/>
      <c r="O256" s="1087"/>
      <c r="P256" s="1087"/>
      <c r="Q256" s="1087"/>
      <c r="R256" s="1087"/>
      <c r="S256" s="1086">
        <v>11906052</v>
      </c>
      <c r="T256" s="1086"/>
      <c r="U256" s="1086"/>
      <c r="V256" s="1086"/>
      <c r="W256" s="1086"/>
      <c r="X256" s="1086">
        <v>13914499</v>
      </c>
      <c r="Y256" s="1086"/>
      <c r="Z256" s="1086"/>
      <c r="AA256" s="1086"/>
      <c r="AB256" s="1086"/>
      <c r="AC256" s="1086"/>
      <c r="AD256" s="1086">
        <v>14618344</v>
      </c>
      <c r="AE256" s="1086"/>
      <c r="AF256" s="1086"/>
      <c r="AG256" s="1086"/>
      <c r="AH256" s="1086"/>
      <c r="AI256" s="1086"/>
      <c r="AJ256" s="1086">
        <v>13815442</v>
      </c>
      <c r="AK256" s="1086"/>
      <c r="AL256" s="1086"/>
      <c r="AM256" s="1086"/>
      <c r="AN256" s="1086"/>
      <c r="AO256" s="1086"/>
      <c r="AP256" s="1086"/>
      <c r="AQ256" s="1086"/>
      <c r="AR256" s="1086"/>
      <c r="AS256" s="1086"/>
      <c r="AT256" s="1086"/>
      <c r="AU256" s="1086">
        <v>11347602</v>
      </c>
      <c r="AV256" s="1086"/>
      <c r="AW256" s="1086"/>
      <c r="AX256" s="1086"/>
      <c r="AY256" s="1086"/>
      <c r="AZ256" s="1086"/>
      <c r="BA256" s="1086"/>
      <c r="BB256" s="1086"/>
      <c r="BC256" s="1086">
        <v>6671454</v>
      </c>
      <c r="BD256" s="1086"/>
      <c r="BE256" s="1086"/>
      <c r="BF256" s="1086"/>
      <c r="BG256" s="1086">
        <v>4468030</v>
      </c>
      <c r="BH256" s="1086"/>
      <c r="BI256" s="1086"/>
      <c r="BJ256" s="1086"/>
      <c r="BK256" s="1086">
        <v>4868877</v>
      </c>
      <c r="BL256" s="1086"/>
      <c r="BM256" s="1086"/>
      <c r="BN256" s="1086"/>
      <c r="BO256" s="1086"/>
    </row>
    <row r="257" spans="1:69" ht="13.5" customHeight="1" x14ac:dyDescent="0.2">
      <c r="A257" s="1087" t="s">
        <v>649</v>
      </c>
      <c r="B257" s="1087"/>
      <c r="C257" s="1087"/>
      <c r="D257" s="1087"/>
      <c r="E257" s="1087"/>
      <c r="F257" s="1087"/>
      <c r="G257" s="1087"/>
      <c r="H257" s="1087"/>
      <c r="I257" s="1087"/>
      <c r="J257" s="1087"/>
      <c r="K257" s="1087"/>
      <c r="L257" s="1087"/>
      <c r="M257" s="1087"/>
      <c r="N257" s="1087"/>
      <c r="O257" s="1087"/>
      <c r="P257" s="1087"/>
      <c r="Q257" s="1087"/>
      <c r="R257" s="1087"/>
      <c r="S257" s="1086">
        <v>0</v>
      </c>
      <c r="T257" s="1086"/>
      <c r="U257" s="1086"/>
      <c r="V257" s="1086"/>
      <c r="W257" s="1086"/>
      <c r="X257" s="1086">
        <v>0</v>
      </c>
      <c r="Y257" s="1086"/>
      <c r="Z257" s="1086"/>
      <c r="AA257" s="1086"/>
      <c r="AB257" s="1086"/>
      <c r="AC257" s="1086"/>
      <c r="AD257" s="1086">
        <v>0</v>
      </c>
      <c r="AE257" s="1086"/>
      <c r="AF257" s="1086"/>
      <c r="AG257" s="1086"/>
      <c r="AH257" s="1086"/>
      <c r="AI257" s="1086"/>
      <c r="AJ257" s="1086">
        <v>0</v>
      </c>
      <c r="AK257" s="1086"/>
      <c r="AL257" s="1086"/>
      <c r="AM257" s="1086"/>
      <c r="AN257" s="1086"/>
      <c r="AO257" s="1086"/>
      <c r="AP257" s="1086"/>
      <c r="AQ257" s="1086"/>
      <c r="AR257" s="1086"/>
      <c r="AS257" s="1086"/>
      <c r="AT257" s="1086"/>
      <c r="AU257" s="1086">
        <v>0</v>
      </c>
      <c r="AV257" s="1086"/>
      <c r="AW257" s="1086"/>
      <c r="AX257" s="1086"/>
      <c r="AY257" s="1086"/>
      <c r="AZ257" s="1086"/>
      <c r="BA257" s="1086"/>
      <c r="BB257" s="1086"/>
      <c r="BC257" s="1086">
        <v>0</v>
      </c>
      <c r="BD257" s="1086"/>
      <c r="BE257" s="1086"/>
      <c r="BF257" s="1086"/>
      <c r="BG257" s="1086">
        <v>0</v>
      </c>
      <c r="BH257" s="1086"/>
      <c r="BI257" s="1086"/>
      <c r="BJ257" s="1086"/>
      <c r="BK257" s="1086">
        <v>0</v>
      </c>
      <c r="BL257" s="1086"/>
      <c r="BM257" s="1086"/>
      <c r="BN257" s="1086"/>
      <c r="BO257" s="1086"/>
    </row>
    <row r="258" spans="1:69" ht="13.5" customHeight="1" x14ac:dyDescent="0.2">
      <c r="A258" s="1087" t="s">
        <v>650</v>
      </c>
      <c r="B258" s="1087"/>
      <c r="C258" s="1087"/>
      <c r="D258" s="1087"/>
      <c r="E258" s="1087"/>
      <c r="F258" s="1087"/>
      <c r="G258" s="1087"/>
      <c r="H258" s="1087"/>
      <c r="I258" s="1087"/>
      <c r="J258" s="1087"/>
      <c r="K258" s="1087"/>
      <c r="L258" s="1087"/>
      <c r="M258" s="1087"/>
      <c r="N258" s="1087"/>
      <c r="O258" s="1087"/>
      <c r="P258" s="1087"/>
      <c r="Q258" s="1087"/>
      <c r="R258" s="1087"/>
      <c r="S258" s="1086">
        <v>0</v>
      </c>
      <c r="T258" s="1086"/>
      <c r="U258" s="1086"/>
      <c r="V258" s="1086"/>
      <c r="W258" s="1086"/>
      <c r="X258" s="1086">
        <v>0</v>
      </c>
      <c r="Y258" s="1086"/>
      <c r="Z258" s="1086"/>
      <c r="AA258" s="1086"/>
      <c r="AB258" s="1086"/>
      <c r="AC258" s="1086"/>
      <c r="AD258" s="1086">
        <v>0</v>
      </c>
      <c r="AE258" s="1086"/>
      <c r="AF258" s="1086"/>
      <c r="AG258" s="1086"/>
      <c r="AH258" s="1086"/>
      <c r="AI258" s="1086"/>
      <c r="AJ258" s="1086">
        <v>0</v>
      </c>
      <c r="AK258" s="1086"/>
      <c r="AL258" s="1086"/>
      <c r="AM258" s="1086"/>
      <c r="AN258" s="1086"/>
      <c r="AO258" s="1086"/>
      <c r="AP258" s="1086"/>
      <c r="AQ258" s="1086"/>
      <c r="AR258" s="1086"/>
      <c r="AS258" s="1086"/>
      <c r="AT258" s="1086"/>
      <c r="AU258" s="1086">
        <v>0</v>
      </c>
      <c r="AV258" s="1086"/>
      <c r="AW258" s="1086"/>
      <c r="AX258" s="1086"/>
      <c r="AY258" s="1086"/>
      <c r="AZ258" s="1086"/>
      <c r="BA258" s="1086"/>
      <c r="BB258" s="1086"/>
      <c r="BC258" s="1086">
        <v>0</v>
      </c>
      <c r="BD258" s="1086"/>
      <c r="BE258" s="1086"/>
      <c r="BF258" s="1086"/>
      <c r="BG258" s="1086">
        <v>0</v>
      </c>
      <c r="BH258" s="1086"/>
      <c r="BI258" s="1086"/>
      <c r="BJ258" s="1086"/>
      <c r="BK258" s="1086">
        <v>0</v>
      </c>
      <c r="BL258" s="1086"/>
      <c r="BM258" s="1086"/>
      <c r="BN258" s="1086"/>
      <c r="BO258" s="1086"/>
    </row>
    <row r="259" spans="1:69" ht="13.5" customHeight="1" x14ac:dyDescent="0.2">
      <c r="A259" s="1087" t="s">
        <v>651</v>
      </c>
      <c r="B259" s="1087"/>
      <c r="C259" s="1087"/>
      <c r="D259" s="1087"/>
      <c r="E259" s="1087"/>
      <c r="F259" s="1087"/>
      <c r="G259" s="1087"/>
      <c r="H259" s="1087"/>
      <c r="I259" s="1087"/>
      <c r="J259" s="1087"/>
      <c r="K259" s="1087"/>
      <c r="L259" s="1087"/>
      <c r="M259" s="1087"/>
      <c r="N259" s="1087"/>
      <c r="O259" s="1087"/>
      <c r="P259" s="1087"/>
      <c r="Q259" s="1087"/>
      <c r="R259" s="1087"/>
      <c r="S259" s="1086">
        <v>0</v>
      </c>
      <c r="T259" s="1086"/>
      <c r="U259" s="1086"/>
      <c r="V259" s="1086"/>
      <c r="W259" s="1086"/>
      <c r="X259" s="1086">
        <v>0</v>
      </c>
      <c r="Y259" s="1086"/>
      <c r="Z259" s="1086"/>
      <c r="AA259" s="1086"/>
      <c r="AB259" s="1086"/>
      <c r="AC259" s="1086"/>
      <c r="AD259" s="1086">
        <v>0</v>
      </c>
      <c r="AE259" s="1086"/>
      <c r="AF259" s="1086"/>
      <c r="AG259" s="1086"/>
      <c r="AH259" s="1086"/>
      <c r="AI259" s="1086"/>
      <c r="AJ259" s="1086">
        <v>0</v>
      </c>
      <c r="AK259" s="1086"/>
      <c r="AL259" s="1086"/>
      <c r="AM259" s="1086"/>
      <c r="AN259" s="1086"/>
      <c r="AO259" s="1086"/>
      <c r="AP259" s="1086"/>
      <c r="AQ259" s="1086"/>
      <c r="AR259" s="1086"/>
      <c r="AS259" s="1086"/>
      <c r="AT259" s="1086"/>
      <c r="AU259" s="1086">
        <v>0</v>
      </c>
      <c r="AV259" s="1086"/>
      <c r="AW259" s="1086"/>
      <c r="AX259" s="1086"/>
      <c r="AY259" s="1086"/>
      <c r="AZ259" s="1086"/>
      <c r="BA259" s="1086"/>
      <c r="BB259" s="1086"/>
      <c r="BC259" s="1086">
        <v>0</v>
      </c>
      <c r="BD259" s="1086"/>
      <c r="BE259" s="1086"/>
      <c r="BF259" s="1086"/>
      <c r="BG259" s="1086">
        <v>0</v>
      </c>
      <c r="BH259" s="1086"/>
      <c r="BI259" s="1086"/>
      <c r="BJ259" s="1086"/>
      <c r="BK259" s="1086">
        <v>0</v>
      </c>
      <c r="BL259" s="1086"/>
      <c r="BM259" s="1086"/>
      <c r="BN259" s="1086"/>
      <c r="BO259" s="1086"/>
    </row>
    <row r="260" spans="1:69" ht="13.5" customHeight="1" x14ac:dyDescent="0.2">
      <c r="A260" s="1087" t="s">
        <v>652</v>
      </c>
      <c r="B260" s="1087"/>
      <c r="C260" s="1087"/>
      <c r="D260" s="1087"/>
      <c r="E260" s="1087"/>
      <c r="F260" s="1087"/>
      <c r="G260" s="1087"/>
      <c r="H260" s="1087"/>
      <c r="I260" s="1087"/>
      <c r="J260" s="1087"/>
      <c r="K260" s="1087"/>
      <c r="L260" s="1087"/>
      <c r="M260" s="1087"/>
      <c r="N260" s="1087"/>
      <c r="O260" s="1087"/>
      <c r="P260" s="1087"/>
      <c r="Q260" s="1087"/>
      <c r="R260" s="1087"/>
      <c r="S260" s="1086">
        <v>0</v>
      </c>
      <c r="T260" s="1086"/>
      <c r="U260" s="1086"/>
      <c r="V260" s="1086"/>
      <c r="W260" s="1086"/>
      <c r="X260" s="1086">
        <v>0</v>
      </c>
      <c r="Y260" s="1086"/>
      <c r="Z260" s="1086"/>
      <c r="AA260" s="1086"/>
      <c r="AB260" s="1086"/>
      <c r="AC260" s="1086"/>
      <c r="AD260" s="1086">
        <v>0</v>
      </c>
      <c r="AE260" s="1086"/>
      <c r="AF260" s="1086"/>
      <c r="AG260" s="1086"/>
      <c r="AH260" s="1086"/>
      <c r="AI260" s="1086"/>
      <c r="AJ260" s="1086">
        <v>0</v>
      </c>
      <c r="AK260" s="1086"/>
      <c r="AL260" s="1086"/>
      <c r="AM260" s="1086"/>
      <c r="AN260" s="1086"/>
      <c r="AO260" s="1086"/>
      <c r="AP260" s="1086"/>
      <c r="AQ260" s="1086"/>
      <c r="AR260" s="1086"/>
      <c r="AS260" s="1086"/>
      <c r="AT260" s="1086"/>
      <c r="AU260" s="1086">
        <v>0</v>
      </c>
      <c r="AV260" s="1086"/>
      <c r="AW260" s="1086"/>
      <c r="AX260" s="1086"/>
      <c r="AY260" s="1086"/>
      <c r="AZ260" s="1086"/>
      <c r="BA260" s="1086"/>
      <c r="BB260" s="1086"/>
      <c r="BC260" s="1086">
        <v>0</v>
      </c>
      <c r="BD260" s="1086"/>
      <c r="BE260" s="1086"/>
      <c r="BF260" s="1086"/>
      <c r="BG260" s="1086">
        <v>0</v>
      </c>
      <c r="BH260" s="1086"/>
      <c r="BI260" s="1086"/>
      <c r="BJ260" s="1086"/>
      <c r="BK260" s="1086">
        <v>0</v>
      </c>
      <c r="BL260" s="1086"/>
      <c r="BM260" s="1086"/>
      <c r="BN260" s="1086"/>
      <c r="BO260" s="1086"/>
    </row>
    <row r="261" spans="1:69" ht="13.5" customHeight="1" x14ac:dyDescent="0.2">
      <c r="A261" s="1087" t="s">
        <v>653</v>
      </c>
      <c r="B261" s="1087"/>
      <c r="C261" s="1087"/>
      <c r="D261" s="1087"/>
      <c r="E261" s="1087"/>
      <c r="F261" s="1087"/>
      <c r="G261" s="1087"/>
      <c r="H261" s="1087"/>
      <c r="I261" s="1087"/>
      <c r="J261" s="1087"/>
      <c r="K261" s="1087"/>
      <c r="L261" s="1087"/>
      <c r="M261" s="1087"/>
      <c r="N261" s="1087"/>
      <c r="O261" s="1087"/>
      <c r="P261" s="1087"/>
      <c r="Q261" s="1087"/>
      <c r="R261" s="1087"/>
      <c r="S261" s="1086">
        <v>0</v>
      </c>
      <c r="T261" s="1086"/>
      <c r="U261" s="1086"/>
      <c r="V261" s="1086"/>
      <c r="W261" s="1086"/>
      <c r="X261" s="1086">
        <v>0</v>
      </c>
      <c r="Y261" s="1086"/>
      <c r="Z261" s="1086"/>
      <c r="AA261" s="1086"/>
      <c r="AB261" s="1086"/>
      <c r="AC261" s="1086"/>
      <c r="AD261" s="1086">
        <v>0</v>
      </c>
      <c r="AE261" s="1086"/>
      <c r="AF261" s="1086"/>
      <c r="AG261" s="1086"/>
      <c r="AH261" s="1086"/>
      <c r="AI261" s="1086"/>
      <c r="AJ261" s="1086">
        <v>0</v>
      </c>
      <c r="AK261" s="1086"/>
      <c r="AL261" s="1086"/>
      <c r="AM261" s="1086"/>
      <c r="AN261" s="1086"/>
      <c r="AO261" s="1086"/>
      <c r="AP261" s="1086"/>
      <c r="AQ261" s="1086"/>
      <c r="AR261" s="1086"/>
      <c r="AS261" s="1086"/>
      <c r="AT261" s="1086"/>
      <c r="AU261" s="1086">
        <v>0</v>
      </c>
      <c r="AV261" s="1086"/>
      <c r="AW261" s="1086"/>
      <c r="AX261" s="1086"/>
      <c r="AY261" s="1086"/>
      <c r="AZ261" s="1086"/>
      <c r="BA261" s="1086"/>
      <c r="BB261" s="1086"/>
      <c r="BC261" s="1086">
        <v>0</v>
      </c>
      <c r="BD261" s="1086"/>
      <c r="BE261" s="1086"/>
      <c r="BF261" s="1086"/>
      <c r="BG261" s="1086">
        <v>0</v>
      </c>
      <c r="BH261" s="1086"/>
      <c r="BI261" s="1086"/>
      <c r="BJ261" s="1086"/>
      <c r="BK261" s="1086">
        <v>0</v>
      </c>
      <c r="BL261" s="1086"/>
      <c r="BM261" s="1086"/>
      <c r="BN261" s="1086"/>
      <c r="BO261" s="1086"/>
    </row>
    <row r="262" spans="1:69" ht="13.5" customHeight="1" x14ac:dyDescent="0.2">
      <c r="A262" s="1087" t="s">
        <v>654</v>
      </c>
      <c r="B262" s="1087"/>
      <c r="C262" s="1087"/>
      <c r="D262" s="1087"/>
      <c r="E262" s="1087"/>
      <c r="F262" s="1087"/>
      <c r="G262" s="1087"/>
      <c r="H262" s="1087"/>
      <c r="I262" s="1087"/>
      <c r="J262" s="1087"/>
      <c r="K262" s="1087"/>
      <c r="L262" s="1087"/>
      <c r="M262" s="1087"/>
      <c r="N262" s="1087"/>
      <c r="O262" s="1087"/>
      <c r="P262" s="1087"/>
      <c r="Q262" s="1087"/>
      <c r="R262" s="1087"/>
      <c r="S262" s="1086">
        <v>0</v>
      </c>
      <c r="T262" s="1086"/>
      <c r="U262" s="1086"/>
      <c r="V262" s="1086"/>
      <c r="W262" s="1086"/>
      <c r="X262" s="1086">
        <v>0</v>
      </c>
      <c r="Y262" s="1086"/>
      <c r="Z262" s="1086"/>
      <c r="AA262" s="1086"/>
      <c r="AB262" s="1086"/>
      <c r="AC262" s="1086"/>
      <c r="AD262" s="1086">
        <v>0</v>
      </c>
      <c r="AE262" s="1086"/>
      <c r="AF262" s="1086"/>
      <c r="AG262" s="1086"/>
      <c r="AH262" s="1086"/>
      <c r="AI262" s="1086"/>
      <c r="AJ262" s="1086">
        <v>0</v>
      </c>
      <c r="AK262" s="1086"/>
      <c r="AL262" s="1086"/>
      <c r="AM262" s="1086"/>
      <c r="AN262" s="1086"/>
      <c r="AO262" s="1086"/>
      <c r="AP262" s="1086"/>
      <c r="AQ262" s="1086"/>
      <c r="AR262" s="1086"/>
      <c r="AS262" s="1086"/>
      <c r="AT262" s="1086"/>
      <c r="AU262" s="1086">
        <v>0</v>
      </c>
      <c r="AV262" s="1086"/>
      <c r="AW262" s="1086"/>
      <c r="AX262" s="1086"/>
      <c r="AY262" s="1086"/>
      <c r="AZ262" s="1086"/>
      <c r="BA262" s="1086"/>
      <c r="BB262" s="1086"/>
      <c r="BC262" s="1086">
        <v>0</v>
      </c>
      <c r="BD262" s="1086"/>
      <c r="BE262" s="1086"/>
      <c r="BF262" s="1086"/>
      <c r="BG262" s="1086">
        <v>0</v>
      </c>
      <c r="BH262" s="1086"/>
      <c r="BI262" s="1086"/>
      <c r="BJ262" s="1086"/>
      <c r="BK262" s="1086">
        <v>0</v>
      </c>
      <c r="BL262" s="1086"/>
      <c r="BM262" s="1086"/>
      <c r="BN262" s="1086"/>
      <c r="BO262" s="1086"/>
    </row>
    <row r="263" spans="1:69" ht="13.5" customHeight="1" x14ac:dyDescent="0.2">
      <c r="A263" s="1087" t="s">
        <v>655</v>
      </c>
      <c r="B263" s="1087"/>
      <c r="C263" s="1087"/>
      <c r="D263" s="1087"/>
      <c r="E263" s="1087"/>
      <c r="F263" s="1087"/>
      <c r="G263" s="1087"/>
      <c r="H263" s="1087"/>
      <c r="I263" s="1087"/>
      <c r="J263" s="1087"/>
      <c r="K263" s="1087"/>
      <c r="L263" s="1087"/>
      <c r="M263" s="1087"/>
      <c r="N263" s="1087"/>
      <c r="O263" s="1087"/>
      <c r="P263" s="1087"/>
      <c r="Q263" s="1087"/>
      <c r="R263" s="1087"/>
      <c r="S263" s="1086">
        <v>3395294</v>
      </c>
      <c r="T263" s="1086"/>
      <c r="U263" s="1086"/>
      <c r="V263" s="1086"/>
      <c r="W263" s="1086"/>
      <c r="X263" s="1086">
        <v>3987523</v>
      </c>
      <c r="Y263" s="1086"/>
      <c r="Z263" s="1086"/>
      <c r="AA263" s="1086"/>
      <c r="AB263" s="1086"/>
      <c r="AC263" s="1086"/>
      <c r="AD263" s="1116">
        <v>4519420</v>
      </c>
      <c r="AE263" s="1116"/>
      <c r="AF263" s="1116"/>
      <c r="AG263" s="1116"/>
      <c r="AH263" s="1116"/>
      <c r="AI263" s="1116"/>
      <c r="AJ263" s="1086">
        <v>3495062</v>
      </c>
      <c r="AK263" s="1086"/>
      <c r="AL263" s="1086"/>
      <c r="AM263" s="1086"/>
      <c r="AN263" s="1086"/>
      <c r="AO263" s="1086"/>
      <c r="AP263" s="1086"/>
      <c r="AQ263" s="1086"/>
      <c r="AR263" s="1086"/>
      <c r="AS263" s="1086"/>
      <c r="AT263" s="1086"/>
      <c r="AU263" s="1086">
        <v>2923930</v>
      </c>
      <c r="AV263" s="1086"/>
      <c r="AW263" s="1086"/>
      <c r="AX263" s="1086"/>
      <c r="AY263" s="1086"/>
      <c r="AZ263" s="1086"/>
      <c r="BA263" s="1086"/>
      <c r="BB263" s="1086"/>
      <c r="BC263" s="1086">
        <v>3390744</v>
      </c>
      <c r="BD263" s="1086"/>
      <c r="BE263" s="1086"/>
      <c r="BF263" s="1086"/>
      <c r="BG263" s="1086">
        <v>1825267</v>
      </c>
      <c r="BH263" s="1086"/>
      <c r="BI263" s="1086"/>
      <c r="BJ263" s="1086"/>
      <c r="BK263" s="1086">
        <v>1954310</v>
      </c>
      <c r="BL263" s="1086"/>
      <c r="BM263" s="1086"/>
      <c r="BN263" s="1086"/>
      <c r="BO263" s="1086"/>
      <c r="BQ263" s="5" t="s">
        <v>998</v>
      </c>
    </row>
    <row r="264" spans="1:69" ht="13.5" customHeight="1" x14ac:dyDescent="0.2">
      <c r="A264" s="1087" t="s">
        <v>656</v>
      </c>
      <c r="B264" s="1087"/>
      <c r="C264" s="1087"/>
      <c r="D264" s="1087"/>
      <c r="E264" s="1087"/>
      <c r="F264" s="1087"/>
      <c r="G264" s="1087"/>
      <c r="H264" s="1087"/>
      <c r="I264" s="1087"/>
      <c r="J264" s="1087"/>
      <c r="K264" s="1087"/>
      <c r="L264" s="1087"/>
      <c r="M264" s="1087"/>
      <c r="N264" s="1087"/>
      <c r="O264" s="1087"/>
      <c r="P264" s="1087"/>
      <c r="Q264" s="1087"/>
      <c r="R264" s="1087"/>
      <c r="S264" s="1086">
        <v>5110204</v>
      </c>
      <c r="T264" s="1086"/>
      <c r="U264" s="1086"/>
      <c r="V264" s="1086"/>
      <c r="W264" s="1086"/>
      <c r="X264" s="1115">
        <v>6691873</v>
      </c>
      <c r="Y264" s="1115"/>
      <c r="Z264" s="1115"/>
      <c r="AA264" s="1115"/>
      <c r="AB264" s="1115"/>
      <c r="AC264" s="1115"/>
      <c r="AD264" s="1086">
        <v>6691933</v>
      </c>
      <c r="AE264" s="1086"/>
      <c r="AF264" s="1086"/>
      <c r="AG264" s="1086"/>
      <c r="AH264" s="1086"/>
      <c r="AI264" s="1086"/>
      <c r="AJ264" s="1115">
        <v>7333471</v>
      </c>
      <c r="AK264" s="1115"/>
      <c r="AL264" s="1115"/>
      <c r="AM264" s="1115"/>
      <c r="AN264" s="1115"/>
      <c r="AO264" s="1115"/>
      <c r="AP264" s="1115"/>
      <c r="AQ264" s="1115"/>
      <c r="AR264" s="1115"/>
      <c r="AS264" s="1115"/>
      <c r="AT264" s="1115"/>
      <c r="AU264" s="1115">
        <v>6304053</v>
      </c>
      <c r="AV264" s="1115"/>
      <c r="AW264" s="1115"/>
      <c r="AX264" s="1115"/>
      <c r="AY264" s="1115"/>
      <c r="AZ264" s="1115"/>
      <c r="BA264" s="1115"/>
      <c r="BB264" s="1115"/>
      <c r="BC264" s="1086">
        <v>588287</v>
      </c>
      <c r="BD264" s="1086"/>
      <c r="BE264" s="1086"/>
      <c r="BF264" s="1086"/>
      <c r="BG264" s="1086">
        <v>808395</v>
      </c>
      <c r="BH264" s="1086"/>
      <c r="BI264" s="1086"/>
      <c r="BJ264" s="1086"/>
      <c r="BK264" s="1086">
        <v>952264</v>
      </c>
      <c r="BL264" s="1086"/>
      <c r="BM264" s="1086"/>
      <c r="BN264" s="1086"/>
      <c r="BO264" s="1086"/>
    </row>
    <row r="265" spans="1:69" ht="13.5" customHeight="1" x14ac:dyDescent="0.2">
      <c r="A265" s="1087" t="s">
        <v>657</v>
      </c>
      <c r="B265" s="1087"/>
      <c r="C265" s="1087"/>
      <c r="D265" s="1087"/>
      <c r="E265" s="1087"/>
      <c r="F265" s="1087"/>
      <c r="G265" s="1087"/>
      <c r="H265" s="1087"/>
      <c r="I265" s="1087"/>
      <c r="J265" s="1087"/>
      <c r="K265" s="1087"/>
      <c r="L265" s="1087"/>
      <c r="M265" s="1087"/>
      <c r="N265" s="1087"/>
      <c r="O265" s="1087"/>
      <c r="P265" s="1087"/>
      <c r="Q265" s="1087"/>
      <c r="R265" s="1087"/>
      <c r="S265" s="1086">
        <v>435</v>
      </c>
      <c r="T265" s="1086"/>
      <c r="U265" s="1086"/>
      <c r="V265" s="1086"/>
      <c r="W265" s="1086"/>
      <c r="X265" s="1086">
        <v>435</v>
      </c>
      <c r="Y265" s="1086"/>
      <c r="Z265" s="1086"/>
      <c r="AA265" s="1086"/>
      <c r="AB265" s="1086"/>
      <c r="AC265" s="1086"/>
      <c r="AD265" s="1086">
        <v>435</v>
      </c>
      <c r="AE265" s="1086"/>
      <c r="AF265" s="1086"/>
      <c r="AG265" s="1086"/>
      <c r="AH265" s="1086"/>
      <c r="AI265" s="1086"/>
      <c r="AJ265" s="1086">
        <v>435</v>
      </c>
      <c r="AK265" s="1086"/>
      <c r="AL265" s="1086"/>
      <c r="AM265" s="1086"/>
      <c r="AN265" s="1086"/>
      <c r="AO265" s="1086"/>
      <c r="AP265" s="1086"/>
      <c r="AQ265" s="1086"/>
      <c r="AR265" s="1086"/>
      <c r="AS265" s="1086"/>
      <c r="AT265" s="1086"/>
      <c r="AU265" s="1086">
        <v>310</v>
      </c>
      <c r="AV265" s="1086"/>
      <c r="AW265" s="1086"/>
      <c r="AX265" s="1086"/>
      <c r="AY265" s="1086"/>
      <c r="AZ265" s="1086"/>
      <c r="BA265" s="1086"/>
      <c r="BB265" s="1086"/>
      <c r="BC265" s="1086">
        <v>0</v>
      </c>
      <c r="BD265" s="1086"/>
      <c r="BE265" s="1086"/>
      <c r="BF265" s="1086"/>
      <c r="BG265" s="1086">
        <v>120</v>
      </c>
      <c r="BH265" s="1086"/>
      <c r="BI265" s="1086"/>
      <c r="BJ265" s="1086"/>
      <c r="BK265" s="1086">
        <v>0</v>
      </c>
      <c r="BL265" s="1086"/>
      <c r="BM265" s="1086"/>
      <c r="BN265" s="1086"/>
      <c r="BO265" s="1086"/>
    </row>
    <row r="266" spans="1:69" ht="13.5" customHeight="1" x14ac:dyDescent="0.2">
      <c r="A266" s="1087" t="s">
        <v>658</v>
      </c>
      <c r="B266" s="1087"/>
      <c r="C266" s="1087"/>
      <c r="D266" s="1087"/>
      <c r="E266" s="1087"/>
      <c r="F266" s="1087"/>
      <c r="G266" s="1087"/>
      <c r="H266" s="1087"/>
      <c r="I266" s="1087"/>
      <c r="J266" s="1087"/>
      <c r="K266" s="1087"/>
      <c r="L266" s="1087"/>
      <c r="M266" s="1087"/>
      <c r="N266" s="1087"/>
      <c r="O266" s="1087"/>
      <c r="P266" s="1087"/>
      <c r="Q266" s="1087"/>
      <c r="R266" s="1087"/>
      <c r="S266" s="1086">
        <v>0</v>
      </c>
      <c r="T266" s="1086"/>
      <c r="U266" s="1086"/>
      <c r="V266" s="1086"/>
      <c r="W266" s="1086"/>
      <c r="X266" s="1086">
        <v>0</v>
      </c>
      <c r="Y266" s="1086"/>
      <c r="Z266" s="1086"/>
      <c r="AA266" s="1086"/>
      <c r="AB266" s="1086"/>
      <c r="AC266" s="1086"/>
      <c r="AD266" s="1086">
        <v>25580</v>
      </c>
      <c r="AE266" s="1086"/>
      <c r="AF266" s="1086"/>
      <c r="AG266" s="1086"/>
      <c r="AH266" s="1086"/>
      <c r="AI266" s="1086"/>
      <c r="AJ266" s="1086">
        <v>38724</v>
      </c>
      <c r="AK266" s="1086"/>
      <c r="AL266" s="1086"/>
      <c r="AM266" s="1086"/>
      <c r="AN266" s="1086"/>
      <c r="AO266" s="1086"/>
      <c r="AP266" s="1086"/>
      <c r="AQ266" s="1086"/>
      <c r="AR266" s="1086"/>
      <c r="AS266" s="1086"/>
      <c r="AT266" s="1086"/>
      <c r="AU266" s="1086">
        <v>0</v>
      </c>
      <c r="AV266" s="1086"/>
      <c r="AW266" s="1086"/>
      <c r="AX266" s="1086"/>
      <c r="AY266" s="1086"/>
      <c r="AZ266" s="1086"/>
      <c r="BA266" s="1086"/>
      <c r="BB266" s="1086"/>
      <c r="BC266" s="1086">
        <v>0</v>
      </c>
      <c r="BD266" s="1086"/>
      <c r="BE266" s="1086"/>
      <c r="BF266" s="1086"/>
      <c r="BG266" s="1086">
        <v>0</v>
      </c>
      <c r="BH266" s="1086"/>
      <c r="BI266" s="1086"/>
      <c r="BJ266" s="1086"/>
      <c r="BK266" s="1086">
        <v>0</v>
      </c>
      <c r="BL266" s="1086"/>
      <c r="BM266" s="1086"/>
      <c r="BN266" s="1086"/>
      <c r="BO266" s="1086"/>
    </row>
    <row r="267" spans="1:69" ht="13.5" customHeight="1" x14ac:dyDescent="0.2">
      <c r="A267" s="1087" t="s">
        <v>659</v>
      </c>
      <c r="B267" s="1087"/>
      <c r="C267" s="1087"/>
      <c r="D267" s="1087"/>
      <c r="E267" s="1087"/>
      <c r="F267" s="1087"/>
      <c r="G267" s="1087"/>
      <c r="H267" s="1087"/>
      <c r="I267" s="1087"/>
      <c r="J267" s="1087"/>
      <c r="K267" s="1087"/>
      <c r="L267" s="1087"/>
      <c r="M267" s="1087"/>
      <c r="N267" s="1087"/>
      <c r="O267" s="1087"/>
      <c r="P267" s="1087"/>
      <c r="Q267" s="1087"/>
      <c r="R267" s="1087"/>
      <c r="S267" s="1086">
        <v>0</v>
      </c>
      <c r="T267" s="1086"/>
      <c r="U267" s="1086"/>
      <c r="V267" s="1086"/>
      <c r="W267" s="1086"/>
      <c r="X267" s="1086">
        <v>0</v>
      </c>
      <c r="Y267" s="1086"/>
      <c r="Z267" s="1086"/>
      <c r="AA267" s="1086"/>
      <c r="AB267" s="1086"/>
      <c r="AC267" s="1086"/>
      <c r="AD267" s="1086">
        <v>0</v>
      </c>
      <c r="AE267" s="1086"/>
      <c r="AF267" s="1086"/>
      <c r="AG267" s="1086"/>
      <c r="AH267" s="1086"/>
      <c r="AI267" s="1086"/>
      <c r="AJ267" s="1086">
        <v>0</v>
      </c>
      <c r="AK267" s="1086"/>
      <c r="AL267" s="1086"/>
      <c r="AM267" s="1086"/>
      <c r="AN267" s="1086"/>
      <c r="AO267" s="1086"/>
      <c r="AP267" s="1086"/>
      <c r="AQ267" s="1086"/>
      <c r="AR267" s="1086"/>
      <c r="AS267" s="1086"/>
      <c r="AT267" s="1086"/>
      <c r="AU267" s="1086">
        <v>0</v>
      </c>
      <c r="AV267" s="1086"/>
      <c r="AW267" s="1086"/>
      <c r="AX267" s="1086"/>
      <c r="AY267" s="1086"/>
      <c r="AZ267" s="1086"/>
      <c r="BA267" s="1086"/>
      <c r="BB267" s="1086"/>
      <c r="BC267" s="1086">
        <v>73</v>
      </c>
      <c r="BD267" s="1086"/>
      <c r="BE267" s="1086"/>
      <c r="BF267" s="1086"/>
      <c r="BG267" s="1086">
        <v>73</v>
      </c>
      <c r="BH267" s="1086"/>
      <c r="BI267" s="1086"/>
      <c r="BJ267" s="1086"/>
      <c r="BK267" s="1086">
        <v>0</v>
      </c>
      <c r="BL267" s="1086"/>
      <c r="BM267" s="1086"/>
      <c r="BN267" s="1086"/>
      <c r="BO267" s="1086"/>
    </row>
    <row r="268" spans="1:69" ht="13.5" customHeight="1" x14ac:dyDescent="0.2">
      <c r="A268" s="1087" t="s">
        <v>660</v>
      </c>
      <c r="B268" s="1087"/>
      <c r="C268" s="1087"/>
      <c r="D268" s="1087"/>
      <c r="E268" s="1087"/>
      <c r="F268" s="1087"/>
      <c r="G268" s="1087"/>
      <c r="H268" s="1087"/>
      <c r="I268" s="1087"/>
      <c r="J268" s="1087"/>
      <c r="K268" s="1087"/>
      <c r="L268" s="1087"/>
      <c r="M268" s="1087"/>
      <c r="N268" s="1087"/>
      <c r="O268" s="1087"/>
      <c r="P268" s="1087"/>
      <c r="Q268" s="1087"/>
      <c r="R268" s="1087"/>
      <c r="S268" s="1086">
        <v>0</v>
      </c>
      <c r="T268" s="1086"/>
      <c r="U268" s="1086"/>
      <c r="V268" s="1086"/>
      <c r="W268" s="1086"/>
      <c r="X268" s="1086">
        <v>0</v>
      </c>
      <c r="Y268" s="1086"/>
      <c r="Z268" s="1086"/>
      <c r="AA268" s="1086"/>
      <c r="AB268" s="1086"/>
      <c r="AC268" s="1086"/>
      <c r="AD268" s="1086">
        <v>0</v>
      </c>
      <c r="AE268" s="1086"/>
      <c r="AF268" s="1086"/>
      <c r="AG268" s="1086"/>
      <c r="AH268" s="1086"/>
      <c r="AI268" s="1086"/>
      <c r="AJ268" s="1086">
        <v>0</v>
      </c>
      <c r="AK268" s="1086"/>
      <c r="AL268" s="1086"/>
      <c r="AM268" s="1086"/>
      <c r="AN268" s="1086"/>
      <c r="AO268" s="1086"/>
      <c r="AP268" s="1086"/>
      <c r="AQ268" s="1086"/>
      <c r="AR268" s="1086"/>
      <c r="AS268" s="1086"/>
      <c r="AT268" s="1086"/>
      <c r="AU268" s="1086">
        <v>0</v>
      </c>
      <c r="AV268" s="1086"/>
      <c r="AW268" s="1086"/>
      <c r="AX268" s="1086"/>
      <c r="AY268" s="1086"/>
      <c r="AZ268" s="1086"/>
      <c r="BA268" s="1086"/>
      <c r="BB268" s="1086"/>
      <c r="BC268" s="1086">
        <v>0</v>
      </c>
      <c r="BD268" s="1086"/>
      <c r="BE268" s="1086"/>
      <c r="BF268" s="1086"/>
      <c r="BG268" s="1086">
        <v>0</v>
      </c>
      <c r="BH268" s="1086"/>
      <c r="BI268" s="1086"/>
      <c r="BJ268" s="1086"/>
      <c r="BK268" s="1086">
        <v>0</v>
      </c>
      <c r="BL268" s="1086"/>
      <c r="BM268" s="1086"/>
      <c r="BN268" s="1086"/>
      <c r="BO268" s="1086"/>
    </row>
    <row r="269" spans="1:69" ht="13.5" customHeight="1" x14ac:dyDescent="0.2">
      <c r="A269" s="1087" t="s">
        <v>661</v>
      </c>
      <c r="B269" s="1087"/>
      <c r="C269" s="1087"/>
      <c r="D269" s="1087"/>
      <c r="E269" s="1087"/>
      <c r="F269" s="1087"/>
      <c r="G269" s="1087"/>
      <c r="H269" s="1087"/>
      <c r="I269" s="1087"/>
      <c r="J269" s="1087"/>
      <c r="K269" s="1087"/>
      <c r="L269" s="1087"/>
      <c r="M269" s="1087"/>
      <c r="N269" s="1087"/>
      <c r="O269" s="1087"/>
      <c r="P269" s="1087"/>
      <c r="Q269" s="1087"/>
      <c r="R269" s="1087"/>
      <c r="S269" s="1086">
        <v>2274193</v>
      </c>
      <c r="T269" s="1086"/>
      <c r="U269" s="1086"/>
      <c r="V269" s="1086"/>
      <c r="W269" s="1086"/>
      <c r="X269" s="1086">
        <v>2343088</v>
      </c>
      <c r="Y269" s="1086"/>
      <c r="Z269" s="1086"/>
      <c r="AA269" s="1086"/>
      <c r="AB269" s="1086"/>
      <c r="AC269" s="1086"/>
      <c r="AD269" s="1086">
        <v>2517619</v>
      </c>
      <c r="AE269" s="1086"/>
      <c r="AF269" s="1086"/>
      <c r="AG269" s="1086"/>
      <c r="AH269" s="1086"/>
      <c r="AI269" s="1086"/>
      <c r="AJ269" s="1086">
        <v>2142223</v>
      </c>
      <c r="AK269" s="1086"/>
      <c r="AL269" s="1086"/>
      <c r="AM269" s="1086"/>
      <c r="AN269" s="1086"/>
      <c r="AO269" s="1086"/>
      <c r="AP269" s="1086"/>
      <c r="AQ269" s="1086"/>
      <c r="AR269" s="1086"/>
      <c r="AS269" s="1086"/>
      <c r="AT269" s="1086"/>
      <c r="AU269" s="1086">
        <v>1385728</v>
      </c>
      <c r="AV269" s="1086"/>
      <c r="AW269" s="1086"/>
      <c r="AX269" s="1086"/>
      <c r="AY269" s="1086"/>
      <c r="AZ269" s="1086"/>
      <c r="BA269" s="1086"/>
      <c r="BB269" s="1086"/>
      <c r="BC269" s="1086">
        <v>2083244</v>
      </c>
      <c r="BD269" s="1086"/>
      <c r="BE269" s="1086"/>
      <c r="BF269" s="1086"/>
      <c r="BG269" s="1086">
        <v>1195746</v>
      </c>
      <c r="BH269" s="1086"/>
      <c r="BI269" s="1086"/>
      <c r="BJ269" s="1086"/>
      <c r="BK269" s="1086">
        <v>1264218</v>
      </c>
      <c r="BL269" s="1086"/>
      <c r="BM269" s="1086"/>
      <c r="BN269" s="1086"/>
      <c r="BO269" s="1086"/>
    </row>
    <row r="270" spans="1:69" ht="13.5" customHeight="1" x14ac:dyDescent="0.2">
      <c r="A270" s="1087" t="s">
        <v>662</v>
      </c>
      <c r="B270" s="1087"/>
      <c r="C270" s="1087"/>
      <c r="D270" s="1087"/>
      <c r="E270" s="1087"/>
      <c r="F270" s="1087"/>
      <c r="G270" s="1087"/>
      <c r="H270" s="1087"/>
      <c r="I270" s="1087"/>
      <c r="J270" s="1087"/>
      <c r="K270" s="1087"/>
      <c r="L270" s="1087"/>
      <c r="M270" s="1087"/>
      <c r="N270" s="1087"/>
      <c r="O270" s="1087"/>
      <c r="P270" s="1087"/>
      <c r="Q270" s="1087"/>
      <c r="R270" s="1087"/>
      <c r="S270" s="1086">
        <v>0</v>
      </c>
      <c r="T270" s="1086"/>
      <c r="U270" s="1086"/>
      <c r="V270" s="1086"/>
      <c r="W270" s="1086"/>
      <c r="X270" s="1086">
        <v>0</v>
      </c>
      <c r="Y270" s="1086"/>
      <c r="Z270" s="1086"/>
      <c r="AA270" s="1086"/>
      <c r="AB270" s="1086"/>
      <c r="AC270" s="1086"/>
      <c r="AD270" s="1086">
        <v>0</v>
      </c>
      <c r="AE270" s="1086"/>
      <c r="AF270" s="1086"/>
      <c r="AG270" s="1086"/>
      <c r="AH270" s="1086"/>
      <c r="AI270" s="1086"/>
      <c r="AJ270" s="1086">
        <v>0</v>
      </c>
      <c r="AK270" s="1086"/>
      <c r="AL270" s="1086"/>
      <c r="AM270" s="1086"/>
      <c r="AN270" s="1086"/>
      <c r="AO270" s="1086"/>
      <c r="AP270" s="1086"/>
      <c r="AQ270" s="1086"/>
      <c r="AR270" s="1086"/>
      <c r="AS270" s="1086"/>
      <c r="AT270" s="1086"/>
      <c r="AU270" s="1086">
        <v>0</v>
      </c>
      <c r="AV270" s="1086"/>
      <c r="AW270" s="1086"/>
      <c r="AX270" s="1086"/>
      <c r="AY270" s="1086"/>
      <c r="AZ270" s="1086"/>
      <c r="BA270" s="1086"/>
      <c r="BB270" s="1086"/>
      <c r="BC270" s="1086">
        <v>0</v>
      </c>
      <c r="BD270" s="1086"/>
      <c r="BE270" s="1086"/>
      <c r="BF270" s="1086"/>
      <c r="BG270" s="1086">
        <v>0</v>
      </c>
      <c r="BH270" s="1086"/>
      <c r="BI270" s="1086"/>
      <c r="BJ270" s="1086"/>
      <c r="BK270" s="1086">
        <v>0</v>
      </c>
      <c r="BL270" s="1086"/>
      <c r="BM270" s="1086"/>
      <c r="BN270" s="1086"/>
      <c r="BO270" s="1086"/>
    </row>
    <row r="271" spans="1:69" ht="13.5" customHeight="1" x14ac:dyDescent="0.2">
      <c r="A271" s="1087" t="s">
        <v>663</v>
      </c>
      <c r="B271" s="1087"/>
      <c r="C271" s="1087"/>
      <c r="D271" s="1087"/>
      <c r="E271" s="1087"/>
      <c r="F271" s="1087"/>
      <c r="G271" s="1087"/>
      <c r="H271" s="1087"/>
      <c r="I271" s="1087"/>
      <c r="J271" s="1087"/>
      <c r="K271" s="1087"/>
      <c r="L271" s="1087"/>
      <c r="M271" s="1087"/>
      <c r="N271" s="1087"/>
      <c r="O271" s="1087"/>
      <c r="P271" s="1087"/>
      <c r="Q271" s="1087"/>
      <c r="R271" s="1087"/>
      <c r="S271" s="1086">
        <v>0</v>
      </c>
      <c r="T271" s="1086"/>
      <c r="U271" s="1086"/>
      <c r="V271" s="1086"/>
      <c r="W271" s="1086"/>
      <c r="X271" s="1086">
        <v>0</v>
      </c>
      <c r="Y271" s="1086"/>
      <c r="Z271" s="1086"/>
      <c r="AA271" s="1086"/>
      <c r="AB271" s="1086"/>
      <c r="AC271" s="1086"/>
      <c r="AD271" s="1086">
        <v>0</v>
      </c>
      <c r="AE271" s="1086"/>
      <c r="AF271" s="1086"/>
      <c r="AG271" s="1086"/>
      <c r="AH271" s="1086"/>
      <c r="AI271" s="1086"/>
      <c r="AJ271" s="1086">
        <v>0</v>
      </c>
      <c r="AK271" s="1086"/>
      <c r="AL271" s="1086"/>
      <c r="AM271" s="1086"/>
      <c r="AN271" s="1086"/>
      <c r="AO271" s="1086"/>
      <c r="AP271" s="1086"/>
      <c r="AQ271" s="1086"/>
      <c r="AR271" s="1086"/>
      <c r="AS271" s="1086"/>
      <c r="AT271" s="1086"/>
      <c r="AU271" s="1086">
        <v>0</v>
      </c>
      <c r="AV271" s="1086"/>
      <c r="AW271" s="1086"/>
      <c r="AX271" s="1086"/>
      <c r="AY271" s="1086"/>
      <c r="AZ271" s="1086"/>
      <c r="BA271" s="1086"/>
      <c r="BB271" s="1086"/>
      <c r="BC271" s="1086">
        <v>0</v>
      </c>
      <c r="BD271" s="1086"/>
      <c r="BE271" s="1086"/>
      <c r="BF271" s="1086"/>
      <c r="BG271" s="1086">
        <v>0</v>
      </c>
      <c r="BH271" s="1086"/>
      <c r="BI271" s="1086"/>
      <c r="BJ271" s="1086"/>
      <c r="BK271" s="1086">
        <v>0</v>
      </c>
      <c r="BL271" s="1086"/>
      <c r="BM271" s="1086"/>
      <c r="BN271" s="1086"/>
      <c r="BO271" s="1086"/>
    </row>
    <row r="272" spans="1:69" ht="13.5" customHeight="1" x14ac:dyDescent="0.2">
      <c r="A272" s="1087" t="s">
        <v>664</v>
      </c>
      <c r="B272" s="1087"/>
      <c r="C272" s="1087"/>
      <c r="D272" s="1087"/>
      <c r="E272" s="1087"/>
      <c r="F272" s="1087"/>
      <c r="G272" s="1087"/>
      <c r="H272" s="1087"/>
      <c r="I272" s="1087"/>
      <c r="J272" s="1087"/>
      <c r="K272" s="1087"/>
      <c r="L272" s="1087"/>
      <c r="M272" s="1087"/>
      <c r="N272" s="1087"/>
      <c r="O272" s="1087"/>
      <c r="P272" s="1087"/>
      <c r="Q272" s="1087"/>
      <c r="R272" s="1087"/>
      <c r="S272" s="1086">
        <v>0</v>
      </c>
      <c r="T272" s="1086"/>
      <c r="U272" s="1086"/>
      <c r="V272" s="1086"/>
      <c r="W272" s="1086"/>
      <c r="X272" s="1086">
        <v>0</v>
      </c>
      <c r="Y272" s="1086"/>
      <c r="Z272" s="1086"/>
      <c r="AA272" s="1086"/>
      <c r="AB272" s="1086"/>
      <c r="AC272" s="1086"/>
      <c r="AD272" s="1086">
        <v>0</v>
      </c>
      <c r="AE272" s="1086"/>
      <c r="AF272" s="1086"/>
      <c r="AG272" s="1086"/>
      <c r="AH272" s="1086"/>
      <c r="AI272" s="1086"/>
      <c r="AJ272" s="1086">
        <v>0</v>
      </c>
      <c r="AK272" s="1086"/>
      <c r="AL272" s="1086"/>
      <c r="AM272" s="1086"/>
      <c r="AN272" s="1086"/>
      <c r="AO272" s="1086"/>
      <c r="AP272" s="1086"/>
      <c r="AQ272" s="1086"/>
      <c r="AR272" s="1086"/>
      <c r="AS272" s="1086"/>
      <c r="AT272" s="1086"/>
      <c r="AU272" s="1086">
        <v>0</v>
      </c>
      <c r="AV272" s="1086"/>
      <c r="AW272" s="1086"/>
      <c r="AX272" s="1086"/>
      <c r="AY272" s="1086"/>
      <c r="AZ272" s="1086"/>
      <c r="BA272" s="1086"/>
      <c r="BB272" s="1086"/>
      <c r="BC272" s="1086">
        <v>0</v>
      </c>
      <c r="BD272" s="1086"/>
      <c r="BE272" s="1086"/>
      <c r="BF272" s="1086"/>
      <c r="BG272" s="1086">
        <v>0</v>
      </c>
      <c r="BH272" s="1086"/>
      <c r="BI272" s="1086"/>
      <c r="BJ272" s="1086"/>
      <c r="BK272" s="1086">
        <v>0</v>
      </c>
      <c r="BL272" s="1086"/>
      <c r="BM272" s="1086"/>
      <c r="BN272" s="1086"/>
      <c r="BO272" s="1086"/>
    </row>
    <row r="273" spans="1:71" ht="13.5" customHeight="1" x14ac:dyDescent="0.2">
      <c r="A273" s="1087" t="s">
        <v>665</v>
      </c>
      <c r="B273" s="1087"/>
      <c r="C273" s="1087"/>
      <c r="D273" s="1087"/>
      <c r="E273" s="1087"/>
      <c r="F273" s="1087"/>
      <c r="G273" s="1087"/>
      <c r="H273" s="1087"/>
      <c r="I273" s="1087"/>
      <c r="J273" s="1087"/>
      <c r="K273" s="1087"/>
      <c r="L273" s="1087"/>
      <c r="M273" s="1087"/>
      <c r="N273" s="1087"/>
      <c r="O273" s="1087"/>
      <c r="P273" s="1087"/>
      <c r="Q273" s="1087"/>
      <c r="R273" s="1087"/>
      <c r="S273" s="1086">
        <v>0</v>
      </c>
      <c r="T273" s="1086"/>
      <c r="U273" s="1086"/>
      <c r="V273" s="1086"/>
      <c r="W273" s="1086"/>
      <c r="X273" s="1086">
        <v>0</v>
      </c>
      <c r="Y273" s="1086"/>
      <c r="Z273" s="1086"/>
      <c r="AA273" s="1086"/>
      <c r="AB273" s="1086"/>
      <c r="AC273" s="1086"/>
      <c r="AD273" s="1086">
        <v>0</v>
      </c>
      <c r="AE273" s="1086"/>
      <c r="AF273" s="1086"/>
      <c r="AG273" s="1086"/>
      <c r="AH273" s="1086"/>
      <c r="AI273" s="1086"/>
      <c r="AJ273" s="1086">
        <v>0</v>
      </c>
      <c r="AK273" s="1086"/>
      <c r="AL273" s="1086"/>
      <c r="AM273" s="1086"/>
      <c r="AN273" s="1086"/>
      <c r="AO273" s="1086"/>
      <c r="AP273" s="1086"/>
      <c r="AQ273" s="1086"/>
      <c r="AR273" s="1086"/>
      <c r="AS273" s="1086"/>
      <c r="AT273" s="1086"/>
      <c r="AU273" s="1086">
        <v>0</v>
      </c>
      <c r="AV273" s="1086"/>
      <c r="AW273" s="1086"/>
      <c r="AX273" s="1086"/>
      <c r="AY273" s="1086"/>
      <c r="AZ273" s="1086"/>
      <c r="BA273" s="1086"/>
      <c r="BB273" s="1086"/>
      <c r="BC273" s="1086">
        <v>0</v>
      </c>
      <c r="BD273" s="1086"/>
      <c r="BE273" s="1086"/>
      <c r="BF273" s="1086"/>
      <c r="BG273" s="1086">
        <v>0</v>
      </c>
      <c r="BH273" s="1086"/>
      <c r="BI273" s="1086"/>
      <c r="BJ273" s="1086"/>
      <c r="BK273" s="1086">
        <v>0</v>
      </c>
      <c r="BL273" s="1086"/>
      <c r="BM273" s="1086"/>
      <c r="BN273" s="1086"/>
      <c r="BO273" s="1086"/>
    </row>
    <row r="274" spans="1:71" ht="13.5" customHeight="1" x14ac:dyDescent="0.2">
      <c r="A274" s="1087" t="s">
        <v>666</v>
      </c>
      <c r="B274" s="1087"/>
      <c r="C274" s="1087"/>
      <c r="D274" s="1087"/>
      <c r="E274" s="1087"/>
      <c r="F274" s="1087"/>
      <c r="G274" s="1087"/>
      <c r="H274" s="1087"/>
      <c r="I274" s="1087"/>
      <c r="J274" s="1087"/>
      <c r="K274" s="1087"/>
      <c r="L274" s="1087"/>
      <c r="M274" s="1087"/>
      <c r="N274" s="1087"/>
      <c r="O274" s="1087"/>
      <c r="P274" s="1087"/>
      <c r="Q274" s="1087"/>
      <c r="R274" s="1087"/>
      <c r="S274" s="1086">
        <v>0</v>
      </c>
      <c r="T274" s="1086"/>
      <c r="U274" s="1086"/>
      <c r="V274" s="1086"/>
      <c r="W274" s="1086"/>
      <c r="X274" s="1086">
        <v>0</v>
      </c>
      <c r="Y274" s="1086"/>
      <c r="Z274" s="1086"/>
      <c r="AA274" s="1086"/>
      <c r="AB274" s="1086"/>
      <c r="AC274" s="1086"/>
      <c r="AD274" s="1086">
        <v>0</v>
      </c>
      <c r="AE274" s="1086"/>
      <c r="AF274" s="1086"/>
      <c r="AG274" s="1086"/>
      <c r="AH274" s="1086"/>
      <c r="AI274" s="1086"/>
      <c r="AJ274" s="1086">
        <v>0</v>
      </c>
      <c r="AK274" s="1086"/>
      <c r="AL274" s="1086"/>
      <c r="AM274" s="1086"/>
      <c r="AN274" s="1086"/>
      <c r="AO274" s="1086"/>
      <c r="AP274" s="1086"/>
      <c r="AQ274" s="1086"/>
      <c r="AR274" s="1086"/>
      <c r="AS274" s="1086"/>
      <c r="AT274" s="1086"/>
      <c r="AU274" s="1086">
        <v>0</v>
      </c>
      <c r="AV274" s="1086"/>
      <c r="AW274" s="1086"/>
      <c r="AX274" s="1086"/>
      <c r="AY274" s="1086"/>
      <c r="AZ274" s="1086"/>
      <c r="BA274" s="1086"/>
      <c r="BB274" s="1086"/>
      <c r="BC274" s="1086">
        <v>0</v>
      </c>
      <c r="BD274" s="1086"/>
      <c r="BE274" s="1086"/>
      <c r="BF274" s="1086"/>
      <c r="BG274" s="1086">
        <v>0</v>
      </c>
      <c r="BH274" s="1086"/>
      <c r="BI274" s="1086"/>
      <c r="BJ274" s="1086"/>
      <c r="BK274" s="1086">
        <v>0</v>
      </c>
      <c r="BL274" s="1086"/>
      <c r="BM274" s="1086"/>
      <c r="BN274" s="1086"/>
      <c r="BO274" s="1086"/>
    </row>
    <row r="275" spans="1:71" ht="13.5" customHeight="1" x14ac:dyDescent="0.2">
      <c r="A275" s="1087" t="s">
        <v>667</v>
      </c>
      <c r="B275" s="1087"/>
      <c r="C275" s="1087"/>
      <c r="D275" s="1087"/>
      <c r="E275" s="1087"/>
      <c r="F275" s="1087"/>
      <c r="G275" s="1087"/>
      <c r="H275" s="1087"/>
      <c r="I275" s="1087"/>
      <c r="J275" s="1087"/>
      <c r="K275" s="1087"/>
      <c r="L275" s="1087"/>
      <c r="M275" s="1087"/>
      <c r="N275" s="1087"/>
      <c r="O275" s="1087"/>
      <c r="P275" s="1087"/>
      <c r="Q275" s="1087"/>
      <c r="R275" s="1087"/>
      <c r="S275" s="1086">
        <v>0</v>
      </c>
      <c r="T275" s="1086"/>
      <c r="U275" s="1086"/>
      <c r="V275" s="1086"/>
      <c r="W275" s="1086"/>
      <c r="X275" s="1086">
        <v>0</v>
      </c>
      <c r="Y275" s="1086"/>
      <c r="Z275" s="1086"/>
      <c r="AA275" s="1086"/>
      <c r="AB275" s="1086"/>
      <c r="AC275" s="1086"/>
      <c r="AD275" s="1086">
        <v>0</v>
      </c>
      <c r="AE275" s="1086"/>
      <c r="AF275" s="1086"/>
      <c r="AG275" s="1086"/>
      <c r="AH275" s="1086"/>
      <c r="AI275" s="1086"/>
      <c r="AJ275" s="1086">
        <v>0</v>
      </c>
      <c r="AK275" s="1086"/>
      <c r="AL275" s="1086"/>
      <c r="AM275" s="1086"/>
      <c r="AN275" s="1086"/>
      <c r="AO275" s="1086"/>
      <c r="AP275" s="1086"/>
      <c r="AQ275" s="1086"/>
      <c r="AR275" s="1086"/>
      <c r="AS275" s="1086"/>
      <c r="AT275" s="1086"/>
      <c r="AU275" s="1086">
        <v>0</v>
      </c>
      <c r="AV275" s="1086"/>
      <c r="AW275" s="1086"/>
      <c r="AX275" s="1086"/>
      <c r="AY275" s="1086"/>
      <c r="AZ275" s="1086"/>
      <c r="BA275" s="1086"/>
      <c r="BB275" s="1086"/>
      <c r="BC275" s="1086">
        <v>0</v>
      </c>
      <c r="BD275" s="1086"/>
      <c r="BE275" s="1086"/>
      <c r="BF275" s="1086"/>
      <c r="BG275" s="1086">
        <v>0</v>
      </c>
      <c r="BH275" s="1086"/>
      <c r="BI275" s="1086"/>
      <c r="BJ275" s="1086"/>
      <c r="BK275" s="1086">
        <v>0</v>
      </c>
      <c r="BL275" s="1086"/>
      <c r="BM275" s="1086"/>
      <c r="BN275" s="1086"/>
      <c r="BO275" s="1086"/>
    </row>
    <row r="276" spans="1:71" ht="13.5" customHeight="1" x14ac:dyDescent="0.2">
      <c r="A276" s="1087" t="s">
        <v>668</v>
      </c>
      <c r="B276" s="1087"/>
      <c r="C276" s="1087"/>
      <c r="D276" s="1087"/>
      <c r="E276" s="1087"/>
      <c r="F276" s="1087"/>
      <c r="G276" s="1087"/>
      <c r="H276" s="1087"/>
      <c r="I276" s="1087"/>
      <c r="J276" s="1087"/>
      <c r="K276" s="1087"/>
      <c r="L276" s="1087"/>
      <c r="M276" s="1087"/>
      <c r="N276" s="1087"/>
      <c r="O276" s="1087"/>
      <c r="P276" s="1087"/>
      <c r="Q276" s="1087"/>
      <c r="R276" s="1087"/>
      <c r="S276" s="1086">
        <v>0</v>
      </c>
      <c r="T276" s="1086"/>
      <c r="U276" s="1086"/>
      <c r="V276" s="1086"/>
      <c r="W276" s="1086"/>
      <c r="X276" s="1086">
        <v>0</v>
      </c>
      <c r="Y276" s="1086"/>
      <c r="Z276" s="1086"/>
      <c r="AA276" s="1086"/>
      <c r="AB276" s="1086"/>
      <c r="AC276" s="1086"/>
      <c r="AD276" s="1086">
        <v>0</v>
      </c>
      <c r="AE276" s="1086"/>
      <c r="AF276" s="1086"/>
      <c r="AG276" s="1086"/>
      <c r="AH276" s="1086"/>
      <c r="AI276" s="1086"/>
      <c r="AJ276" s="1086">
        <v>0</v>
      </c>
      <c r="AK276" s="1086"/>
      <c r="AL276" s="1086"/>
      <c r="AM276" s="1086"/>
      <c r="AN276" s="1086"/>
      <c r="AO276" s="1086"/>
      <c r="AP276" s="1086"/>
      <c r="AQ276" s="1086"/>
      <c r="AR276" s="1086"/>
      <c r="AS276" s="1086"/>
      <c r="AT276" s="1086"/>
      <c r="AU276" s="1086">
        <v>0</v>
      </c>
      <c r="AV276" s="1086"/>
      <c r="AW276" s="1086"/>
      <c r="AX276" s="1086"/>
      <c r="AY276" s="1086"/>
      <c r="AZ276" s="1086"/>
      <c r="BA276" s="1086"/>
      <c r="BB276" s="1086"/>
      <c r="BC276" s="1086">
        <v>0</v>
      </c>
      <c r="BD276" s="1086"/>
      <c r="BE276" s="1086"/>
      <c r="BF276" s="1086"/>
      <c r="BG276" s="1086">
        <v>0</v>
      </c>
      <c r="BH276" s="1086"/>
      <c r="BI276" s="1086"/>
      <c r="BJ276" s="1086"/>
      <c r="BK276" s="1086">
        <v>0</v>
      </c>
      <c r="BL276" s="1086"/>
      <c r="BM276" s="1086"/>
      <c r="BN276" s="1086"/>
      <c r="BO276" s="1086"/>
    </row>
    <row r="277" spans="1:71" ht="13.5" customHeight="1" x14ac:dyDescent="0.2">
      <c r="A277" s="1087" t="s">
        <v>669</v>
      </c>
      <c r="B277" s="1087"/>
      <c r="C277" s="1087"/>
      <c r="D277" s="1087"/>
      <c r="E277" s="1087"/>
      <c r="F277" s="1087"/>
      <c r="G277" s="1087"/>
      <c r="H277" s="1087"/>
      <c r="I277" s="1087"/>
      <c r="J277" s="1087"/>
      <c r="K277" s="1087"/>
      <c r="L277" s="1087"/>
      <c r="M277" s="1087"/>
      <c r="N277" s="1087"/>
      <c r="O277" s="1087"/>
      <c r="P277" s="1087"/>
      <c r="Q277" s="1087"/>
      <c r="R277" s="1087"/>
      <c r="S277" s="1086">
        <v>0</v>
      </c>
      <c r="T277" s="1086"/>
      <c r="U277" s="1086"/>
      <c r="V277" s="1086"/>
      <c r="W277" s="1086"/>
      <c r="X277" s="1086">
        <v>0</v>
      </c>
      <c r="Y277" s="1086"/>
      <c r="Z277" s="1086"/>
      <c r="AA277" s="1086"/>
      <c r="AB277" s="1086"/>
      <c r="AC277" s="1086"/>
      <c r="AD277" s="1086">
        <v>0</v>
      </c>
      <c r="AE277" s="1086"/>
      <c r="AF277" s="1086"/>
      <c r="AG277" s="1086"/>
      <c r="AH277" s="1086"/>
      <c r="AI277" s="1086"/>
      <c r="AJ277" s="1086">
        <v>0</v>
      </c>
      <c r="AK277" s="1086"/>
      <c r="AL277" s="1086"/>
      <c r="AM277" s="1086"/>
      <c r="AN277" s="1086"/>
      <c r="AO277" s="1086"/>
      <c r="AP277" s="1086"/>
      <c r="AQ277" s="1086"/>
      <c r="AR277" s="1086"/>
      <c r="AS277" s="1086"/>
      <c r="AT277" s="1086"/>
      <c r="AU277" s="1086">
        <v>0</v>
      </c>
      <c r="AV277" s="1086"/>
      <c r="AW277" s="1086"/>
      <c r="AX277" s="1086"/>
      <c r="AY277" s="1086"/>
      <c r="AZ277" s="1086"/>
      <c r="BA277" s="1086"/>
      <c r="BB277" s="1086"/>
      <c r="BC277" s="1086">
        <v>0</v>
      </c>
      <c r="BD277" s="1086"/>
      <c r="BE277" s="1086"/>
      <c r="BF277" s="1086"/>
      <c r="BG277" s="1086">
        <v>0</v>
      </c>
      <c r="BH277" s="1086"/>
      <c r="BI277" s="1086"/>
      <c r="BJ277" s="1086"/>
      <c r="BK277" s="1086">
        <v>0</v>
      </c>
      <c r="BL277" s="1086"/>
      <c r="BM277" s="1086"/>
      <c r="BN277" s="1086"/>
      <c r="BO277" s="1086"/>
    </row>
    <row r="278" spans="1:71" ht="13.5" customHeight="1" x14ac:dyDescent="0.2">
      <c r="A278" s="1087" t="s">
        <v>670</v>
      </c>
      <c r="B278" s="1087"/>
      <c r="C278" s="1087"/>
      <c r="D278" s="1087"/>
      <c r="E278" s="1087"/>
      <c r="F278" s="1087"/>
      <c r="G278" s="1087"/>
      <c r="H278" s="1087"/>
      <c r="I278" s="1087"/>
      <c r="J278" s="1087"/>
      <c r="K278" s="1087"/>
      <c r="L278" s="1087"/>
      <c r="M278" s="1087"/>
      <c r="N278" s="1087"/>
      <c r="O278" s="1087"/>
      <c r="P278" s="1087"/>
      <c r="Q278" s="1087"/>
      <c r="R278" s="1087"/>
      <c r="S278" s="1086">
        <v>0</v>
      </c>
      <c r="T278" s="1086"/>
      <c r="U278" s="1086"/>
      <c r="V278" s="1086"/>
      <c r="W278" s="1086"/>
      <c r="X278" s="1086">
        <v>0</v>
      </c>
      <c r="Y278" s="1086"/>
      <c r="Z278" s="1086"/>
      <c r="AA278" s="1086"/>
      <c r="AB278" s="1086"/>
      <c r="AC278" s="1086"/>
      <c r="AD278" s="1086">
        <v>0</v>
      </c>
      <c r="AE278" s="1086"/>
      <c r="AF278" s="1086"/>
      <c r="AG278" s="1086"/>
      <c r="AH278" s="1086"/>
      <c r="AI278" s="1086"/>
      <c r="AJ278" s="1086">
        <v>0</v>
      </c>
      <c r="AK278" s="1086"/>
      <c r="AL278" s="1086"/>
      <c r="AM278" s="1086"/>
      <c r="AN278" s="1086"/>
      <c r="AO278" s="1086"/>
      <c r="AP278" s="1086"/>
      <c r="AQ278" s="1086"/>
      <c r="AR278" s="1086"/>
      <c r="AS278" s="1086"/>
      <c r="AT278" s="1086"/>
      <c r="AU278" s="1086">
        <v>0</v>
      </c>
      <c r="AV278" s="1086"/>
      <c r="AW278" s="1086"/>
      <c r="AX278" s="1086"/>
      <c r="AY278" s="1086"/>
      <c r="AZ278" s="1086"/>
      <c r="BA278" s="1086"/>
      <c r="BB278" s="1086"/>
      <c r="BC278" s="1086">
        <v>0</v>
      </c>
      <c r="BD278" s="1086"/>
      <c r="BE278" s="1086"/>
      <c r="BF278" s="1086"/>
      <c r="BG278" s="1086">
        <v>0</v>
      </c>
      <c r="BH278" s="1086"/>
      <c r="BI278" s="1086"/>
      <c r="BJ278" s="1086"/>
      <c r="BK278" s="1086">
        <v>0</v>
      </c>
      <c r="BL278" s="1086"/>
      <c r="BM278" s="1086"/>
      <c r="BN278" s="1086"/>
      <c r="BO278" s="1086"/>
    </row>
    <row r="279" spans="1:71" ht="26" customHeight="1" x14ac:dyDescent="0.2">
      <c r="A279" s="1087" t="s">
        <v>671</v>
      </c>
      <c r="B279" s="1087"/>
      <c r="C279" s="1087"/>
      <c r="D279" s="1087"/>
      <c r="E279" s="1087"/>
      <c r="F279" s="1087"/>
      <c r="G279" s="1087"/>
      <c r="H279" s="1087"/>
      <c r="I279" s="1087"/>
      <c r="J279" s="1087"/>
      <c r="K279" s="1087"/>
      <c r="L279" s="1087"/>
      <c r="M279" s="1087"/>
      <c r="N279" s="1087"/>
      <c r="O279" s="1087"/>
      <c r="P279" s="1087"/>
      <c r="Q279" s="1087"/>
      <c r="R279" s="1087"/>
      <c r="S279" s="1086">
        <v>0</v>
      </c>
      <c r="T279" s="1086"/>
      <c r="U279" s="1086"/>
      <c r="V279" s="1086"/>
      <c r="W279" s="1086"/>
      <c r="X279" s="1086">
        <v>0</v>
      </c>
      <c r="Y279" s="1086"/>
      <c r="Z279" s="1086"/>
      <c r="AA279" s="1086"/>
      <c r="AB279" s="1086"/>
      <c r="AC279" s="1086"/>
      <c r="AD279" s="1086">
        <v>0</v>
      </c>
      <c r="AE279" s="1086"/>
      <c r="AF279" s="1086"/>
      <c r="AG279" s="1086"/>
      <c r="AH279" s="1086"/>
      <c r="AI279" s="1086"/>
      <c r="AJ279" s="1086">
        <v>0</v>
      </c>
      <c r="AK279" s="1086"/>
      <c r="AL279" s="1086"/>
      <c r="AM279" s="1086"/>
      <c r="AN279" s="1086"/>
      <c r="AO279" s="1086"/>
      <c r="AP279" s="1086"/>
      <c r="AQ279" s="1086"/>
      <c r="AR279" s="1086"/>
      <c r="AS279" s="1086"/>
      <c r="AT279" s="1086"/>
      <c r="AU279" s="1086">
        <v>0</v>
      </c>
      <c r="AV279" s="1086"/>
      <c r="AW279" s="1086"/>
      <c r="AX279" s="1086"/>
      <c r="AY279" s="1086"/>
      <c r="AZ279" s="1086"/>
      <c r="BA279" s="1086"/>
      <c r="BB279" s="1086"/>
      <c r="BC279" s="1086">
        <v>0</v>
      </c>
      <c r="BD279" s="1086"/>
      <c r="BE279" s="1086"/>
      <c r="BF279" s="1086"/>
      <c r="BG279" s="1086">
        <v>0</v>
      </c>
      <c r="BH279" s="1086"/>
      <c r="BI279" s="1086"/>
      <c r="BJ279" s="1086"/>
      <c r="BK279" s="1086">
        <v>0</v>
      </c>
      <c r="BL279" s="1086"/>
      <c r="BM279" s="1086"/>
      <c r="BN279" s="1086"/>
      <c r="BO279" s="1086"/>
    </row>
    <row r="280" spans="1:71" ht="26" customHeight="1" x14ac:dyDescent="0.2">
      <c r="A280" s="1087" t="s">
        <v>672</v>
      </c>
      <c r="B280" s="1087"/>
      <c r="C280" s="1087"/>
      <c r="D280" s="1087"/>
      <c r="E280" s="1087"/>
      <c r="F280" s="1087"/>
      <c r="G280" s="1087"/>
      <c r="H280" s="1087"/>
      <c r="I280" s="1087"/>
      <c r="J280" s="1087"/>
      <c r="K280" s="1087"/>
      <c r="L280" s="1087"/>
      <c r="M280" s="1087"/>
      <c r="N280" s="1087"/>
      <c r="O280" s="1087"/>
      <c r="P280" s="1087"/>
      <c r="Q280" s="1087"/>
      <c r="R280" s="1087"/>
      <c r="S280" s="1086">
        <v>0</v>
      </c>
      <c r="T280" s="1086"/>
      <c r="U280" s="1086"/>
      <c r="V280" s="1086"/>
      <c r="W280" s="1086"/>
      <c r="X280" s="1086">
        <v>0</v>
      </c>
      <c r="Y280" s="1086"/>
      <c r="Z280" s="1086"/>
      <c r="AA280" s="1086"/>
      <c r="AB280" s="1086"/>
      <c r="AC280" s="1086"/>
      <c r="AD280" s="1086">
        <v>0</v>
      </c>
      <c r="AE280" s="1086"/>
      <c r="AF280" s="1086"/>
      <c r="AG280" s="1086"/>
      <c r="AH280" s="1086"/>
      <c r="AI280" s="1086"/>
      <c r="AJ280" s="1086">
        <v>0</v>
      </c>
      <c r="AK280" s="1086"/>
      <c r="AL280" s="1086"/>
      <c r="AM280" s="1086"/>
      <c r="AN280" s="1086"/>
      <c r="AO280" s="1086"/>
      <c r="AP280" s="1086"/>
      <c r="AQ280" s="1086"/>
      <c r="AR280" s="1086"/>
      <c r="AS280" s="1086"/>
      <c r="AT280" s="1086"/>
      <c r="AU280" s="1086">
        <v>0</v>
      </c>
      <c r="AV280" s="1086"/>
      <c r="AW280" s="1086"/>
      <c r="AX280" s="1086"/>
      <c r="AY280" s="1086"/>
      <c r="AZ280" s="1086"/>
      <c r="BA280" s="1086"/>
      <c r="BB280" s="1086"/>
      <c r="BC280" s="1086">
        <v>0</v>
      </c>
      <c r="BD280" s="1086"/>
      <c r="BE280" s="1086"/>
      <c r="BF280" s="1086"/>
      <c r="BG280" s="1086">
        <v>0</v>
      </c>
      <c r="BH280" s="1086"/>
      <c r="BI280" s="1086"/>
      <c r="BJ280" s="1086"/>
      <c r="BK280" s="1086">
        <v>0</v>
      </c>
      <c r="BL280" s="1086"/>
      <c r="BM280" s="1086"/>
      <c r="BN280" s="1086"/>
      <c r="BO280" s="1086"/>
    </row>
    <row r="281" spans="1:71" ht="13.5" customHeight="1" x14ac:dyDescent="0.2">
      <c r="A281" s="1087" t="s">
        <v>673</v>
      </c>
      <c r="B281" s="1087"/>
      <c r="C281" s="1087"/>
      <c r="D281" s="1087"/>
      <c r="E281" s="1087"/>
      <c r="F281" s="1087"/>
      <c r="G281" s="1087"/>
      <c r="H281" s="1087"/>
      <c r="I281" s="1087"/>
      <c r="J281" s="1087"/>
      <c r="K281" s="1087"/>
      <c r="L281" s="1087"/>
      <c r="M281" s="1087"/>
      <c r="N281" s="1087"/>
      <c r="O281" s="1087"/>
      <c r="P281" s="1087"/>
      <c r="Q281" s="1087"/>
      <c r="R281" s="1087"/>
      <c r="S281" s="1086">
        <v>235721</v>
      </c>
      <c r="T281" s="1086"/>
      <c r="U281" s="1086"/>
      <c r="V281" s="1086"/>
      <c r="W281" s="1086"/>
      <c r="X281" s="1086">
        <v>135216</v>
      </c>
      <c r="Y281" s="1086"/>
      <c r="Z281" s="1086"/>
      <c r="AA281" s="1086"/>
      <c r="AB281" s="1086"/>
      <c r="AC281" s="1086"/>
      <c r="AD281" s="1086">
        <v>65377</v>
      </c>
      <c r="AE281" s="1086"/>
      <c r="AF281" s="1086"/>
      <c r="AG281" s="1086"/>
      <c r="AH281" s="1086"/>
      <c r="AI281" s="1086"/>
      <c r="AJ281" s="1086">
        <v>105582</v>
      </c>
      <c r="AK281" s="1086"/>
      <c r="AL281" s="1086"/>
      <c r="AM281" s="1086"/>
      <c r="AN281" s="1086"/>
      <c r="AO281" s="1086"/>
      <c r="AP281" s="1086"/>
      <c r="AQ281" s="1086"/>
      <c r="AR281" s="1086"/>
      <c r="AS281" s="1086"/>
      <c r="AT281" s="1086"/>
      <c r="AU281" s="1086">
        <v>106674</v>
      </c>
      <c r="AV281" s="1086"/>
      <c r="AW281" s="1086"/>
      <c r="AX281" s="1086"/>
      <c r="AY281" s="1086"/>
      <c r="AZ281" s="1086"/>
      <c r="BA281" s="1086"/>
      <c r="BB281" s="1086"/>
      <c r="BC281" s="1086">
        <v>51877</v>
      </c>
      <c r="BD281" s="1086"/>
      <c r="BE281" s="1086"/>
      <c r="BF281" s="1086"/>
      <c r="BG281" s="1086">
        <v>163119</v>
      </c>
      <c r="BH281" s="1086"/>
      <c r="BI281" s="1086"/>
      <c r="BJ281" s="1086"/>
      <c r="BK281" s="1086">
        <v>243381</v>
      </c>
      <c r="BL281" s="1086"/>
      <c r="BM281" s="1086"/>
      <c r="BN281" s="1086"/>
      <c r="BO281" s="1086"/>
    </row>
    <row r="282" spans="1:71" ht="13.5" customHeight="1" x14ac:dyDescent="0.2">
      <c r="A282" s="1087" t="s">
        <v>674</v>
      </c>
      <c r="B282" s="1087"/>
      <c r="C282" s="1087"/>
      <c r="D282" s="1087"/>
      <c r="E282" s="1087"/>
      <c r="F282" s="1087"/>
      <c r="G282" s="1087"/>
      <c r="H282" s="1087"/>
      <c r="I282" s="1087"/>
      <c r="J282" s="1087"/>
      <c r="K282" s="1087"/>
      <c r="L282" s="1087"/>
      <c r="M282" s="1087"/>
      <c r="N282" s="1087"/>
      <c r="O282" s="1087"/>
      <c r="P282" s="1087"/>
      <c r="Q282" s="1087"/>
      <c r="R282" s="1087"/>
      <c r="S282" s="1086">
        <v>0</v>
      </c>
      <c r="T282" s="1086"/>
      <c r="U282" s="1086"/>
      <c r="V282" s="1086"/>
      <c r="W282" s="1086"/>
      <c r="X282" s="1086">
        <v>0</v>
      </c>
      <c r="Y282" s="1086"/>
      <c r="Z282" s="1086"/>
      <c r="AA282" s="1086"/>
      <c r="AB282" s="1086"/>
      <c r="AC282" s="1086"/>
      <c r="AD282" s="1086">
        <v>0</v>
      </c>
      <c r="AE282" s="1086"/>
      <c r="AF282" s="1086"/>
      <c r="AG282" s="1086"/>
      <c r="AH282" s="1086"/>
      <c r="AI282" s="1086"/>
      <c r="AJ282" s="1086">
        <v>0</v>
      </c>
      <c r="AK282" s="1086"/>
      <c r="AL282" s="1086"/>
      <c r="AM282" s="1086"/>
      <c r="AN282" s="1086"/>
      <c r="AO282" s="1086"/>
      <c r="AP282" s="1086"/>
      <c r="AQ282" s="1086"/>
      <c r="AR282" s="1086"/>
      <c r="AS282" s="1086"/>
      <c r="AT282" s="1086"/>
      <c r="AU282" s="1086">
        <v>0</v>
      </c>
      <c r="AV282" s="1086"/>
      <c r="AW282" s="1086"/>
      <c r="AX282" s="1086"/>
      <c r="AY282" s="1086"/>
      <c r="AZ282" s="1086"/>
      <c r="BA282" s="1086"/>
      <c r="BB282" s="1086"/>
      <c r="BC282" s="1086">
        <v>0</v>
      </c>
      <c r="BD282" s="1086"/>
      <c r="BE282" s="1086"/>
      <c r="BF282" s="1086"/>
      <c r="BG282" s="1086">
        <v>0</v>
      </c>
      <c r="BH282" s="1086"/>
      <c r="BI282" s="1086"/>
      <c r="BJ282" s="1086"/>
      <c r="BK282" s="1086">
        <v>0</v>
      </c>
      <c r="BL282" s="1086"/>
      <c r="BM282" s="1086"/>
      <c r="BN282" s="1086"/>
      <c r="BO282" s="1086"/>
    </row>
    <row r="283" spans="1:71" ht="13.5" customHeight="1" x14ac:dyDescent="0.2">
      <c r="A283" s="1087" t="s">
        <v>675</v>
      </c>
      <c r="B283" s="1087"/>
      <c r="C283" s="1087"/>
      <c r="D283" s="1087"/>
      <c r="E283" s="1087"/>
      <c r="F283" s="1087"/>
      <c r="G283" s="1087"/>
      <c r="H283" s="1087"/>
      <c r="I283" s="1087"/>
      <c r="J283" s="1087"/>
      <c r="K283" s="1087"/>
      <c r="L283" s="1087"/>
      <c r="M283" s="1087"/>
      <c r="N283" s="1087"/>
      <c r="O283" s="1087"/>
      <c r="P283" s="1087"/>
      <c r="Q283" s="1087"/>
      <c r="R283" s="1087"/>
      <c r="S283" s="1086">
        <v>70140</v>
      </c>
      <c r="T283" s="1086"/>
      <c r="U283" s="1086"/>
      <c r="V283" s="1086"/>
      <c r="W283" s="1086"/>
      <c r="X283" s="1086">
        <v>86558</v>
      </c>
      <c r="Y283" s="1086"/>
      <c r="Z283" s="1086"/>
      <c r="AA283" s="1086"/>
      <c r="AB283" s="1086"/>
      <c r="AC283" s="1086"/>
      <c r="AD283" s="1086">
        <v>64694</v>
      </c>
      <c r="AE283" s="1086"/>
      <c r="AF283" s="1086"/>
      <c r="AG283" s="1086"/>
      <c r="AH283" s="1086"/>
      <c r="AI283" s="1086"/>
      <c r="AJ283" s="1086">
        <v>66189</v>
      </c>
      <c r="AK283" s="1086"/>
      <c r="AL283" s="1086"/>
      <c r="AM283" s="1086"/>
      <c r="AN283" s="1086"/>
      <c r="AO283" s="1086"/>
      <c r="AP283" s="1086"/>
      <c r="AQ283" s="1086"/>
      <c r="AR283" s="1086"/>
      <c r="AS283" s="1086"/>
      <c r="AT283" s="1086"/>
      <c r="AU283" s="1086">
        <v>45686</v>
      </c>
      <c r="AV283" s="1086"/>
      <c r="AW283" s="1086"/>
      <c r="AX283" s="1086"/>
      <c r="AY283" s="1086"/>
      <c r="AZ283" s="1086"/>
      <c r="BA283" s="1086"/>
      <c r="BB283" s="1086"/>
      <c r="BC283" s="1086">
        <v>58094</v>
      </c>
      <c r="BD283" s="1086"/>
      <c r="BE283" s="1086"/>
      <c r="BF283" s="1086"/>
      <c r="BG283" s="1086">
        <v>53295</v>
      </c>
      <c r="BH283" s="1086"/>
      <c r="BI283" s="1086"/>
      <c r="BJ283" s="1086"/>
      <c r="BK283" s="1086">
        <v>60311</v>
      </c>
      <c r="BL283" s="1086"/>
      <c r="BM283" s="1086"/>
      <c r="BN283" s="1086"/>
      <c r="BO283" s="1086"/>
    </row>
    <row r="284" spans="1:71" ht="13.5" customHeight="1" x14ac:dyDescent="0.2">
      <c r="A284" s="1087" t="s">
        <v>676</v>
      </c>
      <c r="B284" s="1087"/>
      <c r="C284" s="1087"/>
      <c r="D284" s="1087"/>
      <c r="E284" s="1087"/>
      <c r="F284" s="1087"/>
      <c r="G284" s="1087"/>
      <c r="H284" s="1087"/>
      <c r="I284" s="1087"/>
      <c r="J284" s="1087"/>
      <c r="K284" s="1087"/>
      <c r="L284" s="1087"/>
      <c r="M284" s="1087"/>
      <c r="N284" s="1087"/>
      <c r="O284" s="1087"/>
      <c r="P284" s="1087"/>
      <c r="Q284" s="1087"/>
      <c r="R284" s="1087"/>
      <c r="S284" s="1086">
        <v>0</v>
      </c>
      <c r="T284" s="1086"/>
      <c r="U284" s="1086"/>
      <c r="V284" s="1086"/>
      <c r="W284" s="1086"/>
      <c r="X284" s="1086">
        <v>0</v>
      </c>
      <c r="Y284" s="1086"/>
      <c r="Z284" s="1086"/>
      <c r="AA284" s="1086"/>
      <c r="AB284" s="1086"/>
      <c r="AC284" s="1086"/>
      <c r="AD284" s="1086">
        <v>0</v>
      </c>
      <c r="AE284" s="1086"/>
      <c r="AF284" s="1086"/>
      <c r="AG284" s="1086"/>
      <c r="AH284" s="1086"/>
      <c r="AI284" s="1086"/>
      <c r="AJ284" s="1086">
        <v>0</v>
      </c>
      <c r="AK284" s="1086"/>
      <c r="AL284" s="1086"/>
      <c r="AM284" s="1086"/>
      <c r="AN284" s="1086"/>
      <c r="AO284" s="1086"/>
      <c r="AP284" s="1086"/>
      <c r="AQ284" s="1086"/>
      <c r="AR284" s="1086"/>
      <c r="AS284" s="1086"/>
      <c r="AT284" s="1086"/>
      <c r="AU284" s="1086">
        <v>0</v>
      </c>
      <c r="AV284" s="1086"/>
      <c r="AW284" s="1086"/>
      <c r="AX284" s="1086"/>
      <c r="AY284" s="1086"/>
      <c r="AZ284" s="1086"/>
      <c r="BA284" s="1086"/>
      <c r="BB284" s="1086"/>
      <c r="BC284" s="1086">
        <v>0</v>
      </c>
      <c r="BD284" s="1086"/>
      <c r="BE284" s="1086"/>
      <c r="BF284" s="1086"/>
      <c r="BG284" s="1086">
        <v>0</v>
      </c>
      <c r="BH284" s="1086"/>
      <c r="BI284" s="1086"/>
      <c r="BJ284" s="1086"/>
      <c r="BK284" s="1086">
        <v>0</v>
      </c>
      <c r="BL284" s="1086"/>
      <c r="BM284" s="1086"/>
      <c r="BN284" s="1086"/>
      <c r="BO284" s="1086"/>
    </row>
    <row r="285" spans="1:71" ht="13.5" customHeight="1" x14ac:dyDescent="0.2">
      <c r="A285" s="1087" t="s">
        <v>677</v>
      </c>
      <c r="B285" s="1087"/>
      <c r="C285" s="1087"/>
      <c r="D285" s="1087"/>
      <c r="E285" s="1087"/>
      <c r="F285" s="1087"/>
      <c r="G285" s="1087"/>
      <c r="H285" s="1087"/>
      <c r="I285" s="1087"/>
      <c r="J285" s="1087"/>
      <c r="K285" s="1087"/>
      <c r="L285" s="1087"/>
      <c r="M285" s="1087"/>
      <c r="N285" s="1087"/>
      <c r="O285" s="1087"/>
      <c r="P285" s="1087"/>
      <c r="Q285" s="1087"/>
      <c r="R285" s="1087"/>
      <c r="S285" s="1086">
        <v>820065</v>
      </c>
      <c r="T285" s="1086"/>
      <c r="U285" s="1086"/>
      <c r="V285" s="1086"/>
      <c r="W285" s="1086"/>
      <c r="X285" s="1086">
        <v>669806</v>
      </c>
      <c r="Y285" s="1086"/>
      <c r="Z285" s="1086"/>
      <c r="AA285" s="1086"/>
      <c r="AB285" s="1086"/>
      <c r="AC285" s="1086"/>
      <c r="AD285" s="1086">
        <v>733286</v>
      </c>
      <c r="AE285" s="1086"/>
      <c r="AF285" s="1086"/>
      <c r="AG285" s="1086"/>
      <c r="AH285" s="1086"/>
      <c r="AI285" s="1086"/>
      <c r="AJ285" s="1086">
        <v>633756</v>
      </c>
      <c r="AK285" s="1086"/>
      <c r="AL285" s="1086"/>
      <c r="AM285" s="1086"/>
      <c r="AN285" s="1086"/>
      <c r="AO285" s="1086"/>
      <c r="AP285" s="1086"/>
      <c r="AQ285" s="1086"/>
      <c r="AR285" s="1086"/>
      <c r="AS285" s="1086"/>
      <c r="AT285" s="1086"/>
      <c r="AU285" s="1086">
        <v>581221</v>
      </c>
      <c r="AV285" s="1086"/>
      <c r="AW285" s="1086"/>
      <c r="AX285" s="1086"/>
      <c r="AY285" s="1086"/>
      <c r="AZ285" s="1086"/>
      <c r="BA285" s="1086"/>
      <c r="BB285" s="1086"/>
      <c r="BC285" s="1086">
        <v>499135</v>
      </c>
      <c r="BD285" s="1086"/>
      <c r="BE285" s="1086"/>
      <c r="BF285" s="1086"/>
      <c r="BG285" s="1086">
        <v>422015</v>
      </c>
      <c r="BH285" s="1086"/>
      <c r="BI285" s="1086"/>
      <c r="BJ285" s="1086"/>
      <c r="BK285" s="1086">
        <v>394393</v>
      </c>
      <c r="BL285" s="1086"/>
      <c r="BM285" s="1086"/>
      <c r="BN285" s="1086"/>
      <c r="BO285" s="1086"/>
    </row>
    <row r="286" spans="1:71" ht="13.5" customHeight="1" x14ac:dyDescent="0.2">
      <c r="A286" s="1087" t="s">
        <v>678</v>
      </c>
      <c r="B286" s="1087"/>
      <c r="C286" s="1087"/>
      <c r="D286" s="1087"/>
      <c r="E286" s="1087"/>
      <c r="F286" s="1087"/>
      <c r="G286" s="1087"/>
      <c r="H286" s="1087"/>
      <c r="I286" s="1087"/>
      <c r="J286" s="1087"/>
      <c r="K286" s="1087"/>
      <c r="L286" s="1087"/>
      <c r="M286" s="1087"/>
      <c r="N286" s="1087"/>
      <c r="O286" s="1087"/>
      <c r="P286" s="1087"/>
      <c r="Q286" s="1087"/>
      <c r="R286" s="1087"/>
      <c r="S286" s="1086">
        <v>0</v>
      </c>
      <c r="T286" s="1086"/>
      <c r="U286" s="1086"/>
      <c r="V286" s="1086"/>
      <c r="W286" s="1086"/>
      <c r="X286" s="1086">
        <v>0</v>
      </c>
      <c r="Y286" s="1086"/>
      <c r="Z286" s="1086"/>
      <c r="AA286" s="1086"/>
      <c r="AB286" s="1086"/>
      <c r="AC286" s="1086"/>
      <c r="AD286" s="1086">
        <v>0</v>
      </c>
      <c r="AE286" s="1086"/>
      <c r="AF286" s="1086"/>
      <c r="AG286" s="1086"/>
      <c r="AH286" s="1086"/>
      <c r="AI286" s="1086"/>
      <c r="AJ286" s="1086">
        <v>0</v>
      </c>
      <c r="AK286" s="1086"/>
      <c r="AL286" s="1086"/>
      <c r="AM286" s="1086"/>
      <c r="AN286" s="1086"/>
      <c r="AO286" s="1086"/>
      <c r="AP286" s="1086"/>
      <c r="AQ286" s="1086"/>
      <c r="AR286" s="1086"/>
      <c r="AS286" s="1086"/>
      <c r="AT286" s="1086"/>
      <c r="AU286" s="1086">
        <v>0</v>
      </c>
      <c r="AV286" s="1086"/>
      <c r="AW286" s="1086"/>
      <c r="AX286" s="1086"/>
      <c r="AY286" s="1086"/>
      <c r="AZ286" s="1086"/>
      <c r="BA286" s="1086"/>
      <c r="BB286" s="1086"/>
      <c r="BC286" s="1086">
        <v>0</v>
      </c>
      <c r="BD286" s="1086"/>
      <c r="BE286" s="1086"/>
      <c r="BF286" s="1086"/>
      <c r="BG286" s="1086">
        <v>0</v>
      </c>
      <c r="BH286" s="1086"/>
      <c r="BI286" s="1086"/>
      <c r="BJ286" s="1086"/>
      <c r="BK286" s="1086">
        <v>0</v>
      </c>
      <c r="BL286" s="1086"/>
      <c r="BM286" s="1086"/>
      <c r="BN286" s="1086"/>
      <c r="BO286" s="1086"/>
    </row>
    <row r="287" spans="1:71" ht="13.5" customHeight="1" x14ac:dyDescent="0.2">
      <c r="A287" s="1087" t="s">
        <v>679</v>
      </c>
      <c r="B287" s="1087"/>
      <c r="C287" s="1087"/>
      <c r="D287" s="1087"/>
      <c r="E287" s="1087"/>
      <c r="F287" s="1087"/>
      <c r="G287" s="1087"/>
      <c r="H287" s="1087"/>
      <c r="I287" s="1087"/>
      <c r="J287" s="1087"/>
      <c r="K287" s="1087"/>
      <c r="L287" s="1087"/>
      <c r="M287" s="1087"/>
      <c r="N287" s="1087"/>
      <c r="O287" s="1087"/>
      <c r="P287" s="1087"/>
      <c r="Q287" s="1087"/>
      <c r="R287" s="1087"/>
      <c r="S287" s="1086">
        <v>6795848</v>
      </c>
      <c r="T287" s="1086"/>
      <c r="U287" s="1086"/>
      <c r="V287" s="1086"/>
      <c r="W287" s="1086"/>
      <c r="X287" s="1086">
        <v>7222626</v>
      </c>
      <c r="Y287" s="1086"/>
      <c r="Z287" s="1086"/>
      <c r="AA287" s="1086"/>
      <c r="AB287" s="1086"/>
      <c r="AC287" s="1086"/>
      <c r="AD287" s="1086">
        <v>7900831</v>
      </c>
      <c r="AE287" s="1086"/>
      <c r="AF287" s="1086"/>
      <c r="AG287" s="1086"/>
      <c r="AH287" s="1086"/>
      <c r="AI287" s="1086"/>
      <c r="AJ287" s="1086">
        <v>6443247</v>
      </c>
      <c r="AK287" s="1086"/>
      <c r="AL287" s="1086"/>
      <c r="AM287" s="1086"/>
      <c r="AN287" s="1086"/>
      <c r="AO287" s="1086"/>
      <c r="AP287" s="1086"/>
      <c r="AQ287" s="1086"/>
      <c r="AR287" s="1086"/>
      <c r="AS287" s="1086"/>
      <c r="AT287" s="1086"/>
      <c r="AU287" s="1086">
        <v>5043549</v>
      </c>
      <c r="AV287" s="1086"/>
      <c r="AW287" s="1086"/>
      <c r="AX287" s="1086"/>
      <c r="AY287" s="1086"/>
      <c r="AZ287" s="1086"/>
      <c r="BA287" s="1086"/>
      <c r="BB287" s="1086"/>
      <c r="BC287" s="1086">
        <v>6083167</v>
      </c>
      <c r="BD287" s="1086"/>
      <c r="BE287" s="1086"/>
      <c r="BF287" s="1086"/>
      <c r="BG287" s="1086">
        <v>3659635</v>
      </c>
      <c r="BH287" s="1086"/>
      <c r="BI287" s="1086"/>
      <c r="BJ287" s="1086"/>
      <c r="BK287" s="1086">
        <v>3916613</v>
      </c>
      <c r="BL287" s="1086"/>
      <c r="BM287" s="1086"/>
      <c r="BN287" s="1086"/>
      <c r="BO287" s="1086"/>
    </row>
    <row r="288" spans="1:71" ht="13.5" customHeight="1" x14ac:dyDescent="0.2">
      <c r="A288" s="1087" t="s">
        <v>680</v>
      </c>
      <c r="B288" s="1087"/>
      <c r="C288" s="1087"/>
      <c r="D288" s="1087"/>
      <c r="E288" s="1087"/>
      <c r="F288" s="1087"/>
      <c r="G288" s="1087"/>
      <c r="H288" s="1087"/>
      <c r="I288" s="1087"/>
      <c r="J288" s="1087"/>
      <c r="K288" s="1087"/>
      <c r="L288" s="1087"/>
      <c r="M288" s="1087"/>
      <c r="N288" s="1087"/>
      <c r="O288" s="1087"/>
      <c r="P288" s="1087"/>
      <c r="Q288" s="1087"/>
      <c r="R288" s="1087"/>
      <c r="S288" s="1086">
        <v>5110204</v>
      </c>
      <c r="T288" s="1086"/>
      <c r="U288" s="1086"/>
      <c r="V288" s="1086"/>
      <c r="W288" s="1086"/>
      <c r="X288" s="1086">
        <v>6691873</v>
      </c>
      <c r="Y288" s="1086"/>
      <c r="Z288" s="1086"/>
      <c r="AA288" s="1086"/>
      <c r="AB288" s="1086"/>
      <c r="AC288" s="1086"/>
      <c r="AD288" s="1086">
        <v>6717513</v>
      </c>
      <c r="AE288" s="1086"/>
      <c r="AF288" s="1086"/>
      <c r="AG288" s="1086"/>
      <c r="AH288" s="1086"/>
      <c r="AI288" s="1086"/>
      <c r="AJ288" s="1086">
        <v>7372195</v>
      </c>
      <c r="AK288" s="1086"/>
      <c r="AL288" s="1086"/>
      <c r="AM288" s="1086"/>
      <c r="AN288" s="1086"/>
      <c r="AO288" s="1086"/>
      <c r="AP288" s="1086"/>
      <c r="AQ288" s="1086"/>
      <c r="AR288" s="1086"/>
      <c r="AS288" s="1086"/>
      <c r="AT288" s="1086"/>
      <c r="AU288" s="1086">
        <v>6304053</v>
      </c>
      <c r="AV288" s="1086"/>
      <c r="AW288" s="1086"/>
      <c r="AX288" s="1086"/>
      <c r="AY288" s="1086"/>
      <c r="AZ288" s="1086"/>
      <c r="BA288" s="1086"/>
      <c r="BB288" s="1086"/>
      <c r="BC288" s="1086">
        <v>588287</v>
      </c>
      <c r="BD288" s="1086"/>
      <c r="BE288" s="1086"/>
      <c r="BF288" s="1086"/>
      <c r="BG288" s="1086">
        <v>808395</v>
      </c>
      <c r="BH288" s="1086"/>
      <c r="BI288" s="1086"/>
      <c r="BJ288" s="1086"/>
      <c r="BK288" s="1086">
        <v>952264</v>
      </c>
      <c r="BL288" s="1086"/>
      <c r="BM288" s="1086"/>
      <c r="BN288" s="1086"/>
      <c r="BO288" s="1086"/>
      <c r="BS288" s="366"/>
    </row>
    <row r="289" spans="1:67" ht="13.5" customHeight="1" x14ac:dyDescent="0.2">
      <c r="A289" s="1083"/>
      <c r="B289" s="1083"/>
      <c r="C289" s="1083"/>
      <c r="D289" s="1083"/>
      <c r="E289" s="1083"/>
      <c r="F289" s="1083"/>
      <c r="G289" s="1083"/>
      <c r="H289" s="1083"/>
      <c r="I289" s="1083"/>
      <c r="J289" s="1083"/>
      <c r="K289" s="1083"/>
      <c r="L289" s="1083"/>
      <c r="M289" s="1083"/>
      <c r="N289" s="1083"/>
      <c r="O289" s="1083"/>
      <c r="P289" s="1083"/>
      <c r="Q289" s="1083"/>
      <c r="R289" s="1083"/>
      <c r="S289" s="1083"/>
      <c r="T289" s="1083"/>
      <c r="U289" s="1083"/>
      <c r="V289" s="1083"/>
      <c r="W289" s="1083"/>
      <c r="X289" s="1083"/>
      <c r="Y289" s="1083"/>
      <c r="Z289" s="1083"/>
      <c r="AA289" s="1083"/>
      <c r="AB289" s="1083"/>
      <c r="AC289" s="1083"/>
      <c r="AD289" s="1083"/>
      <c r="AE289" s="1083"/>
      <c r="AF289" s="1083"/>
      <c r="AG289" s="1083"/>
      <c r="AH289" s="1083"/>
      <c r="AI289" s="1083"/>
      <c r="AJ289" s="1083"/>
      <c r="AK289" s="1083"/>
      <c r="AL289" s="1083"/>
      <c r="AM289" s="1083"/>
      <c r="AN289" s="1083"/>
      <c r="AO289" s="1083"/>
      <c r="AP289" s="1083"/>
      <c r="AQ289" s="1083"/>
      <c r="AR289" s="1083"/>
      <c r="AS289" s="1083"/>
      <c r="AT289" s="1083"/>
      <c r="AU289" s="1083"/>
      <c r="AV289" s="1083"/>
      <c r="AW289" s="1083"/>
      <c r="AX289" s="1083"/>
      <c r="AY289" s="1083"/>
      <c r="AZ289" s="1083"/>
      <c r="BA289" s="1083"/>
      <c r="BB289" s="1083"/>
      <c r="BC289" s="1083"/>
      <c r="BD289" s="1083"/>
      <c r="BE289" s="1083"/>
      <c r="BF289" s="1083"/>
      <c r="BG289" s="1083"/>
      <c r="BH289" s="1083"/>
      <c r="BI289" s="1083"/>
      <c r="BJ289" s="1083"/>
      <c r="BK289" s="1083"/>
      <c r="BL289" s="1083"/>
      <c r="BM289" s="1083"/>
      <c r="BN289" s="1083"/>
      <c r="BO289" s="1083"/>
    </row>
    <row r="290" spans="1:67" ht="13.5" customHeight="1" x14ac:dyDescent="0.2">
      <c r="A290" s="1087" t="s">
        <v>681</v>
      </c>
      <c r="B290" s="1087"/>
      <c r="C290" s="1087"/>
      <c r="D290" s="1087"/>
      <c r="E290" s="1087"/>
      <c r="F290" s="1087"/>
      <c r="G290" s="1087"/>
      <c r="H290" s="1087"/>
      <c r="I290" s="1087"/>
      <c r="J290" s="1087"/>
      <c r="K290" s="1087"/>
      <c r="L290" s="1087"/>
      <c r="M290" s="1087"/>
      <c r="N290" s="1087"/>
      <c r="O290" s="1087"/>
      <c r="P290" s="1087"/>
      <c r="Q290" s="1087"/>
      <c r="R290" s="1087"/>
      <c r="S290" s="1086">
        <v>6795848</v>
      </c>
      <c r="T290" s="1086"/>
      <c r="U290" s="1086"/>
      <c r="V290" s="1086"/>
      <c r="W290" s="1086"/>
      <c r="X290" s="1086">
        <v>7222626</v>
      </c>
      <c r="Y290" s="1086"/>
      <c r="Z290" s="1086"/>
      <c r="AA290" s="1086"/>
      <c r="AB290" s="1086"/>
      <c r="AC290" s="1086"/>
      <c r="AD290" s="1086">
        <v>7900831</v>
      </c>
      <c r="AE290" s="1086"/>
      <c r="AF290" s="1086"/>
      <c r="AG290" s="1086"/>
      <c r="AH290" s="1086"/>
      <c r="AI290" s="1086"/>
      <c r="AJ290" s="1086">
        <v>6443247</v>
      </c>
      <c r="AK290" s="1086"/>
      <c r="AL290" s="1086"/>
      <c r="AM290" s="1086"/>
      <c r="AN290" s="1086"/>
      <c r="AO290" s="1086"/>
      <c r="AP290" s="1086"/>
      <c r="AQ290" s="1086"/>
      <c r="AR290" s="1086"/>
      <c r="AS290" s="1086"/>
      <c r="AT290" s="1086"/>
      <c r="AU290" s="1086">
        <v>5043549</v>
      </c>
      <c r="AV290" s="1086"/>
      <c r="AW290" s="1086"/>
      <c r="AX290" s="1086"/>
      <c r="AY290" s="1086"/>
      <c r="AZ290" s="1086"/>
      <c r="BA290" s="1086"/>
      <c r="BB290" s="1086"/>
      <c r="BC290" s="1086">
        <v>6083167</v>
      </c>
      <c r="BD290" s="1086"/>
      <c r="BE290" s="1086"/>
      <c r="BF290" s="1086"/>
      <c r="BG290" s="1086">
        <v>3659635</v>
      </c>
      <c r="BH290" s="1086"/>
      <c r="BI290" s="1086"/>
      <c r="BJ290" s="1086"/>
      <c r="BK290" s="1086">
        <v>3916613</v>
      </c>
      <c r="BL290" s="1086"/>
      <c r="BM290" s="1086"/>
      <c r="BN290" s="1086"/>
      <c r="BO290" s="1086"/>
    </row>
    <row r="291" spans="1:67" ht="13.5" customHeight="1" x14ac:dyDescent="0.2">
      <c r="A291" s="1087" t="s">
        <v>682</v>
      </c>
      <c r="B291" s="1087"/>
      <c r="C291" s="1087"/>
      <c r="D291" s="1087"/>
      <c r="E291" s="1087"/>
      <c r="F291" s="1087"/>
      <c r="G291" s="1087"/>
      <c r="H291" s="1087"/>
      <c r="I291" s="1087"/>
      <c r="J291" s="1087"/>
      <c r="K291" s="1087"/>
      <c r="L291" s="1087"/>
      <c r="M291" s="1087"/>
      <c r="N291" s="1087"/>
      <c r="O291" s="1087"/>
      <c r="P291" s="1087"/>
      <c r="Q291" s="1087"/>
      <c r="R291" s="1087"/>
      <c r="S291" s="1086">
        <v>5110204</v>
      </c>
      <c r="T291" s="1086"/>
      <c r="U291" s="1086"/>
      <c r="V291" s="1086"/>
      <c r="W291" s="1086"/>
      <c r="X291" s="1086">
        <v>6691873</v>
      </c>
      <c r="Y291" s="1086"/>
      <c r="Z291" s="1086"/>
      <c r="AA291" s="1086"/>
      <c r="AB291" s="1086"/>
      <c r="AC291" s="1086"/>
      <c r="AD291" s="1086">
        <v>6717513</v>
      </c>
      <c r="AE291" s="1086"/>
      <c r="AF291" s="1086"/>
      <c r="AG291" s="1086"/>
      <c r="AH291" s="1086"/>
      <c r="AI291" s="1086"/>
      <c r="AJ291" s="1086">
        <v>7372195</v>
      </c>
      <c r="AK291" s="1086"/>
      <c r="AL291" s="1086"/>
      <c r="AM291" s="1086"/>
      <c r="AN291" s="1086"/>
      <c r="AO291" s="1086"/>
      <c r="AP291" s="1086"/>
      <c r="AQ291" s="1086"/>
      <c r="AR291" s="1086"/>
      <c r="AS291" s="1086"/>
      <c r="AT291" s="1086"/>
      <c r="AU291" s="1086">
        <v>6304053</v>
      </c>
      <c r="AV291" s="1086"/>
      <c r="AW291" s="1086"/>
      <c r="AX291" s="1086"/>
      <c r="AY291" s="1086"/>
      <c r="AZ291" s="1086"/>
      <c r="BA291" s="1086"/>
      <c r="BB291" s="1086"/>
      <c r="BC291" s="1086">
        <v>588287</v>
      </c>
      <c r="BD291" s="1086"/>
      <c r="BE291" s="1086"/>
      <c r="BF291" s="1086"/>
      <c r="BG291" s="1086">
        <v>808395</v>
      </c>
      <c r="BH291" s="1086"/>
      <c r="BI291" s="1086"/>
      <c r="BJ291" s="1086"/>
      <c r="BK291" s="1086">
        <v>952264</v>
      </c>
      <c r="BL291" s="1086"/>
      <c r="BM291" s="1086"/>
      <c r="BN291" s="1086"/>
      <c r="BO291" s="1086"/>
    </row>
    <row r="292" spans="1:67" ht="13.5" customHeight="1" x14ac:dyDescent="0.2">
      <c r="A292" s="1083"/>
      <c r="B292" s="1083"/>
      <c r="C292" s="1083"/>
      <c r="D292" s="1083"/>
      <c r="E292" s="1083"/>
      <c r="F292" s="1083"/>
      <c r="G292" s="1083"/>
      <c r="H292" s="1083"/>
      <c r="I292" s="1083"/>
      <c r="J292" s="1083"/>
      <c r="K292" s="1083"/>
      <c r="L292" s="1083"/>
      <c r="M292" s="1083"/>
      <c r="N292" s="1083"/>
      <c r="O292" s="1083"/>
      <c r="P292" s="1083"/>
      <c r="Q292" s="1083"/>
      <c r="R292" s="1083"/>
      <c r="S292" s="1083"/>
      <c r="T292" s="1083"/>
      <c r="U292" s="1083"/>
      <c r="V292" s="1083"/>
      <c r="W292" s="1083"/>
      <c r="X292" s="1083"/>
      <c r="Y292" s="1083"/>
      <c r="Z292" s="1083"/>
      <c r="AA292" s="1083"/>
      <c r="AB292" s="1083"/>
      <c r="AC292" s="1083"/>
      <c r="AD292" s="1083"/>
      <c r="AE292" s="1083"/>
      <c r="AF292" s="1083"/>
      <c r="AG292" s="1083"/>
      <c r="AH292" s="1083"/>
      <c r="AI292" s="1083"/>
      <c r="AJ292" s="1083"/>
      <c r="AK292" s="1083"/>
      <c r="AL292" s="1083"/>
      <c r="AM292" s="1083"/>
      <c r="AN292" s="1083"/>
      <c r="AO292" s="1083"/>
      <c r="AP292" s="1083"/>
      <c r="AQ292" s="1083"/>
      <c r="AR292" s="1083"/>
      <c r="AS292" s="1083"/>
      <c r="AT292" s="1083"/>
      <c r="AU292" s="1083"/>
      <c r="AV292" s="1083"/>
      <c r="AW292" s="1083"/>
      <c r="AX292" s="1083"/>
      <c r="AY292" s="1083"/>
      <c r="AZ292" s="1083"/>
      <c r="BA292" s="1083"/>
      <c r="BB292" s="1083"/>
      <c r="BC292" s="1083"/>
      <c r="BD292" s="1083"/>
      <c r="BE292" s="1083"/>
      <c r="BF292" s="1083"/>
      <c r="BG292" s="1083"/>
      <c r="BH292" s="1083"/>
      <c r="BI292" s="1083"/>
      <c r="BJ292" s="1083"/>
      <c r="BK292" s="1083"/>
      <c r="BL292" s="1083"/>
      <c r="BM292" s="1083"/>
      <c r="BN292" s="1083"/>
      <c r="BO292" s="1083"/>
    </row>
    <row r="293" spans="1:67" ht="13.5" customHeight="1" x14ac:dyDescent="0.2">
      <c r="A293" s="1087" t="s">
        <v>683</v>
      </c>
      <c r="B293" s="1087"/>
      <c r="C293" s="1087"/>
      <c r="D293" s="1087"/>
      <c r="E293" s="1087"/>
      <c r="F293" s="1087"/>
      <c r="G293" s="1087"/>
      <c r="H293" s="1087"/>
      <c r="I293" s="1087"/>
      <c r="J293" s="1087"/>
      <c r="K293" s="1087"/>
      <c r="L293" s="1087"/>
      <c r="M293" s="1087"/>
      <c r="N293" s="1087"/>
      <c r="O293" s="1087"/>
      <c r="P293" s="1087"/>
      <c r="Q293" s="1087"/>
      <c r="R293" s="1087"/>
      <c r="S293" s="1086">
        <v>935845</v>
      </c>
      <c r="T293" s="1086"/>
      <c r="U293" s="1086"/>
      <c r="V293" s="1086"/>
      <c r="W293" s="1086"/>
      <c r="X293" s="1086">
        <v>1233040</v>
      </c>
      <c r="Y293" s="1086"/>
      <c r="Z293" s="1086"/>
      <c r="AA293" s="1086"/>
      <c r="AB293" s="1086"/>
      <c r="AC293" s="1086"/>
      <c r="AD293" s="1086">
        <v>1254731</v>
      </c>
      <c r="AE293" s="1086"/>
      <c r="AF293" s="1086"/>
      <c r="AG293" s="1086"/>
      <c r="AH293" s="1086"/>
      <c r="AI293" s="1086"/>
      <c r="AJ293" s="1086">
        <v>109486</v>
      </c>
      <c r="AK293" s="1086"/>
      <c r="AL293" s="1086"/>
      <c r="AM293" s="1086"/>
      <c r="AN293" s="1086"/>
      <c r="AO293" s="1086"/>
      <c r="AP293" s="1086"/>
      <c r="AQ293" s="1086"/>
      <c r="AR293" s="1086"/>
      <c r="AS293" s="1086"/>
      <c r="AT293" s="1086"/>
      <c r="AU293" s="1086">
        <v>67016</v>
      </c>
      <c r="AV293" s="1086"/>
      <c r="AW293" s="1086"/>
      <c r="AX293" s="1086"/>
      <c r="AY293" s="1086"/>
      <c r="AZ293" s="1086"/>
      <c r="BA293" s="1086"/>
      <c r="BB293" s="1086"/>
      <c r="BC293" s="1086">
        <v>48670</v>
      </c>
      <c r="BD293" s="1086"/>
      <c r="BE293" s="1086"/>
      <c r="BF293" s="1086"/>
      <c r="BG293" s="1086">
        <v>25640</v>
      </c>
      <c r="BH293" s="1086"/>
      <c r="BI293" s="1086"/>
      <c r="BJ293" s="1086"/>
      <c r="BK293" s="1086">
        <v>5493</v>
      </c>
      <c r="BL293" s="1086"/>
      <c r="BM293" s="1086"/>
      <c r="BN293" s="1086"/>
      <c r="BO293" s="1086"/>
    </row>
    <row r="294" spans="1:67" ht="13.5" customHeight="1" x14ac:dyDescent="0.2">
      <c r="A294" s="1087" t="s">
        <v>684</v>
      </c>
      <c r="B294" s="1087"/>
      <c r="C294" s="1087"/>
      <c r="D294" s="1087"/>
      <c r="E294" s="1087"/>
      <c r="F294" s="1087"/>
      <c r="G294" s="1087"/>
      <c r="H294" s="1087"/>
      <c r="I294" s="1087"/>
      <c r="J294" s="1087"/>
      <c r="K294" s="1087"/>
      <c r="L294" s="1087"/>
      <c r="M294" s="1087"/>
      <c r="N294" s="1087"/>
      <c r="O294" s="1087"/>
      <c r="P294" s="1087"/>
      <c r="Q294" s="1087"/>
      <c r="R294" s="1087"/>
      <c r="S294" s="1092" t="s">
        <v>535</v>
      </c>
      <c r="T294" s="1092"/>
      <c r="U294" s="1092"/>
      <c r="V294" s="1092"/>
      <c r="W294" s="1092"/>
      <c r="X294" s="1092" t="s">
        <v>535</v>
      </c>
      <c r="Y294" s="1092"/>
      <c r="Z294" s="1092"/>
      <c r="AA294" s="1092"/>
      <c r="AB294" s="1092"/>
      <c r="AC294" s="1092"/>
      <c r="AD294" s="1092" t="s">
        <v>535</v>
      </c>
      <c r="AE294" s="1092"/>
      <c r="AF294" s="1092"/>
      <c r="AG294" s="1092"/>
      <c r="AH294" s="1092"/>
      <c r="AI294" s="1092"/>
      <c r="AJ294" s="1092" t="s">
        <v>535</v>
      </c>
      <c r="AK294" s="1092"/>
      <c r="AL294" s="1092"/>
      <c r="AM294" s="1092"/>
      <c r="AN294" s="1092"/>
      <c r="AO294" s="1092"/>
      <c r="AP294" s="1092"/>
      <c r="AQ294" s="1092"/>
      <c r="AR294" s="1092"/>
      <c r="AS294" s="1092"/>
      <c r="AT294" s="1092"/>
      <c r="AU294" s="1092" t="s">
        <v>535</v>
      </c>
      <c r="AV294" s="1092"/>
      <c r="AW294" s="1092"/>
      <c r="AX294" s="1092"/>
      <c r="AY294" s="1092"/>
      <c r="AZ294" s="1092"/>
      <c r="BA294" s="1092"/>
      <c r="BB294" s="1092"/>
      <c r="BC294" s="1092" t="s">
        <v>535</v>
      </c>
      <c r="BD294" s="1092"/>
      <c r="BE294" s="1092"/>
      <c r="BF294" s="1092"/>
      <c r="BG294" s="1092" t="s">
        <v>535</v>
      </c>
      <c r="BH294" s="1092"/>
      <c r="BI294" s="1092"/>
      <c r="BJ294" s="1092"/>
      <c r="BK294" s="1092" t="s">
        <v>535</v>
      </c>
      <c r="BL294" s="1092"/>
      <c r="BM294" s="1092"/>
      <c r="BN294" s="1092"/>
      <c r="BO294" s="1092"/>
    </row>
    <row r="295" spans="1:67" ht="13.5" customHeight="1" x14ac:dyDescent="0.2">
      <c r="A295" s="1083"/>
      <c r="B295" s="1083"/>
      <c r="C295" s="1083"/>
      <c r="D295" s="1083"/>
      <c r="E295" s="1083"/>
      <c r="F295" s="1083"/>
      <c r="G295" s="1083"/>
      <c r="H295" s="1083"/>
      <c r="I295" s="1083"/>
      <c r="J295" s="1083"/>
      <c r="K295" s="1083"/>
      <c r="L295" s="1083"/>
      <c r="M295" s="1083"/>
      <c r="N295" s="1083"/>
      <c r="O295" s="1083"/>
      <c r="P295" s="1083"/>
      <c r="Q295" s="1083"/>
      <c r="R295" s="1083"/>
      <c r="S295" s="1083"/>
      <c r="T295" s="1083"/>
      <c r="U295" s="1083"/>
      <c r="V295" s="1083"/>
      <c r="W295" s="1083"/>
      <c r="X295" s="1083"/>
      <c r="Y295" s="1083"/>
      <c r="Z295" s="1083"/>
      <c r="AA295" s="1083"/>
      <c r="AB295" s="1083"/>
      <c r="AC295" s="1083"/>
      <c r="AD295" s="1083"/>
      <c r="AE295" s="1083"/>
      <c r="AF295" s="1083"/>
      <c r="AG295" s="1083"/>
      <c r="AH295" s="1083"/>
      <c r="AI295" s="1083"/>
      <c r="AJ295" s="1083"/>
      <c r="AK295" s="1083"/>
      <c r="AL295" s="1083"/>
      <c r="AM295" s="1083"/>
      <c r="AN295" s="1083"/>
      <c r="AO295" s="1083"/>
      <c r="AP295" s="1083"/>
      <c r="AQ295" s="1083"/>
      <c r="AR295" s="1083"/>
      <c r="AS295" s="1083"/>
      <c r="AT295" s="1083"/>
      <c r="AU295" s="1083"/>
      <c r="AV295" s="1083"/>
      <c r="AW295" s="1083"/>
      <c r="AX295" s="1083"/>
      <c r="AY295" s="1083"/>
      <c r="AZ295" s="1083"/>
      <c r="BA295" s="1083"/>
      <c r="BB295" s="1083"/>
      <c r="BC295" s="1083"/>
      <c r="BD295" s="1083"/>
      <c r="BE295" s="1083"/>
      <c r="BF295" s="1083"/>
      <c r="BG295" s="1083"/>
      <c r="BH295" s="1083"/>
      <c r="BI295" s="1083"/>
      <c r="BJ295" s="1083"/>
      <c r="BK295" s="1083"/>
      <c r="BL295" s="1083"/>
      <c r="BM295" s="1083"/>
      <c r="BN295" s="1083"/>
      <c r="BO295" s="1083"/>
    </row>
    <row r="296" spans="1:67" ht="13.5" customHeight="1" x14ac:dyDescent="0.2">
      <c r="A296" s="1087" t="s">
        <v>685</v>
      </c>
      <c r="B296" s="1087"/>
      <c r="C296" s="1087"/>
      <c r="D296" s="1087"/>
      <c r="E296" s="1087"/>
      <c r="F296" s="1087"/>
      <c r="G296" s="1087"/>
      <c r="H296" s="1087"/>
      <c r="I296" s="1087"/>
      <c r="J296" s="1087"/>
      <c r="K296" s="1087"/>
      <c r="L296" s="1087"/>
      <c r="M296" s="1087"/>
      <c r="N296" s="1087"/>
      <c r="O296" s="1087"/>
      <c r="P296" s="1087"/>
      <c r="Q296" s="1087"/>
      <c r="R296" s="1087"/>
      <c r="S296" s="1086">
        <v>18790859</v>
      </c>
      <c r="T296" s="1086"/>
      <c r="U296" s="1086"/>
      <c r="V296" s="1086"/>
      <c r="W296" s="1086"/>
      <c r="X296" s="1086">
        <v>20554377</v>
      </c>
      <c r="Y296" s="1086"/>
      <c r="Z296" s="1086"/>
      <c r="AA296" s="1086"/>
      <c r="AB296" s="1086"/>
      <c r="AC296" s="1086"/>
      <c r="AD296" s="1086">
        <v>20723060</v>
      </c>
      <c r="AE296" s="1086"/>
      <c r="AF296" s="1086"/>
      <c r="AG296" s="1086"/>
      <c r="AH296" s="1086"/>
      <c r="AI296" s="1086"/>
      <c r="AJ296" s="1086">
        <v>18204611</v>
      </c>
      <c r="AK296" s="1086"/>
      <c r="AL296" s="1086"/>
      <c r="AM296" s="1086"/>
      <c r="AN296" s="1086"/>
      <c r="AO296" s="1086"/>
      <c r="AP296" s="1086"/>
      <c r="AQ296" s="1086"/>
      <c r="AR296" s="1086"/>
      <c r="AS296" s="1086"/>
      <c r="AT296" s="1086"/>
      <c r="AU296" s="1086">
        <v>14795011</v>
      </c>
      <c r="AV296" s="1086"/>
      <c r="AW296" s="1086"/>
      <c r="AX296" s="1086"/>
      <c r="AY296" s="1086"/>
      <c r="AZ296" s="1086"/>
      <c r="BA296" s="1086"/>
      <c r="BB296" s="1086"/>
      <c r="BC296" s="1086">
        <v>9311398</v>
      </c>
      <c r="BD296" s="1086"/>
      <c r="BE296" s="1086"/>
      <c r="BF296" s="1086"/>
      <c r="BG296" s="1086">
        <v>6455031</v>
      </c>
      <c r="BH296" s="1086"/>
      <c r="BI296" s="1086"/>
      <c r="BJ296" s="1086"/>
      <c r="BK296" s="1086">
        <v>6151737</v>
      </c>
      <c r="BL296" s="1086"/>
      <c r="BM296" s="1086"/>
      <c r="BN296" s="1086"/>
      <c r="BO296" s="1086"/>
    </row>
    <row r="297" spans="1:67" ht="13.5" customHeight="1" x14ac:dyDescent="0.2">
      <c r="A297" s="1083"/>
      <c r="B297" s="1083"/>
      <c r="C297" s="1083"/>
      <c r="D297" s="1083"/>
      <c r="E297" s="1083"/>
      <c r="F297" s="1083"/>
      <c r="G297" s="1083"/>
      <c r="H297" s="1083"/>
      <c r="I297" s="1083"/>
      <c r="J297" s="1083"/>
      <c r="K297" s="1083"/>
      <c r="L297" s="1083"/>
      <c r="M297" s="1083"/>
      <c r="N297" s="1083"/>
      <c r="O297" s="1083"/>
      <c r="P297" s="1083"/>
      <c r="Q297" s="1083"/>
      <c r="R297" s="1083"/>
      <c r="S297" s="1083"/>
      <c r="T297" s="1083"/>
      <c r="U297" s="1083"/>
      <c r="V297" s="1083"/>
      <c r="W297" s="1083"/>
      <c r="X297" s="1083"/>
      <c r="Y297" s="1083"/>
      <c r="Z297" s="1083"/>
      <c r="AA297" s="1083"/>
      <c r="AB297" s="1083"/>
      <c r="AC297" s="1083"/>
      <c r="AD297" s="1083"/>
      <c r="AE297" s="1083"/>
      <c r="AF297" s="1083"/>
      <c r="AG297" s="1083"/>
      <c r="AH297" s="1083"/>
      <c r="AI297" s="1083"/>
      <c r="AJ297" s="1083"/>
      <c r="AK297" s="1083"/>
      <c r="AL297" s="1083"/>
      <c r="AM297" s="1083"/>
      <c r="AN297" s="1083"/>
      <c r="AO297" s="1083"/>
      <c r="AP297" s="1083"/>
      <c r="AQ297" s="1083"/>
      <c r="AR297" s="1083"/>
      <c r="AS297" s="1083"/>
      <c r="AT297" s="1083"/>
      <c r="AU297" s="1083"/>
      <c r="AV297" s="1083"/>
      <c r="AW297" s="1083"/>
      <c r="AX297" s="1083"/>
      <c r="AY297" s="1083"/>
      <c r="AZ297" s="1083"/>
      <c r="BA297" s="1083"/>
      <c r="BB297" s="1083"/>
      <c r="BC297" s="1083"/>
      <c r="BD297" s="1083"/>
      <c r="BE297" s="1083"/>
      <c r="BF297" s="1083"/>
      <c r="BG297" s="1083"/>
      <c r="BH297" s="1083"/>
      <c r="BI297" s="1083"/>
      <c r="BJ297" s="1083"/>
      <c r="BK297" s="1083"/>
      <c r="BL297" s="1083"/>
      <c r="BM297" s="1083"/>
      <c r="BN297" s="1083"/>
      <c r="BO297" s="1083"/>
    </row>
    <row r="298" spans="1:67" ht="13.5" customHeight="1" x14ac:dyDescent="0.2">
      <c r="A298" s="1087" t="s">
        <v>686</v>
      </c>
      <c r="B298" s="1087"/>
      <c r="C298" s="1087"/>
      <c r="D298" s="1087"/>
      <c r="E298" s="1087"/>
      <c r="F298" s="1087"/>
      <c r="G298" s="1087"/>
      <c r="H298" s="1087"/>
      <c r="I298" s="1087"/>
      <c r="J298" s="1087"/>
      <c r="K298" s="1087"/>
      <c r="L298" s="1087"/>
      <c r="M298" s="1087"/>
      <c r="N298" s="1087"/>
      <c r="O298" s="1087"/>
      <c r="P298" s="1087"/>
      <c r="Q298" s="1087"/>
      <c r="R298" s="1087"/>
      <c r="S298" s="1086">
        <v>0</v>
      </c>
      <c r="T298" s="1086"/>
      <c r="U298" s="1086"/>
      <c r="V298" s="1086"/>
      <c r="W298" s="1086"/>
      <c r="X298" s="1086">
        <v>0</v>
      </c>
      <c r="Y298" s="1086"/>
      <c r="Z298" s="1086"/>
      <c r="AA298" s="1086"/>
      <c r="AB298" s="1086"/>
      <c r="AC298" s="1086"/>
      <c r="AD298" s="1086">
        <v>0</v>
      </c>
      <c r="AE298" s="1086"/>
      <c r="AF298" s="1086"/>
      <c r="AG298" s="1086"/>
      <c r="AH298" s="1086"/>
      <c r="AI298" s="1086"/>
      <c r="AJ298" s="1086">
        <v>0</v>
      </c>
      <c r="AK298" s="1086"/>
      <c r="AL298" s="1086"/>
      <c r="AM298" s="1086"/>
      <c r="AN298" s="1086"/>
      <c r="AO298" s="1086"/>
      <c r="AP298" s="1086"/>
      <c r="AQ298" s="1086"/>
      <c r="AR298" s="1086"/>
      <c r="AS298" s="1086"/>
      <c r="AT298" s="1086"/>
      <c r="AU298" s="1086">
        <v>0</v>
      </c>
      <c r="AV298" s="1086"/>
      <c r="AW298" s="1086"/>
      <c r="AX298" s="1086"/>
      <c r="AY298" s="1086"/>
      <c r="AZ298" s="1086"/>
      <c r="BA298" s="1086"/>
      <c r="BB298" s="1086"/>
      <c r="BC298" s="1086">
        <v>0</v>
      </c>
      <c r="BD298" s="1086"/>
      <c r="BE298" s="1086"/>
      <c r="BF298" s="1086"/>
      <c r="BG298" s="1086">
        <v>0</v>
      </c>
      <c r="BH298" s="1086"/>
      <c r="BI298" s="1086"/>
      <c r="BJ298" s="1086"/>
      <c r="BK298" s="1086">
        <v>0</v>
      </c>
      <c r="BL298" s="1086"/>
      <c r="BM298" s="1086"/>
      <c r="BN298" s="1086"/>
      <c r="BO298" s="1086"/>
    </row>
    <row r="299" spans="1:67" ht="13.5" customHeight="1" x14ac:dyDescent="0.2">
      <c r="A299" s="1087" t="s">
        <v>687</v>
      </c>
      <c r="B299" s="1087"/>
      <c r="C299" s="1087"/>
      <c r="D299" s="1087"/>
      <c r="E299" s="1087"/>
      <c r="F299" s="1087"/>
      <c r="G299" s="1087"/>
      <c r="H299" s="1087"/>
      <c r="I299" s="1087"/>
      <c r="J299" s="1087"/>
      <c r="K299" s="1087"/>
      <c r="L299" s="1087"/>
      <c r="M299" s="1087"/>
      <c r="N299" s="1087"/>
      <c r="O299" s="1087"/>
      <c r="P299" s="1087"/>
      <c r="Q299" s="1087"/>
      <c r="R299" s="1087"/>
      <c r="S299" s="1086">
        <v>0</v>
      </c>
      <c r="T299" s="1086"/>
      <c r="U299" s="1086"/>
      <c r="V299" s="1086"/>
      <c r="W299" s="1086"/>
      <c r="X299" s="1086">
        <v>0</v>
      </c>
      <c r="Y299" s="1086"/>
      <c r="Z299" s="1086"/>
      <c r="AA299" s="1086"/>
      <c r="AB299" s="1086"/>
      <c r="AC299" s="1086"/>
      <c r="AD299" s="1086">
        <v>0</v>
      </c>
      <c r="AE299" s="1086"/>
      <c r="AF299" s="1086"/>
      <c r="AG299" s="1086"/>
      <c r="AH299" s="1086"/>
      <c r="AI299" s="1086"/>
      <c r="AJ299" s="1086">
        <v>0</v>
      </c>
      <c r="AK299" s="1086"/>
      <c r="AL299" s="1086"/>
      <c r="AM299" s="1086"/>
      <c r="AN299" s="1086"/>
      <c r="AO299" s="1086"/>
      <c r="AP299" s="1086"/>
      <c r="AQ299" s="1086"/>
      <c r="AR299" s="1086"/>
      <c r="AS299" s="1086"/>
      <c r="AT299" s="1086"/>
      <c r="AU299" s="1086">
        <v>0</v>
      </c>
      <c r="AV299" s="1086"/>
      <c r="AW299" s="1086"/>
      <c r="AX299" s="1086"/>
      <c r="AY299" s="1086"/>
      <c r="AZ299" s="1086"/>
      <c r="BA299" s="1086"/>
      <c r="BB299" s="1086"/>
      <c r="BC299" s="1086">
        <v>0</v>
      </c>
      <c r="BD299" s="1086"/>
      <c r="BE299" s="1086"/>
      <c r="BF299" s="1086"/>
      <c r="BG299" s="1086">
        <v>0</v>
      </c>
      <c r="BH299" s="1086"/>
      <c r="BI299" s="1086"/>
      <c r="BJ299" s="1086"/>
      <c r="BK299" s="1086">
        <v>0</v>
      </c>
      <c r="BL299" s="1086"/>
      <c r="BM299" s="1086"/>
      <c r="BN299" s="1086"/>
      <c r="BO299" s="1086"/>
    </row>
    <row r="300" spans="1:67" ht="13.5" customHeight="1" x14ac:dyDescent="0.2">
      <c r="A300" s="1083"/>
      <c r="B300" s="1083"/>
      <c r="C300" s="1083"/>
      <c r="D300" s="1083"/>
      <c r="E300" s="1083"/>
      <c r="F300" s="1083"/>
      <c r="G300" s="1083"/>
      <c r="H300" s="1083"/>
      <c r="I300" s="1083"/>
      <c r="J300" s="1083"/>
      <c r="K300" s="1083"/>
      <c r="L300" s="1083"/>
      <c r="M300" s="1083"/>
      <c r="N300" s="1083"/>
      <c r="O300" s="1083"/>
      <c r="P300" s="1083"/>
      <c r="Q300" s="1083"/>
      <c r="R300" s="1083"/>
      <c r="S300" s="1083"/>
      <c r="T300" s="1083"/>
      <c r="U300" s="1083"/>
      <c r="V300" s="1083"/>
      <c r="W300" s="1083"/>
      <c r="X300" s="1083"/>
      <c r="Y300" s="1083"/>
      <c r="Z300" s="1083"/>
      <c r="AA300" s="1083"/>
      <c r="AB300" s="1083"/>
      <c r="AC300" s="1083"/>
      <c r="AD300" s="1083"/>
      <c r="AE300" s="1083"/>
      <c r="AF300" s="1083"/>
      <c r="AG300" s="1083"/>
      <c r="AH300" s="1083"/>
      <c r="AI300" s="1083"/>
      <c r="AJ300" s="1083"/>
      <c r="AK300" s="1083"/>
      <c r="AL300" s="1083"/>
      <c r="AM300" s="1083"/>
      <c r="AN300" s="1083"/>
      <c r="AO300" s="1083"/>
      <c r="AP300" s="1083"/>
      <c r="AQ300" s="1083"/>
      <c r="AR300" s="1083"/>
      <c r="AS300" s="1083"/>
      <c r="AT300" s="1083"/>
      <c r="AU300" s="1083"/>
      <c r="AV300" s="1083"/>
      <c r="AW300" s="1083"/>
      <c r="AX300" s="1083"/>
      <c r="AY300" s="1083"/>
      <c r="AZ300" s="1083"/>
      <c r="BA300" s="1083"/>
      <c r="BB300" s="1083"/>
      <c r="BC300" s="1083"/>
      <c r="BD300" s="1083"/>
      <c r="BE300" s="1083"/>
      <c r="BF300" s="1083"/>
      <c r="BG300" s="1083"/>
      <c r="BH300" s="1083"/>
      <c r="BI300" s="1083"/>
      <c r="BJ300" s="1083"/>
      <c r="BK300" s="1083"/>
      <c r="BL300" s="1083"/>
      <c r="BM300" s="1083"/>
      <c r="BN300" s="1083"/>
      <c r="BO300" s="1083"/>
    </row>
    <row r="301" spans="1:67" ht="12.5" customHeight="1" x14ac:dyDescent="0.2">
      <c r="A301" s="1084"/>
      <c r="B301" s="1085"/>
      <c r="C301" s="1085"/>
      <c r="D301" s="1085"/>
      <c r="E301" s="1085"/>
      <c r="F301" s="1085"/>
      <c r="G301" s="1085"/>
      <c r="H301" s="1085"/>
      <c r="I301" s="1085"/>
      <c r="J301" s="1085"/>
      <c r="K301" s="1085"/>
      <c r="L301" s="1085"/>
      <c r="M301" s="1085"/>
      <c r="N301" s="1085"/>
      <c r="O301" s="1085"/>
      <c r="P301" s="1085"/>
      <c r="Q301" s="1085"/>
      <c r="R301" s="1085"/>
      <c r="S301" s="1085"/>
      <c r="T301" s="1085"/>
      <c r="U301" s="1085"/>
      <c r="V301" s="1085"/>
      <c r="W301" s="1085"/>
      <c r="X301" s="1085"/>
      <c r="Y301" s="1085"/>
      <c r="Z301" s="1085"/>
      <c r="AA301" s="1085"/>
      <c r="AB301" s="1085"/>
      <c r="AC301" s="1085"/>
      <c r="AD301" s="1085"/>
      <c r="AE301" s="1085"/>
      <c r="AF301" s="1085"/>
      <c r="AG301" s="1085"/>
      <c r="AH301" s="1085"/>
      <c r="AI301" s="1085"/>
      <c r="AJ301" s="1085"/>
      <c r="AK301" s="1085"/>
      <c r="AL301" s="1085"/>
      <c r="AM301" s="1085"/>
      <c r="AN301" s="1085"/>
      <c r="AO301" s="1085"/>
      <c r="AP301" s="1085"/>
      <c r="AQ301" s="1085"/>
      <c r="AR301" s="1085"/>
      <c r="AS301" s="1085"/>
      <c r="AT301" s="1085"/>
      <c r="AU301" s="1085"/>
      <c r="AV301" s="1085"/>
      <c r="AW301" s="1085"/>
      <c r="AX301" s="1085"/>
    </row>
    <row r="302" spans="1:67" ht="18.25" customHeight="1" x14ac:dyDescent="0.2">
      <c r="A302" s="1020" t="s">
        <v>688</v>
      </c>
      <c r="B302" s="1021"/>
      <c r="C302" s="1021"/>
      <c r="D302" s="1021"/>
      <c r="E302" s="1021"/>
      <c r="F302" s="1021"/>
      <c r="G302" s="1021"/>
      <c r="H302" s="1021"/>
      <c r="I302" s="1021"/>
      <c r="J302" s="1021"/>
      <c r="K302" s="1021"/>
      <c r="L302" s="1021"/>
      <c r="M302" s="1021"/>
      <c r="N302" s="1021"/>
      <c r="O302" s="1021"/>
      <c r="P302" s="1021"/>
      <c r="Q302" s="1021"/>
      <c r="R302" s="1021"/>
      <c r="S302" s="1021"/>
      <c r="T302" s="1021"/>
      <c r="U302" s="1021"/>
      <c r="V302" s="1021"/>
      <c r="W302" s="1021"/>
      <c r="X302" s="1021"/>
      <c r="Y302" s="1021"/>
      <c r="Z302" s="1021"/>
      <c r="AA302" s="1021"/>
      <c r="AB302" s="1021"/>
      <c r="AC302" s="1021"/>
      <c r="AD302" s="1021"/>
      <c r="AE302" s="1021"/>
      <c r="AF302" s="1021"/>
      <c r="AG302" s="1021"/>
      <c r="AH302" s="1021"/>
      <c r="AI302" s="1021"/>
      <c r="AJ302" s="1021"/>
      <c r="AK302" s="1021"/>
      <c r="AL302" s="1021"/>
      <c r="AM302" s="1021"/>
      <c r="AN302" s="1021"/>
      <c r="AO302" s="1021"/>
      <c r="AP302" s="1021"/>
      <c r="AQ302" s="1021"/>
      <c r="AR302" s="1021"/>
      <c r="AS302" s="1021"/>
      <c r="AT302" s="1021"/>
      <c r="AU302" s="1021"/>
      <c r="AV302" s="1021"/>
      <c r="AW302" s="1021"/>
      <c r="AX302" s="1021"/>
      <c r="AY302" s="1021"/>
      <c r="AZ302" s="1021"/>
      <c r="BA302" s="1021"/>
      <c r="BB302" s="1021"/>
      <c r="BC302" s="1021"/>
      <c r="BD302" s="1021"/>
      <c r="BE302" s="1021"/>
      <c r="BF302" s="1021"/>
      <c r="BG302" s="1021"/>
      <c r="BH302" s="1021"/>
      <c r="BI302" s="1021"/>
      <c r="BJ302" s="1021"/>
      <c r="BK302" s="1021"/>
      <c r="BL302" s="1021"/>
      <c r="BM302" s="1021"/>
      <c r="BN302" s="1021"/>
    </row>
    <row r="303" spans="1:67" ht="12.5" customHeight="1" x14ac:dyDescent="0.2">
      <c r="A303" s="1022"/>
      <c r="B303" s="1023"/>
      <c r="C303" s="1023"/>
      <c r="D303" s="1023"/>
      <c r="E303" s="1023"/>
      <c r="F303" s="1023"/>
      <c r="G303" s="1023"/>
      <c r="H303" s="1023"/>
      <c r="I303" s="1023"/>
      <c r="J303" s="1023"/>
      <c r="K303" s="1023"/>
      <c r="L303" s="1023"/>
      <c r="M303" s="1023"/>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c r="AX303" s="1023"/>
    </row>
    <row r="304" spans="1:67" ht="13.5" customHeight="1" x14ac:dyDescent="0.2">
      <c r="A304" s="1100" t="s">
        <v>456</v>
      </c>
      <c r="B304" s="1100"/>
      <c r="C304" s="1100"/>
      <c r="D304" s="1100"/>
      <c r="E304" s="1100"/>
      <c r="F304" s="1100"/>
      <c r="G304" s="1100"/>
      <c r="H304" s="1100"/>
      <c r="I304" s="1100"/>
      <c r="J304" s="1100"/>
      <c r="K304" s="1100"/>
      <c r="L304" s="1100"/>
      <c r="M304" s="1100"/>
      <c r="N304" s="1100"/>
      <c r="O304" s="1100"/>
      <c r="P304" s="1100"/>
      <c r="Q304" s="1100"/>
      <c r="R304" s="1100"/>
      <c r="S304" s="1070"/>
      <c r="T304" s="1099" t="s">
        <v>450</v>
      </c>
      <c r="U304" s="1099"/>
      <c r="V304" s="1099"/>
      <c r="W304" s="1099"/>
      <c r="X304" s="1070"/>
      <c r="Y304" s="1099" t="s">
        <v>495</v>
      </c>
      <c r="Z304" s="1099"/>
      <c r="AA304" s="1099"/>
      <c r="AB304" s="1099"/>
      <c r="AC304" s="1099"/>
      <c r="AD304" s="1070"/>
      <c r="AE304" s="1099" t="s">
        <v>496</v>
      </c>
      <c r="AF304" s="1099"/>
      <c r="AG304" s="1099"/>
      <c r="AH304" s="1099"/>
      <c r="AI304" s="1099"/>
      <c r="AJ304" s="1070"/>
      <c r="AK304" s="1070"/>
      <c r="AL304" s="1099" t="s">
        <v>497</v>
      </c>
      <c r="AM304" s="1099"/>
      <c r="AN304" s="1099"/>
      <c r="AO304" s="1099"/>
      <c r="AP304" s="1099"/>
      <c r="AQ304" s="1099"/>
      <c r="AR304" s="1099"/>
      <c r="AS304" s="1099"/>
      <c r="AT304" s="1099"/>
      <c r="AU304" s="1070"/>
      <c r="AV304" s="1099" t="s">
        <v>498</v>
      </c>
      <c r="AW304" s="1099"/>
      <c r="AX304" s="1099"/>
      <c r="AY304" s="1099"/>
      <c r="AZ304" s="1099"/>
      <c r="BA304" s="1099"/>
      <c r="BB304" s="1099"/>
      <c r="BC304" s="1070"/>
      <c r="BD304" s="1099" t="s">
        <v>499</v>
      </c>
      <c r="BE304" s="1099"/>
      <c r="BF304" s="1099"/>
      <c r="BG304" s="1070"/>
      <c r="BH304" s="1099" t="s">
        <v>500</v>
      </c>
      <c r="BI304" s="1099"/>
      <c r="BJ304" s="1099"/>
      <c r="BK304" s="1070"/>
      <c r="BL304" s="1099" t="s">
        <v>501</v>
      </c>
      <c r="BM304" s="1099"/>
      <c r="BN304" s="1099"/>
      <c r="BO304" s="1099"/>
    </row>
    <row r="305" spans="1:69" ht="13.5" customHeight="1" x14ac:dyDescent="0.2">
      <c r="A305" s="1101"/>
      <c r="B305" s="1101"/>
      <c r="C305" s="1101"/>
      <c r="D305" s="1101"/>
      <c r="E305" s="1101"/>
      <c r="F305" s="1101"/>
      <c r="G305" s="1101"/>
      <c r="H305" s="1101"/>
      <c r="I305" s="1101"/>
      <c r="J305" s="1101"/>
      <c r="K305" s="1101"/>
      <c r="L305" s="1101"/>
      <c r="M305" s="1101"/>
      <c r="N305" s="1101"/>
      <c r="O305" s="1101"/>
      <c r="P305" s="1101"/>
      <c r="Q305" s="1101"/>
      <c r="R305" s="1101"/>
      <c r="S305" s="1098"/>
      <c r="T305" s="1096" t="s">
        <v>502</v>
      </c>
      <c r="U305" s="1096"/>
      <c r="V305" s="1096"/>
      <c r="W305" s="1096"/>
      <c r="X305" s="1098"/>
      <c r="Y305" s="1096" t="s">
        <v>502</v>
      </c>
      <c r="Z305" s="1096"/>
      <c r="AA305" s="1096"/>
      <c r="AB305" s="1096"/>
      <c r="AC305" s="1096"/>
      <c r="AD305" s="1098"/>
      <c r="AE305" s="1096" t="s">
        <v>502</v>
      </c>
      <c r="AF305" s="1096"/>
      <c r="AG305" s="1096"/>
      <c r="AH305" s="1096"/>
      <c r="AI305" s="1096"/>
      <c r="AJ305" s="1098"/>
      <c r="AK305" s="1098"/>
      <c r="AL305" s="1096" t="s">
        <v>502</v>
      </c>
      <c r="AM305" s="1096"/>
      <c r="AN305" s="1096"/>
      <c r="AO305" s="1096"/>
      <c r="AP305" s="1096"/>
      <c r="AQ305" s="1096"/>
      <c r="AR305" s="1096"/>
      <c r="AS305" s="1096"/>
      <c r="AT305" s="1096"/>
      <c r="AU305" s="1098"/>
      <c r="AV305" s="1096" t="s">
        <v>502</v>
      </c>
      <c r="AW305" s="1096"/>
      <c r="AX305" s="1096"/>
      <c r="AY305" s="1096"/>
      <c r="AZ305" s="1096"/>
      <c r="BA305" s="1096"/>
      <c r="BB305" s="1096"/>
      <c r="BC305" s="1098"/>
      <c r="BD305" s="1096" t="s">
        <v>502</v>
      </c>
      <c r="BE305" s="1096"/>
      <c r="BF305" s="1096"/>
      <c r="BG305" s="1098"/>
      <c r="BH305" s="1096" t="s">
        <v>502</v>
      </c>
      <c r="BI305" s="1096"/>
      <c r="BJ305" s="1096"/>
      <c r="BK305" s="1098"/>
      <c r="BL305" s="1096" t="s">
        <v>502</v>
      </c>
      <c r="BM305" s="1096"/>
      <c r="BN305" s="1096"/>
      <c r="BO305" s="1096"/>
    </row>
    <row r="306" spans="1:69" ht="13.5" customHeight="1" x14ac:dyDescent="0.2">
      <c r="U306" s="1097" t="s">
        <v>503</v>
      </c>
      <c r="V306" s="1097"/>
      <c r="W306" s="1097"/>
      <c r="Z306" s="1097" t="s">
        <v>503</v>
      </c>
      <c r="AA306" s="1097"/>
      <c r="AB306" s="1097"/>
      <c r="AC306" s="1097"/>
      <c r="AF306" s="1097" t="s">
        <v>503</v>
      </c>
      <c r="AG306" s="1097"/>
      <c r="AH306" s="1097"/>
      <c r="AI306" s="1097"/>
      <c r="AM306" s="1097" t="s">
        <v>503</v>
      </c>
      <c r="AN306" s="1097"/>
      <c r="AO306" s="1097"/>
      <c r="AP306" s="1097"/>
      <c r="AQ306" s="1097"/>
      <c r="AR306" s="1097"/>
      <c r="AS306" s="1097"/>
      <c r="AT306" s="1097"/>
      <c r="AX306" s="1097" t="s">
        <v>503</v>
      </c>
      <c r="AY306" s="1097"/>
      <c r="AZ306" s="1097"/>
      <c r="BA306" s="1097"/>
      <c r="BB306" s="1097"/>
      <c r="BE306" s="1097" t="s">
        <v>503</v>
      </c>
      <c r="BF306" s="1097"/>
      <c r="BI306" s="1097" t="s">
        <v>503</v>
      </c>
      <c r="BJ306" s="1097"/>
      <c r="BM306" s="1097" t="s">
        <v>503</v>
      </c>
      <c r="BN306" s="1097"/>
      <c r="BO306" s="1097"/>
    </row>
    <row r="307" spans="1:69" ht="13.5" customHeight="1" x14ac:dyDescent="0.2">
      <c r="U307" s="1030" t="s">
        <v>458</v>
      </c>
      <c r="V307" s="1030"/>
      <c r="W307" s="1030"/>
      <c r="Z307" s="1030" t="s">
        <v>458</v>
      </c>
      <c r="AA307" s="1030"/>
      <c r="AB307" s="1030"/>
      <c r="AC307" s="1030"/>
      <c r="AF307" s="1030" t="s">
        <v>458</v>
      </c>
      <c r="AG307" s="1030"/>
      <c r="AH307" s="1030"/>
      <c r="AI307" s="1030"/>
      <c r="AM307" s="1030" t="s">
        <v>458</v>
      </c>
      <c r="AN307" s="1030"/>
      <c r="AO307" s="1030"/>
      <c r="AP307" s="1030"/>
      <c r="AQ307" s="1030"/>
      <c r="AR307" s="1030"/>
      <c r="AS307" s="1030"/>
      <c r="AT307" s="1030"/>
      <c r="AX307" s="1030" t="s">
        <v>458</v>
      </c>
      <c r="AY307" s="1030"/>
      <c r="AZ307" s="1030"/>
      <c r="BA307" s="1030"/>
      <c r="BB307" s="1030"/>
      <c r="BE307" s="1030" t="s">
        <v>458</v>
      </c>
      <c r="BF307" s="1030"/>
      <c r="BI307" s="1030" t="s">
        <v>458</v>
      </c>
      <c r="BJ307" s="1030"/>
      <c r="BM307" s="1030" t="s">
        <v>458</v>
      </c>
      <c r="BN307" s="1030"/>
      <c r="BO307" s="1030"/>
    </row>
    <row r="308" spans="1:69" ht="13.5" customHeight="1" x14ac:dyDescent="0.2">
      <c r="U308" s="1095" t="s">
        <v>504</v>
      </c>
      <c r="V308" s="1095"/>
      <c r="W308" s="1095"/>
      <c r="Z308" s="1095" t="s">
        <v>504</v>
      </c>
      <c r="AA308" s="1095"/>
      <c r="AB308" s="1095"/>
      <c r="AC308" s="1095"/>
      <c r="AF308" s="1095" t="s">
        <v>504</v>
      </c>
      <c r="AG308" s="1095"/>
      <c r="AH308" s="1095"/>
      <c r="AI308" s="1095"/>
      <c r="AM308" s="1095" t="s">
        <v>504</v>
      </c>
      <c r="AN308" s="1095"/>
      <c r="AO308" s="1095"/>
      <c r="AP308" s="1095"/>
      <c r="AQ308" s="1095"/>
      <c r="AR308" s="1095"/>
      <c r="AS308" s="1095"/>
      <c r="AT308" s="1095"/>
      <c r="AX308" s="1095" t="s">
        <v>504</v>
      </c>
      <c r="AY308" s="1095"/>
      <c r="AZ308" s="1095"/>
      <c r="BA308" s="1095"/>
      <c r="BB308" s="1095"/>
      <c r="BE308" s="1095" t="s">
        <v>504</v>
      </c>
      <c r="BF308" s="1095"/>
      <c r="BI308" s="1095" t="s">
        <v>504</v>
      </c>
      <c r="BJ308" s="1095"/>
      <c r="BM308" s="1095" t="s">
        <v>504</v>
      </c>
      <c r="BN308" s="1095"/>
      <c r="BO308" s="1095"/>
    </row>
    <row r="309" spans="1:69" ht="40.75" customHeight="1" x14ac:dyDescent="0.2">
      <c r="S309" s="1093"/>
      <c r="T309" s="1093"/>
      <c r="U309" s="1083"/>
      <c r="V309" s="1083"/>
      <c r="W309" s="1083"/>
      <c r="X309" s="1093"/>
      <c r="Y309" s="1093"/>
      <c r="Z309" s="1083"/>
      <c r="AA309" s="1083"/>
      <c r="AB309" s="1083"/>
      <c r="AC309" s="1083"/>
      <c r="AD309" s="1093"/>
      <c r="AE309" s="1093"/>
      <c r="AF309" s="1083"/>
      <c r="AG309" s="1083"/>
      <c r="AH309" s="1083"/>
      <c r="AI309" s="1083"/>
      <c r="AJ309" s="1093"/>
      <c r="AK309" s="1093"/>
      <c r="AL309" s="1093"/>
      <c r="AM309" s="1083"/>
      <c r="AN309" s="1083"/>
      <c r="AO309" s="1083"/>
      <c r="AP309" s="1083"/>
      <c r="AQ309" s="1083"/>
      <c r="AR309" s="1083"/>
      <c r="AS309" s="1083"/>
      <c r="AT309" s="1083"/>
      <c r="AU309" s="1093"/>
      <c r="AV309" s="1093"/>
      <c r="AW309" s="1093"/>
      <c r="AX309" s="1083"/>
      <c r="AY309" s="1083"/>
      <c r="AZ309" s="1083"/>
      <c r="BA309" s="1083"/>
      <c r="BB309" s="1083"/>
      <c r="BC309" s="1093"/>
      <c r="BD309" s="1093"/>
      <c r="BE309" s="1083"/>
      <c r="BF309" s="1083"/>
      <c r="BG309" s="1093"/>
      <c r="BH309" s="1093"/>
      <c r="BI309" s="1083"/>
      <c r="BJ309" s="1083"/>
      <c r="BK309" s="1093"/>
      <c r="BL309" s="1093"/>
      <c r="BM309" s="1083"/>
      <c r="BN309" s="1083"/>
      <c r="BO309" s="1083"/>
    </row>
    <row r="310" spans="1:69" ht="13.5" customHeight="1" x14ac:dyDescent="0.2">
      <c r="A310" s="1110" t="s">
        <v>689</v>
      </c>
      <c r="B310" s="1111"/>
      <c r="C310" s="1111"/>
      <c r="D310" s="1111"/>
      <c r="E310" s="1111"/>
      <c r="F310" s="1111"/>
      <c r="G310" s="1111"/>
      <c r="H310" s="1111"/>
      <c r="I310" s="1111"/>
      <c r="J310" s="1111"/>
      <c r="K310" s="1111"/>
      <c r="L310" s="1111"/>
      <c r="M310" s="1111"/>
      <c r="N310" s="1111"/>
      <c r="O310" s="1111"/>
      <c r="P310" s="1111"/>
      <c r="Q310" s="1111"/>
      <c r="R310" s="1112"/>
      <c r="S310" s="1106">
        <v>21175083</v>
      </c>
      <c r="T310" s="1086"/>
      <c r="U310" s="1086"/>
      <c r="V310" s="1086"/>
      <c r="W310" s="1086"/>
      <c r="X310" s="1086">
        <v>21333756</v>
      </c>
      <c r="Y310" s="1086"/>
      <c r="Z310" s="1086"/>
      <c r="AA310" s="1086"/>
      <c r="AB310" s="1086"/>
      <c r="AC310" s="1086"/>
      <c r="AD310" s="1086">
        <v>20175039</v>
      </c>
      <c r="AE310" s="1086"/>
      <c r="AF310" s="1086"/>
      <c r="AG310" s="1086"/>
      <c r="AH310" s="1086"/>
      <c r="AI310" s="1086"/>
      <c r="AJ310" s="1086">
        <v>15943683</v>
      </c>
      <c r="AK310" s="1086"/>
      <c r="AL310" s="1086"/>
      <c r="AM310" s="1086"/>
      <c r="AN310" s="1086"/>
      <c r="AO310" s="1086"/>
      <c r="AP310" s="1086"/>
      <c r="AQ310" s="1086"/>
      <c r="AR310" s="1086"/>
      <c r="AS310" s="1086"/>
      <c r="AT310" s="1086"/>
      <c r="AU310" s="1086">
        <v>13994258</v>
      </c>
      <c r="AV310" s="1086"/>
      <c r="AW310" s="1086"/>
      <c r="AX310" s="1086"/>
      <c r="AY310" s="1086"/>
      <c r="AZ310" s="1086"/>
      <c r="BA310" s="1086"/>
      <c r="BB310" s="1086"/>
      <c r="BC310" s="1086">
        <v>14096980</v>
      </c>
      <c r="BD310" s="1086"/>
      <c r="BE310" s="1086"/>
      <c r="BF310" s="1086"/>
      <c r="BG310" s="1086">
        <v>11927860</v>
      </c>
      <c r="BH310" s="1086"/>
      <c r="BI310" s="1086"/>
      <c r="BJ310" s="1086"/>
      <c r="BK310" s="1086">
        <v>9845054</v>
      </c>
      <c r="BL310" s="1086"/>
      <c r="BM310" s="1086"/>
      <c r="BN310" s="1086"/>
      <c r="BO310" s="1086"/>
    </row>
    <row r="311" spans="1:69" ht="13.5" customHeight="1" x14ac:dyDescent="0.2">
      <c r="A311" s="1107" t="s">
        <v>690</v>
      </c>
      <c r="B311" s="1087"/>
      <c r="C311" s="1087"/>
      <c r="D311" s="1087"/>
      <c r="E311" s="1087"/>
      <c r="F311" s="1087"/>
      <c r="G311" s="1087"/>
      <c r="H311" s="1087"/>
      <c r="I311" s="1087"/>
      <c r="J311" s="1087"/>
      <c r="K311" s="1087"/>
      <c r="L311" s="1087"/>
      <c r="M311" s="1087"/>
      <c r="N311" s="1087"/>
      <c r="O311" s="1087"/>
      <c r="P311" s="1087"/>
      <c r="Q311" s="1087"/>
      <c r="R311" s="1108"/>
      <c r="S311" s="1106">
        <v>21463379</v>
      </c>
      <c r="T311" s="1086"/>
      <c r="U311" s="1086"/>
      <c r="V311" s="1086"/>
      <c r="W311" s="1086"/>
      <c r="X311" s="1086">
        <v>20988520</v>
      </c>
      <c r="Y311" s="1086"/>
      <c r="Z311" s="1086"/>
      <c r="AA311" s="1086"/>
      <c r="AB311" s="1086"/>
      <c r="AC311" s="1086"/>
      <c r="AD311" s="1086">
        <v>17588847</v>
      </c>
      <c r="AE311" s="1086"/>
      <c r="AF311" s="1086"/>
      <c r="AG311" s="1086"/>
      <c r="AH311" s="1086"/>
      <c r="AI311" s="1086"/>
      <c r="AJ311" s="1086">
        <v>15559839</v>
      </c>
      <c r="AK311" s="1086"/>
      <c r="AL311" s="1086"/>
      <c r="AM311" s="1086"/>
      <c r="AN311" s="1086"/>
      <c r="AO311" s="1086"/>
      <c r="AP311" s="1086"/>
      <c r="AQ311" s="1086"/>
      <c r="AR311" s="1086"/>
      <c r="AS311" s="1086"/>
      <c r="AT311" s="1086"/>
      <c r="AU311" s="1086">
        <v>14316092</v>
      </c>
      <c r="AV311" s="1086"/>
      <c r="AW311" s="1086"/>
      <c r="AX311" s="1086"/>
      <c r="AY311" s="1086"/>
      <c r="AZ311" s="1086"/>
      <c r="BA311" s="1086"/>
      <c r="BB311" s="1086"/>
      <c r="BC311" s="1086">
        <v>13473198</v>
      </c>
      <c r="BD311" s="1086"/>
      <c r="BE311" s="1086"/>
      <c r="BF311" s="1086"/>
      <c r="BG311" s="1086">
        <v>11493812</v>
      </c>
      <c r="BH311" s="1086"/>
      <c r="BI311" s="1086"/>
      <c r="BJ311" s="1086"/>
      <c r="BK311" s="1086">
        <v>9891413</v>
      </c>
      <c r="BL311" s="1086"/>
      <c r="BM311" s="1086"/>
      <c r="BN311" s="1086"/>
      <c r="BO311" s="1086"/>
    </row>
    <row r="312" spans="1:69" ht="13.5" customHeight="1" x14ac:dyDescent="0.2">
      <c r="A312" s="1107" t="s">
        <v>691</v>
      </c>
      <c r="B312" s="1087"/>
      <c r="C312" s="1087"/>
      <c r="D312" s="1087"/>
      <c r="E312" s="1087"/>
      <c r="F312" s="1087"/>
      <c r="G312" s="1087"/>
      <c r="H312" s="1087"/>
      <c r="I312" s="1087"/>
      <c r="J312" s="1087"/>
      <c r="K312" s="1087"/>
      <c r="L312" s="1087"/>
      <c r="M312" s="1087"/>
      <c r="N312" s="1087"/>
      <c r="O312" s="1087"/>
      <c r="P312" s="1087"/>
      <c r="Q312" s="1087"/>
      <c r="R312" s="1108"/>
      <c r="S312" s="1106">
        <v>-573471</v>
      </c>
      <c r="T312" s="1086"/>
      <c r="U312" s="1086"/>
      <c r="V312" s="1086"/>
      <c r="W312" s="1086"/>
      <c r="X312" s="1086">
        <v>-74468</v>
      </c>
      <c r="Y312" s="1086"/>
      <c r="Z312" s="1086"/>
      <c r="AA312" s="1086"/>
      <c r="AB312" s="1086"/>
      <c r="AC312" s="1086"/>
      <c r="AD312" s="1086">
        <v>2163754</v>
      </c>
      <c r="AE312" s="1086"/>
      <c r="AF312" s="1086"/>
      <c r="AG312" s="1086"/>
      <c r="AH312" s="1086"/>
      <c r="AI312" s="1086"/>
      <c r="AJ312" s="1086">
        <v>288102</v>
      </c>
      <c r="AK312" s="1086"/>
      <c r="AL312" s="1086"/>
      <c r="AM312" s="1086"/>
      <c r="AN312" s="1086"/>
      <c r="AO312" s="1086"/>
      <c r="AP312" s="1086"/>
      <c r="AQ312" s="1086"/>
      <c r="AR312" s="1086"/>
      <c r="AS312" s="1086"/>
      <c r="AT312" s="1086"/>
      <c r="AU312" s="1086">
        <v>-377792</v>
      </c>
      <c r="AV312" s="1086"/>
      <c r="AW312" s="1086"/>
      <c r="AX312" s="1086"/>
      <c r="AY312" s="1086"/>
      <c r="AZ312" s="1086"/>
      <c r="BA312" s="1086"/>
      <c r="BB312" s="1086"/>
      <c r="BC312" s="1086">
        <v>494422</v>
      </c>
      <c r="BD312" s="1086"/>
      <c r="BE312" s="1086"/>
      <c r="BF312" s="1086"/>
      <c r="BG312" s="1086">
        <v>386643</v>
      </c>
      <c r="BH312" s="1086"/>
      <c r="BI312" s="1086"/>
      <c r="BJ312" s="1086"/>
      <c r="BK312" s="1086">
        <v>-75281</v>
      </c>
      <c r="BL312" s="1086"/>
      <c r="BM312" s="1086"/>
      <c r="BN312" s="1086"/>
      <c r="BO312" s="1086"/>
    </row>
    <row r="313" spans="1:69" ht="13.5" customHeight="1" x14ac:dyDescent="0.2">
      <c r="A313" s="1107" t="s">
        <v>692</v>
      </c>
      <c r="B313" s="1087"/>
      <c r="C313" s="1087"/>
      <c r="D313" s="1087"/>
      <c r="E313" s="1087"/>
      <c r="F313" s="1087"/>
      <c r="G313" s="1087"/>
      <c r="H313" s="1087"/>
      <c r="I313" s="1087"/>
      <c r="J313" s="1087"/>
      <c r="K313" s="1087"/>
      <c r="L313" s="1087"/>
      <c r="M313" s="1087"/>
      <c r="N313" s="1087"/>
      <c r="O313" s="1087"/>
      <c r="P313" s="1087"/>
      <c r="Q313" s="1087"/>
      <c r="R313" s="1108"/>
      <c r="S313" s="1106">
        <v>0</v>
      </c>
      <c r="T313" s="1086"/>
      <c r="U313" s="1086"/>
      <c r="V313" s="1086"/>
      <c r="W313" s="1086"/>
      <c r="X313" s="1086">
        <v>0</v>
      </c>
      <c r="Y313" s="1086"/>
      <c r="Z313" s="1086"/>
      <c r="AA313" s="1086"/>
      <c r="AB313" s="1086"/>
      <c r="AC313" s="1086"/>
      <c r="AD313" s="1086">
        <v>0</v>
      </c>
      <c r="AE313" s="1086"/>
      <c r="AF313" s="1086"/>
      <c r="AG313" s="1086"/>
      <c r="AH313" s="1086"/>
      <c r="AI313" s="1086"/>
      <c r="AJ313" s="1086">
        <v>0</v>
      </c>
      <c r="AK313" s="1086"/>
      <c r="AL313" s="1086"/>
      <c r="AM313" s="1086"/>
      <c r="AN313" s="1086"/>
      <c r="AO313" s="1086"/>
      <c r="AP313" s="1086"/>
      <c r="AQ313" s="1086"/>
      <c r="AR313" s="1086"/>
      <c r="AS313" s="1086"/>
      <c r="AT313" s="1086"/>
      <c r="AU313" s="1086">
        <v>0</v>
      </c>
      <c r="AV313" s="1086"/>
      <c r="AW313" s="1086"/>
      <c r="AX313" s="1086"/>
      <c r="AY313" s="1086"/>
      <c r="AZ313" s="1086"/>
      <c r="BA313" s="1086"/>
      <c r="BB313" s="1086"/>
      <c r="BC313" s="1086">
        <v>0</v>
      </c>
      <c r="BD313" s="1086"/>
      <c r="BE313" s="1086"/>
      <c r="BF313" s="1086"/>
      <c r="BG313" s="1086">
        <v>0</v>
      </c>
      <c r="BH313" s="1086"/>
      <c r="BI313" s="1086"/>
      <c r="BJ313" s="1086"/>
      <c r="BK313" s="1086">
        <v>0</v>
      </c>
      <c r="BL313" s="1086"/>
      <c r="BM313" s="1086"/>
      <c r="BN313" s="1086"/>
      <c r="BO313" s="1086"/>
      <c r="BQ313" s="366"/>
    </row>
    <row r="314" spans="1:69" ht="13.5" customHeight="1" x14ac:dyDescent="0.2">
      <c r="A314" s="1107" t="s">
        <v>693</v>
      </c>
      <c r="B314" s="1087"/>
      <c r="C314" s="1087"/>
      <c r="D314" s="1087"/>
      <c r="E314" s="1087"/>
      <c r="F314" s="1087"/>
      <c r="G314" s="1087"/>
      <c r="H314" s="1087"/>
      <c r="I314" s="1087"/>
      <c r="J314" s="1087"/>
      <c r="K314" s="1087"/>
      <c r="L314" s="1087"/>
      <c r="M314" s="1087"/>
      <c r="N314" s="1087"/>
      <c r="O314" s="1087"/>
      <c r="P314" s="1087"/>
      <c r="Q314" s="1087"/>
      <c r="R314" s="1108"/>
      <c r="S314" s="1106">
        <v>-573471</v>
      </c>
      <c r="T314" s="1086"/>
      <c r="U314" s="1086"/>
      <c r="V314" s="1086"/>
      <c r="W314" s="1086"/>
      <c r="X314" s="1086">
        <v>-74468</v>
      </c>
      <c r="Y314" s="1086"/>
      <c r="Z314" s="1086"/>
      <c r="AA314" s="1086"/>
      <c r="AB314" s="1086"/>
      <c r="AC314" s="1086"/>
      <c r="AD314" s="1086">
        <v>2163754</v>
      </c>
      <c r="AE314" s="1086"/>
      <c r="AF314" s="1086"/>
      <c r="AG314" s="1086"/>
      <c r="AH314" s="1086"/>
      <c r="AI314" s="1086"/>
      <c r="AJ314" s="1086">
        <v>288102</v>
      </c>
      <c r="AK314" s="1086"/>
      <c r="AL314" s="1086"/>
      <c r="AM314" s="1086"/>
      <c r="AN314" s="1086"/>
      <c r="AO314" s="1086"/>
      <c r="AP314" s="1086"/>
      <c r="AQ314" s="1086"/>
      <c r="AR314" s="1086"/>
      <c r="AS314" s="1086"/>
      <c r="AT314" s="1086"/>
      <c r="AU314" s="1086">
        <v>-377792</v>
      </c>
      <c r="AV314" s="1086"/>
      <c r="AW314" s="1086"/>
      <c r="AX314" s="1086"/>
      <c r="AY314" s="1086"/>
      <c r="AZ314" s="1086"/>
      <c r="BA314" s="1086"/>
      <c r="BB314" s="1086"/>
      <c r="BC314" s="1086">
        <v>494422</v>
      </c>
      <c r="BD314" s="1086"/>
      <c r="BE314" s="1086"/>
      <c r="BF314" s="1086"/>
      <c r="BG314" s="1086">
        <v>386643</v>
      </c>
      <c r="BH314" s="1086"/>
      <c r="BI314" s="1086"/>
      <c r="BJ314" s="1086"/>
      <c r="BK314" s="1086">
        <v>-75281</v>
      </c>
      <c r="BL314" s="1086"/>
      <c r="BM314" s="1086"/>
      <c r="BN314" s="1086"/>
      <c r="BO314" s="1086"/>
      <c r="BQ314" s="366"/>
    </row>
    <row r="315" spans="1:69" ht="13.5" customHeight="1" x14ac:dyDescent="0.2">
      <c r="A315" s="1107" t="s">
        <v>694</v>
      </c>
      <c r="B315" s="1087"/>
      <c r="C315" s="1087"/>
      <c r="D315" s="1087"/>
      <c r="E315" s="1087"/>
      <c r="F315" s="1087"/>
      <c r="G315" s="1087"/>
      <c r="H315" s="1087"/>
      <c r="I315" s="1087"/>
      <c r="J315" s="1087"/>
      <c r="K315" s="1087"/>
      <c r="L315" s="1087"/>
      <c r="M315" s="1087"/>
      <c r="N315" s="1087"/>
      <c r="O315" s="1087"/>
      <c r="P315" s="1087"/>
      <c r="Q315" s="1087"/>
      <c r="R315" s="1108"/>
      <c r="S315" s="1106">
        <v>0</v>
      </c>
      <c r="T315" s="1086"/>
      <c r="U315" s="1086"/>
      <c r="V315" s="1086"/>
      <c r="W315" s="1086"/>
      <c r="X315" s="1086">
        <v>0</v>
      </c>
      <c r="Y315" s="1086"/>
      <c r="Z315" s="1086"/>
      <c r="AA315" s="1086"/>
      <c r="AB315" s="1086"/>
      <c r="AC315" s="1086"/>
      <c r="AD315" s="1086">
        <v>0</v>
      </c>
      <c r="AE315" s="1086"/>
      <c r="AF315" s="1086"/>
      <c r="AG315" s="1086"/>
      <c r="AH315" s="1086"/>
      <c r="AI315" s="1086"/>
      <c r="AJ315" s="1086">
        <v>0</v>
      </c>
      <c r="AK315" s="1086"/>
      <c r="AL315" s="1086"/>
      <c r="AM315" s="1086"/>
      <c r="AN315" s="1086"/>
      <c r="AO315" s="1086"/>
      <c r="AP315" s="1086"/>
      <c r="AQ315" s="1086"/>
      <c r="AR315" s="1086"/>
      <c r="AS315" s="1086"/>
      <c r="AT315" s="1086"/>
      <c r="AU315" s="1086">
        <v>0</v>
      </c>
      <c r="AV315" s="1086"/>
      <c r="AW315" s="1086"/>
      <c r="AX315" s="1086"/>
      <c r="AY315" s="1086"/>
      <c r="AZ315" s="1086"/>
      <c r="BA315" s="1086"/>
      <c r="BB315" s="1086"/>
      <c r="BC315" s="1086">
        <v>0</v>
      </c>
      <c r="BD315" s="1086"/>
      <c r="BE315" s="1086"/>
      <c r="BF315" s="1086"/>
      <c r="BG315" s="1086">
        <v>0</v>
      </c>
      <c r="BH315" s="1086"/>
      <c r="BI315" s="1086"/>
      <c r="BJ315" s="1086"/>
      <c r="BK315" s="1086">
        <v>0</v>
      </c>
      <c r="BL315" s="1086"/>
      <c r="BM315" s="1086"/>
      <c r="BN315" s="1086"/>
      <c r="BO315" s="1086"/>
    </row>
    <row r="316" spans="1:69" ht="13.5" customHeight="1" x14ac:dyDescent="0.2">
      <c r="A316" s="1107" t="s">
        <v>695</v>
      </c>
      <c r="B316" s="1087"/>
      <c r="C316" s="1087"/>
      <c r="D316" s="1087"/>
      <c r="E316" s="1087"/>
      <c r="F316" s="1087"/>
      <c r="G316" s="1087"/>
      <c r="H316" s="1087"/>
      <c r="I316" s="1087"/>
      <c r="J316" s="1087"/>
      <c r="K316" s="1087"/>
      <c r="L316" s="1087"/>
      <c r="M316" s="1087"/>
      <c r="N316" s="1087"/>
      <c r="O316" s="1087"/>
      <c r="P316" s="1087"/>
      <c r="Q316" s="1087"/>
      <c r="R316" s="1108"/>
      <c r="S316" s="1106">
        <v>285175</v>
      </c>
      <c r="T316" s="1086"/>
      <c r="U316" s="1086"/>
      <c r="V316" s="1086"/>
      <c r="W316" s="1086"/>
      <c r="X316" s="1086">
        <v>419704</v>
      </c>
      <c r="Y316" s="1086"/>
      <c r="Z316" s="1086"/>
      <c r="AA316" s="1086"/>
      <c r="AB316" s="1086"/>
      <c r="AC316" s="1086"/>
      <c r="AD316" s="1086">
        <v>422438</v>
      </c>
      <c r="AE316" s="1086"/>
      <c r="AF316" s="1086"/>
      <c r="AG316" s="1086"/>
      <c r="AH316" s="1086"/>
      <c r="AI316" s="1086"/>
      <c r="AJ316" s="1086">
        <v>95742</v>
      </c>
      <c r="AK316" s="1086"/>
      <c r="AL316" s="1086"/>
      <c r="AM316" s="1086"/>
      <c r="AN316" s="1086"/>
      <c r="AO316" s="1086"/>
      <c r="AP316" s="1086"/>
      <c r="AQ316" s="1086"/>
      <c r="AR316" s="1086"/>
      <c r="AS316" s="1086"/>
      <c r="AT316" s="1086"/>
      <c r="AU316" s="1086">
        <v>55958</v>
      </c>
      <c r="AV316" s="1086"/>
      <c r="AW316" s="1086"/>
      <c r="AX316" s="1086"/>
      <c r="AY316" s="1086"/>
      <c r="AZ316" s="1086"/>
      <c r="BA316" s="1086"/>
      <c r="BB316" s="1086"/>
      <c r="BC316" s="1086">
        <v>129360</v>
      </c>
      <c r="BD316" s="1086"/>
      <c r="BE316" s="1086"/>
      <c r="BF316" s="1086"/>
      <c r="BG316" s="1086">
        <v>47405</v>
      </c>
      <c r="BH316" s="1086"/>
      <c r="BI316" s="1086"/>
      <c r="BJ316" s="1086"/>
      <c r="BK316" s="1086">
        <v>28922</v>
      </c>
      <c r="BL316" s="1086"/>
      <c r="BM316" s="1086"/>
      <c r="BN316" s="1086"/>
      <c r="BO316" s="1086"/>
    </row>
    <row r="317" spans="1:69" ht="13.5" customHeight="1" x14ac:dyDescent="0.2">
      <c r="A317" s="1103" t="s">
        <v>696</v>
      </c>
      <c r="B317" s="1104"/>
      <c r="C317" s="1104"/>
      <c r="D317" s="1104"/>
      <c r="E317" s="1104"/>
      <c r="F317" s="1104"/>
      <c r="G317" s="1104"/>
      <c r="H317" s="1104"/>
      <c r="I317" s="1104"/>
      <c r="J317" s="1104"/>
      <c r="K317" s="1104"/>
      <c r="L317" s="1104"/>
      <c r="M317" s="1104"/>
      <c r="N317" s="1104"/>
      <c r="O317" s="1104"/>
      <c r="P317" s="1104"/>
      <c r="Q317" s="1104"/>
      <c r="R317" s="1105"/>
      <c r="S317" s="1106">
        <v>97559</v>
      </c>
      <c r="T317" s="1086"/>
      <c r="U317" s="1086"/>
      <c r="V317" s="1086"/>
      <c r="W317" s="1086"/>
      <c r="X317" s="1086">
        <v>265833</v>
      </c>
      <c r="Y317" s="1086"/>
      <c r="Z317" s="1086"/>
      <c r="AA317" s="1086"/>
      <c r="AB317" s="1086"/>
      <c r="AC317" s="1086"/>
      <c r="AD317" s="1086">
        <v>189996</v>
      </c>
      <c r="AE317" s="1086"/>
      <c r="AF317" s="1086"/>
      <c r="AG317" s="1086"/>
      <c r="AH317" s="1086"/>
      <c r="AI317" s="1086"/>
      <c r="AJ317" s="1086">
        <v>17223</v>
      </c>
      <c r="AK317" s="1086"/>
      <c r="AL317" s="1086"/>
      <c r="AM317" s="1086"/>
      <c r="AN317" s="1086"/>
      <c r="AO317" s="1086"/>
      <c r="AP317" s="1086"/>
      <c r="AQ317" s="1086"/>
      <c r="AR317" s="1086"/>
      <c r="AS317" s="1086"/>
      <c r="AT317" s="1086"/>
      <c r="AU317" s="1086">
        <v>35171</v>
      </c>
      <c r="AV317" s="1086"/>
      <c r="AW317" s="1086"/>
      <c r="AX317" s="1086"/>
      <c r="AY317" s="1086"/>
      <c r="AZ317" s="1086"/>
      <c r="BA317" s="1086"/>
      <c r="BB317" s="1086"/>
      <c r="BC317" s="1086">
        <v>52406</v>
      </c>
      <c r="BD317" s="1086"/>
      <c r="BE317" s="1086"/>
      <c r="BF317" s="1086"/>
      <c r="BG317" s="1086">
        <v>21783</v>
      </c>
      <c r="BH317" s="1086"/>
      <c r="BI317" s="1086"/>
      <c r="BJ317" s="1086"/>
      <c r="BK317" s="1086">
        <v>2994</v>
      </c>
      <c r="BL317" s="1086"/>
      <c r="BM317" s="1086"/>
      <c r="BN317" s="1086"/>
      <c r="BO317" s="1086"/>
    </row>
    <row r="318" spans="1:69" ht="13.5" customHeight="1" x14ac:dyDescent="0.2">
      <c r="A318" s="1113"/>
      <c r="B318" s="1113"/>
      <c r="C318" s="1113"/>
      <c r="D318" s="1113"/>
      <c r="E318" s="1113"/>
      <c r="F318" s="1113"/>
      <c r="G318" s="1113"/>
      <c r="H318" s="1113"/>
      <c r="I318" s="1113"/>
      <c r="J318" s="1113"/>
      <c r="K318" s="1113"/>
      <c r="L318" s="1113"/>
      <c r="M318" s="1113"/>
      <c r="N318" s="1113"/>
      <c r="O318" s="1113"/>
      <c r="P318" s="1113"/>
      <c r="Q318" s="1113"/>
      <c r="R318" s="1113"/>
      <c r="S318" s="1083"/>
      <c r="T318" s="1083"/>
      <c r="U318" s="1083"/>
      <c r="V318" s="1083"/>
      <c r="W318" s="1083"/>
      <c r="X318" s="1083"/>
      <c r="Y318" s="1083"/>
      <c r="Z318" s="1083"/>
      <c r="AA318" s="1083"/>
      <c r="AB318" s="1083"/>
      <c r="AC318" s="1083"/>
      <c r="AD318" s="1083"/>
      <c r="AE318" s="1083"/>
      <c r="AF318" s="1083"/>
      <c r="AG318" s="1083"/>
      <c r="AH318" s="1083"/>
      <c r="AI318" s="1083"/>
      <c r="AJ318" s="1083"/>
      <c r="AK318" s="1083"/>
      <c r="AL318" s="1083"/>
      <c r="AM318" s="1083"/>
      <c r="AN318" s="1083"/>
      <c r="AO318" s="1083"/>
      <c r="AP318" s="1083"/>
      <c r="AQ318" s="1083"/>
      <c r="AR318" s="1083"/>
      <c r="AS318" s="1083"/>
      <c r="AT318" s="1083"/>
      <c r="AU318" s="1083"/>
      <c r="AV318" s="1083"/>
      <c r="AW318" s="1083"/>
      <c r="AX318" s="1083"/>
      <c r="AY318" s="1083"/>
      <c r="AZ318" s="1083"/>
      <c r="BA318" s="1083"/>
      <c r="BB318" s="1083"/>
      <c r="BC318" s="1083"/>
      <c r="BD318" s="1083"/>
      <c r="BE318" s="1083"/>
      <c r="BF318" s="1083"/>
      <c r="BG318" s="1083"/>
      <c r="BH318" s="1083"/>
      <c r="BI318" s="1083"/>
      <c r="BJ318" s="1083"/>
      <c r="BK318" s="1083"/>
      <c r="BL318" s="1083"/>
      <c r="BM318" s="1083"/>
      <c r="BN318" s="1083"/>
      <c r="BO318" s="1083"/>
    </row>
    <row r="319" spans="1:69" ht="13.5" customHeight="1" x14ac:dyDescent="0.2">
      <c r="A319" s="1110" t="s">
        <v>697</v>
      </c>
      <c r="B319" s="1111"/>
      <c r="C319" s="1111"/>
      <c r="D319" s="1111"/>
      <c r="E319" s="1111"/>
      <c r="F319" s="1111"/>
      <c r="G319" s="1111"/>
      <c r="H319" s="1111"/>
      <c r="I319" s="1111"/>
      <c r="J319" s="1111"/>
      <c r="K319" s="1111"/>
      <c r="L319" s="1111"/>
      <c r="M319" s="1111"/>
      <c r="N319" s="1111"/>
      <c r="O319" s="1111"/>
      <c r="P319" s="1111"/>
      <c r="Q319" s="1111"/>
      <c r="R319" s="1112"/>
      <c r="S319" s="1106">
        <v>19586234</v>
      </c>
      <c r="T319" s="1086"/>
      <c r="U319" s="1086"/>
      <c r="V319" s="1086"/>
      <c r="W319" s="1086"/>
      <c r="X319" s="1086">
        <v>20216429</v>
      </c>
      <c r="Y319" s="1086"/>
      <c r="Z319" s="1086"/>
      <c r="AA319" s="1086"/>
      <c r="AB319" s="1086"/>
      <c r="AC319" s="1086"/>
      <c r="AD319" s="1086">
        <v>19211064</v>
      </c>
      <c r="AE319" s="1086"/>
      <c r="AF319" s="1086"/>
      <c r="AG319" s="1086"/>
      <c r="AH319" s="1086"/>
      <c r="AI319" s="1086"/>
      <c r="AJ319" s="1086">
        <v>14532426</v>
      </c>
      <c r="AK319" s="1086"/>
      <c r="AL319" s="1086"/>
      <c r="AM319" s="1086"/>
      <c r="AN319" s="1086"/>
      <c r="AO319" s="1086"/>
      <c r="AP319" s="1086"/>
      <c r="AQ319" s="1086"/>
      <c r="AR319" s="1086"/>
      <c r="AS319" s="1086"/>
      <c r="AT319" s="1086"/>
      <c r="AU319" s="1086">
        <v>12642532</v>
      </c>
      <c r="AV319" s="1086"/>
      <c r="AW319" s="1086"/>
      <c r="AX319" s="1086"/>
      <c r="AY319" s="1086"/>
      <c r="AZ319" s="1086"/>
      <c r="BA319" s="1086"/>
      <c r="BB319" s="1086"/>
      <c r="BC319" s="1086">
        <v>13027353</v>
      </c>
      <c r="BD319" s="1086"/>
      <c r="BE319" s="1086"/>
      <c r="BF319" s="1086"/>
      <c r="BG319" s="1086">
        <v>10874910</v>
      </c>
      <c r="BH319" s="1086"/>
      <c r="BI319" s="1086"/>
      <c r="BJ319" s="1086"/>
      <c r="BK319" s="1086">
        <v>9209207</v>
      </c>
      <c r="BL319" s="1086"/>
      <c r="BM319" s="1086"/>
      <c r="BN319" s="1086"/>
      <c r="BO319" s="1086"/>
    </row>
    <row r="320" spans="1:69" ht="13.5" customHeight="1" x14ac:dyDescent="0.2">
      <c r="A320" s="1107" t="s">
        <v>698</v>
      </c>
      <c r="B320" s="1087"/>
      <c r="C320" s="1087"/>
      <c r="D320" s="1087"/>
      <c r="E320" s="1087"/>
      <c r="F320" s="1087"/>
      <c r="G320" s="1087"/>
      <c r="H320" s="1087"/>
      <c r="I320" s="1087"/>
      <c r="J320" s="1087"/>
      <c r="K320" s="1087"/>
      <c r="L320" s="1087"/>
      <c r="M320" s="1087"/>
      <c r="N320" s="1087"/>
      <c r="O320" s="1087"/>
      <c r="P320" s="1087"/>
      <c r="Q320" s="1087"/>
      <c r="R320" s="1108"/>
      <c r="S320" s="1106">
        <v>14699595</v>
      </c>
      <c r="T320" s="1086"/>
      <c r="U320" s="1086"/>
      <c r="V320" s="1086"/>
      <c r="W320" s="1086"/>
      <c r="X320" s="1086">
        <v>14953922</v>
      </c>
      <c r="Y320" s="1086"/>
      <c r="Z320" s="1086"/>
      <c r="AA320" s="1086"/>
      <c r="AB320" s="1086"/>
      <c r="AC320" s="1086"/>
      <c r="AD320" s="1086">
        <v>13825249</v>
      </c>
      <c r="AE320" s="1086"/>
      <c r="AF320" s="1086"/>
      <c r="AG320" s="1086"/>
      <c r="AH320" s="1086"/>
      <c r="AI320" s="1086"/>
      <c r="AJ320" s="1086">
        <v>10511247</v>
      </c>
      <c r="AK320" s="1086"/>
      <c r="AL320" s="1086"/>
      <c r="AM320" s="1086"/>
      <c r="AN320" s="1086"/>
      <c r="AO320" s="1086"/>
      <c r="AP320" s="1086"/>
      <c r="AQ320" s="1086"/>
      <c r="AR320" s="1086"/>
      <c r="AS320" s="1086"/>
      <c r="AT320" s="1086"/>
      <c r="AU320" s="1086">
        <v>9060210</v>
      </c>
      <c r="AV320" s="1086"/>
      <c r="AW320" s="1086"/>
      <c r="AX320" s="1086"/>
      <c r="AY320" s="1086"/>
      <c r="AZ320" s="1086"/>
      <c r="BA320" s="1086"/>
      <c r="BB320" s="1086"/>
      <c r="BC320" s="1086">
        <v>9472095</v>
      </c>
      <c r="BD320" s="1086"/>
      <c r="BE320" s="1086"/>
      <c r="BF320" s="1086"/>
      <c r="BG320" s="1086">
        <v>7620373</v>
      </c>
      <c r="BH320" s="1086"/>
      <c r="BI320" s="1086"/>
      <c r="BJ320" s="1086"/>
      <c r="BK320" s="1086">
        <v>6509298</v>
      </c>
      <c r="BL320" s="1086"/>
      <c r="BM320" s="1086"/>
      <c r="BN320" s="1086"/>
      <c r="BO320" s="1086"/>
      <c r="BQ320" s="366"/>
    </row>
    <row r="321" spans="1:71" ht="13.5" customHeight="1" x14ac:dyDescent="0.2">
      <c r="A321" s="1107" t="s">
        <v>699</v>
      </c>
      <c r="B321" s="1087"/>
      <c r="C321" s="1087"/>
      <c r="D321" s="1087"/>
      <c r="E321" s="1087"/>
      <c r="F321" s="1087"/>
      <c r="G321" s="1087"/>
      <c r="H321" s="1087"/>
      <c r="I321" s="1087"/>
      <c r="J321" s="1087"/>
      <c r="K321" s="1087"/>
      <c r="L321" s="1087"/>
      <c r="M321" s="1087"/>
      <c r="N321" s="1087"/>
      <c r="O321" s="1087"/>
      <c r="P321" s="1087"/>
      <c r="Q321" s="1087"/>
      <c r="R321" s="1108"/>
      <c r="S321" s="1106">
        <v>2422226</v>
      </c>
      <c r="T321" s="1086"/>
      <c r="U321" s="1086"/>
      <c r="V321" s="1086"/>
      <c r="W321" s="1086"/>
      <c r="X321" s="1086">
        <v>2512120</v>
      </c>
      <c r="Y321" s="1086"/>
      <c r="Z321" s="1086"/>
      <c r="AA321" s="1086"/>
      <c r="AB321" s="1086"/>
      <c r="AC321" s="1086"/>
      <c r="AD321" s="1086">
        <v>2928006</v>
      </c>
      <c r="AE321" s="1086"/>
      <c r="AF321" s="1086"/>
      <c r="AG321" s="1086"/>
      <c r="AH321" s="1086"/>
      <c r="AI321" s="1086"/>
      <c r="AJ321" s="1086">
        <v>2010409</v>
      </c>
      <c r="AK321" s="1086"/>
      <c r="AL321" s="1086"/>
      <c r="AM321" s="1086"/>
      <c r="AN321" s="1086"/>
      <c r="AO321" s="1086"/>
      <c r="AP321" s="1086"/>
      <c r="AQ321" s="1086"/>
      <c r="AR321" s="1086"/>
      <c r="AS321" s="1086"/>
      <c r="AT321" s="1086"/>
      <c r="AU321" s="1086">
        <v>1917407</v>
      </c>
      <c r="AV321" s="1086"/>
      <c r="AW321" s="1086"/>
      <c r="AX321" s="1086"/>
      <c r="AY321" s="1086"/>
      <c r="AZ321" s="1086"/>
      <c r="BA321" s="1086"/>
      <c r="BB321" s="1086"/>
      <c r="BC321" s="1086">
        <v>1966664</v>
      </c>
      <c r="BD321" s="1086"/>
      <c r="BE321" s="1086"/>
      <c r="BF321" s="1086"/>
      <c r="BG321" s="1086">
        <v>1696231</v>
      </c>
      <c r="BH321" s="1086"/>
      <c r="BI321" s="1086"/>
      <c r="BJ321" s="1086"/>
      <c r="BK321" s="1086">
        <v>1342031</v>
      </c>
      <c r="BL321" s="1086"/>
      <c r="BM321" s="1086"/>
      <c r="BN321" s="1086"/>
      <c r="BO321" s="1086"/>
      <c r="BS321" s="366"/>
    </row>
    <row r="322" spans="1:71" ht="13.5" customHeight="1" x14ac:dyDescent="0.2">
      <c r="A322" s="1107" t="s">
        <v>700</v>
      </c>
      <c r="B322" s="1087"/>
      <c r="C322" s="1087"/>
      <c r="D322" s="1087"/>
      <c r="E322" s="1087"/>
      <c r="F322" s="1087"/>
      <c r="G322" s="1087"/>
      <c r="H322" s="1087"/>
      <c r="I322" s="1087"/>
      <c r="J322" s="1087"/>
      <c r="K322" s="1087"/>
      <c r="L322" s="1087"/>
      <c r="M322" s="1087"/>
      <c r="N322" s="1087"/>
      <c r="O322" s="1087"/>
      <c r="P322" s="1087"/>
      <c r="Q322" s="1087"/>
      <c r="R322" s="1108"/>
      <c r="S322" s="1106">
        <v>117380</v>
      </c>
      <c r="T322" s="1086"/>
      <c r="U322" s="1086"/>
      <c r="V322" s="1086"/>
      <c r="W322" s="1086"/>
      <c r="X322" s="1086">
        <v>75105</v>
      </c>
      <c r="Y322" s="1086"/>
      <c r="Z322" s="1086"/>
      <c r="AA322" s="1086"/>
      <c r="AB322" s="1086"/>
      <c r="AC322" s="1086"/>
      <c r="AD322" s="1086">
        <v>85474</v>
      </c>
      <c r="AE322" s="1086"/>
      <c r="AF322" s="1086"/>
      <c r="AG322" s="1086"/>
      <c r="AH322" s="1086"/>
      <c r="AI322" s="1086"/>
      <c r="AJ322" s="1086">
        <v>78590</v>
      </c>
      <c r="AK322" s="1086"/>
      <c r="AL322" s="1086"/>
      <c r="AM322" s="1086"/>
      <c r="AN322" s="1086"/>
      <c r="AO322" s="1086"/>
      <c r="AP322" s="1086"/>
      <c r="AQ322" s="1086"/>
      <c r="AR322" s="1086"/>
      <c r="AS322" s="1086"/>
      <c r="AT322" s="1086"/>
      <c r="AU322" s="1086">
        <v>73502</v>
      </c>
      <c r="AV322" s="1086"/>
      <c r="AW322" s="1086"/>
      <c r="AX322" s="1086"/>
      <c r="AY322" s="1086"/>
      <c r="AZ322" s="1086"/>
      <c r="BA322" s="1086"/>
      <c r="BB322" s="1086"/>
      <c r="BC322" s="1086">
        <v>66140</v>
      </c>
      <c r="BD322" s="1086"/>
      <c r="BE322" s="1086"/>
      <c r="BF322" s="1086"/>
      <c r="BG322" s="1086">
        <v>53268</v>
      </c>
      <c r="BH322" s="1086"/>
      <c r="BI322" s="1086"/>
      <c r="BJ322" s="1086"/>
      <c r="BK322" s="1086">
        <v>64128</v>
      </c>
      <c r="BL322" s="1086"/>
      <c r="BM322" s="1086"/>
      <c r="BN322" s="1086"/>
      <c r="BO322" s="1086"/>
    </row>
    <row r="323" spans="1:71" ht="13.5" customHeight="1" x14ac:dyDescent="0.2">
      <c r="A323" s="1107" t="s">
        <v>701</v>
      </c>
      <c r="B323" s="1087"/>
      <c r="C323" s="1087"/>
      <c r="D323" s="1087"/>
      <c r="E323" s="1087"/>
      <c r="F323" s="1087"/>
      <c r="G323" s="1087"/>
      <c r="H323" s="1087"/>
      <c r="I323" s="1087"/>
      <c r="J323" s="1087"/>
      <c r="K323" s="1087"/>
      <c r="L323" s="1087"/>
      <c r="M323" s="1087"/>
      <c r="N323" s="1087"/>
      <c r="O323" s="1087"/>
      <c r="P323" s="1087"/>
      <c r="Q323" s="1087"/>
      <c r="R323" s="1108"/>
      <c r="S323" s="1106">
        <v>1498458</v>
      </c>
      <c r="T323" s="1086"/>
      <c r="U323" s="1086"/>
      <c r="V323" s="1086"/>
      <c r="W323" s="1086"/>
      <c r="X323" s="1086">
        <v>1556067</v>
      </c>
      <c r="Y323" s="1086"/>
      <c r="Z323" s="1086"/>
      <c r="AA323" s="1086"/>
      <c r="AB323" s="1086"/>
      <c r="AC323" s="1086"/>
      <c r="AD323" s="1086">
        <v>1602450</v>
      </c>
      <c r="AE323" s="1086"/>
      <c r="AF323" s="1086"/>
      <c r="AG323" s="1086"/>
      <c r="AH323" s="1086"/>
      <c r="AI323" s="1086"/>
      <c r="AJ323" s="1086">
        <v>1479224</v>
      </c>
      <c r="AK323" s="1086"/>
      <c r="AL323" s="1086"/>
      <c r="AM323" s="1086"/>
      <c r="AN323" s="1086"/>
      <c r="AO323" s="1086"/>
      <c r="AP323" s="1086"/>
      <c r="AQ323" s="1086"/>
      <c r="AR323" s="1086"/>
      <c r="AS323" s="1086"/>
      <c r="AT323" s="1086"/>
      <c r="AU323" s="1086">
        <v>1291439</v>
      </c>
      <c r="AV323" s="1086"/>
      <c r="AW323" s="1086"/>
      <c r="AX323" s="1086"/>
      <c r="AY323" s="1086"/>
      <c r="AZ323" s="1086"/>
      <c r="BA323" s="1086"/>
      <c r="BB323" s="1086"/>
      <c r="BC323" s="1086">
        <v>1276116</v>
      </c>
      <c r="BD323" s="1086"/>
      <c r="BE323" s="1086"/>
      <c r="BF323" s="1086"/>
      <c r="BG323" s="1086">
        <v>1096036</v>
      </c>
      <c r="BH323" s="1086"/>
      <c r="BI323" s="1086"/>
      <c r="BJ323" s="1086"/>
      <c r="BK323" s="1086">
        <v>863572</v>
      </c>
      <c r="BL323" s="1086"/>
      <c r="BM323" s="1086"/>
      <c r="BN323" s="1086"/>
      <c r="BO323" s="1086"/>
    </row>
    <row r="324" spans="1:71" ht="13.5" customHeight="1" x14ac:dyDescent="0.2">
      <c r="A324" s="1107" t="s">
        <v>702</v>
      </c>
      <c r="B324" s="1087"/>
      <c r="C324" s="1087"/>
      <c r="D324" s="1087"/>
      <c r="E324" s="1087"/>
      <c r="F324" s="1087"/>
      <c r="G324" s="1087"/>
      <c r="H324" s="1087"/>
      <c r="I324" s="1087"/>
      <c r="J324" s="1087"/>
      <c r="K324" s="1087"/>
      <c r="L324" s="1087"/>
      <c r="M324" s="1087"/>
      <c r="N324" s="1087"/>
      <c r="O324" s="1087"/>
      <c r="P324" s="1087"/>
      <c r="Q324" s="1087"/>
      <c r="R324" s="1108"/>
      <c r="S324" s="1106">
        <v>1114481</v>
      </c>
      <c r="T324" s="1086"/>
      <c r="U324" s="1086"/>
      <c r="V324" s="1086"/>
      <c r="W324" s="1086"/>
      <c r="X324" s="1086">
        <v>1153603</v>
      </c>
      <c r="Y324" s="1086"/>
      <c r="Z324" s="1086"/>
      <c r="AA324" s="1086"/>
      <c r="AB324" s="1086"/>
      <c r="AC324" s="1086"/>
      <c r="AD324" s="1086">
        <v>1171537</v>
      </c>
      <c r="AE324" s="1086"/>
      <c r="AF324" s="1086"/>
      <c r="AG324" s="1086"/>
      <c r="AH324" s="1086"/>
      <c r="AI324" s="1086"/>
      <c r="AJ324" s="1086">
        <v>1109703</v>
      </c>
      <c r="AK324" s="1086"/>
      <c r="AL324" s="1086"/>
      <c r="AM324" s="1086"/>
      <c r="AN324" s="1086"/>
      <c r="AO324" s="1086"/>
      <c r="AP324" s="1086"/>
      <c r="AQ324" s="1086"/>
      <c r="AR324" s="1086"/>
      <c r="AS324" s="1086"/>
      <c r="AT324" s="1086"/>
      <c r="AU324" s="1086">
        <v>995556</v>
      </c>
      <c r="AV324" s="1086"/>
      <c r="AW324" s="1086"/>
      <c r="AX324" s="1086"/>
      <c r="AY324" s="1086"/>
      <c r="AZ324" s="1086"/>
      <c r="BA324" s="1086"/>
      <c r="BB324" s="1086"/>
      <c r="BC324" s="1086">
        <v>970126</v>
      </c>
      <c r="BD324" s="1086"/>
      <c r="BE324" s="1086"/>
      <c r="BF324" s="1086"/>
      <c r="BG324" s="1086">
        <v>843534</v>
      </c>
      <c r="BH324" s="1086"/>
      <c r="BI324" s="1086"/>
      <c r="BJ324" s="1086"/>
      <c r="BK324" s="1086">
        <v>639901</v>
      </c>
      <c r="BL324" s="1086"/>
      <c r="BM324" s="1086"/>
      <c r="BN324" s="1086"/>
      <c r="BO324" s="1086"/>
    </row>
    <row r="325" spans="1:71" ht="13.5" customHeight="1" x14ac:dyDescent="0.2">
      <c r="A325" s="1107" t="s">
        <v>703</v>
      </c>
      <c r="B325" s="1087"/>
      <c r="C325" s="1087"/>
      <c r="D325" s="1087"/>
      <c r="E325" s="1087"/>
      <c r="F325" s="1087"/>
      <c r="G325" s="1087"/>
      <c r="H325" s="1087"/>
      <c r="I325" s="1087"/>
      <c r="J325" s="1087"/>
      <c r="K325" s="1087"/>
      <c r="L325" s="1087"/>
      <c r="M325" s="1087"/>
      <c r="N325" s="1087"/>
      <c r="O325" s="1087"/>
      <c r="P325" s="1087"/>
      <c r="Q325" s="1087"/>
      <c r="R325" s="1108"/>
      <c r="S325" s="1106">
        <v>304319</v>
      </c>
      <c r="T325" s="1086"/>
      <c r="U325" s="1086"/>
      <c r="V325" s="1086"/>
      <c r="W325" s="1086"/>
      <c r="X325" s="1086">
        <v>320564</v>
      </c>
      <c r="Y325" s="1086"/>
      <c r="Z325" s="1086"/>
      <c r="AA325" s="1086"/>
      <c r="AB325" s="1086"/>
      <c r="AC325" s="1086"/>
      <c r="AD325" s="1086">
        <v>339324</v>
      </c>
      <c r="AE325" s="1086"/>
      <c r="AF325" s="1086"/>
      <c r="AG325" s="1086"/>
      <c r="AH325" s="1086"/>
      <c r="AI325" s="1086"/>
      <c r="AJ325" s="1086">
        <v>306352</v>
      </c>
      <c r="AK325" s="1086"/>
      <c r="AL325" s="1086"/>
      <c r="AM325" s="1086"/>
      <c r="AN325" s="1086"/>
      <c r="AO325" s="1086"/>
      <c r="AP325" s="1086"/>
      <c r="AQ325" s="1086"/>
      <c r="AR325" s="1086"/>
      <c r="AS325" s="1086"/>
      <c r="AT325" s="1086"/>
      <c r="AU325" s="1086">
        <v>246288</v>
      </c>
      <c r="AV325" s="1086"/>
      <c r="AW325" s="1086"/>
      <c r="AX325" s="1086"/>
      <c r="AY325" s="1086"/>
      <c r="AZ325" s="1086"/>
      <c r="BA325" s="1086"/>
      <c r="BB325" s="1086"/>
      <c r="BC325" s="1086">
        <v>257238</v>
      </c>
      <c r="BD325" s="1086"/>
      <c r="BE325" s="1086"/>
      <c r="BF325" s="1086"/>
      <c r="BG325" s="1086">
        <v>208162</v>
      </c>
      <c r="BH325" s="1086"/>
      <c r="BI325" s="1086"/>
      <c r="BJ325" s="1086"/>
      <c r="BK325" s="1086">
        <v>183386</v>
      </c>
      <c r="BL325" s="1086"/>
      <c r="BM325" s="1086"/>
      <c r="BN325" s="1086"/>
      <c r="BO325" s="1086"/>
    </row>
    <row r="326" spans="1:71" ht="13.5" customHeight="1" x14ac:dyDescent="0.2">
      <c r="A326" s="1107" t="s">
        <v>704</v>
      </c>
      <c r="B326" s="1087"/>
      <c r="C326" s="1087"/>
      <c r="D326" s="1087"/>
      <c r="E326" s="1087"/>
      <c r="F326" s="1087"/>
      <c r="G326" s="1087"/>
      <c r="H326" s="1087"/>
      <c r="I326" s="1087"/>
      <c r="J326" s="1087"/>
      <c r="K326" s="1087"/>
      <c r="L326" s="1087"/>
      <c r="M326" s="1087"/>
      <c r="N326" s="1087"/>
      <c r="O326" s="1087"/>
      <c r="P326" s="1087"/>
      <c r="Q326" s="1087"/>
      <c r="R326" s="1108"/>
      <c r="S326" s="1106">
        <v>34063</v>
      </c>
      <c r="T326" s="1086"/>
      <c r="U326" s="1086"/>
      <c r="V326" s="1086"/>
      <c r="W326" s="1086"/>
      <c r="X326" s="1086">
        <v>69740</v>
      </c>
      <c r="Y326" s="1086"/>
      <c r="Z326" s="1086"/>
      <c r="AA326" s="1086"/>
      <c r="AB326" s="1086"/>
      <c r="AC326" s="1086"/>
      <c r="AD326" s="1086">
        <v>82699</v>
      </c>
      <c r="AE326" s="1086"/>
      <c r="AF326" s="1086"/>
      <c r="AG326" s="1086"/>
      <c r="AH326" s="1086"/>
      <c r="AI326" s="1086"/>
      <c r="AJ326" s="1086">
        <v>58425</v>
      </c>
      <c r="AK326" s="1086"/>
      <c r="AL326" s="1086"/>
      <c r="AM326" s="1086"/>
      <c r="AN326" s="1086"/>
      <c r="AO326" s="1086"/>
      <c r="AP326" s="1086"/>
      <c r="AQ326" s="1086"/>
      <c r="AR326" s="1086"/>
      <c r="AS326" s="1086"/>
      <c r="AT326" s="1086"/>
      <c r="AU326" s="1086">
        <v>46870</v>
      </c>
      <c r="AV326" s="1086"/>
      <c r="AW326" s="1086"/>
      <c r="AX326" s="1086"/>
      <c r="AY326" s="1086"/>
      <c r="AZ326" s="1086"/>
      <c r="BA326" s="1086"/>
      <c r="BB326" s="1086"/>
      <c r="BC326" s="1086">
        <v>46263</v>
      </c>
      <c r="BD326" s="1086"/>
      <c r="BE326" s="1086"/>
      <c r="BF326" s="1086"/>
      <c r="BG326" s="1086">
        <v>42176</v>
      </c>
      <c r="BH326" s="1086"/>
      <c r="BI326" s="1086"/>
      <c r="BJ326" s="1086"/>
      <c r="BK326" s="1086">
        <v>40285</v>
      </c>
      <c r="BL326" s="1086"/>
      <c r="BM326" s="1086"/>
      <c r="BN326" s="1086"/>
      <c r="BO326" s="1086"/>
    </row>
    <row r="327" spans="1:71" ht="13.5" customHeight="1" x14ac:dyDescent="0.2">
      <c r="A327" s="1107" t="s">
        <v>705</v>
      </c>
      <c r="B327" s="1087"/>
      <c r="C327" s="1087"/>
      <c r="D327" s="1087"/>
      <c r="E327" s="1087"/>
      <c r="F327" s="1087"/>
      <c r="G327" s="1087"/>
      <c r="H327" s="1087"/>
      <c r="I327" s="1087"/>
      <c r="J327" s="1087"/>
      <c r="K327" s="1087"/>
      <c r="L327" s="1087"/>
      <c r="M327" s="1087"/>
      <c r="N327" s="1087"/>
      <c r="O327" s="1087"/>
      <c r="P327" s="1087"/>
      <c r="Q327" s="1087"/>
      <c r="R327" s="1108"/>
      <c r="S327" s="1106">
        <v>39635</v>
      </c>
      <c r="T327" s="1086"/>
      <c r="U327" s="1086"/>
      <c r="V327" s="1086"/>
      <c r="W327" s="1086"/>
      <c r="X327" s="1086">
        <v>5780</v>
      </c>
      <c r="Y327" s="1086"/>
      <c r="Z327" s="1086"/>
      <c r="AA327" s="1086"/>
      <c r="AB327" s="1086"/>
      <c r="AC327" s="1086"/>
      <c r="AD327" s="1086">
        <v>2900</v>
      </c>
      <c r="AE327" s="1086"/>
      <c r="AF327" s="1086"/>
      <c r="AG327" s="1086"/>
      <c r="AH327" s="1086"/>
      <c r="AI327" s="1086"/>
      <c r="AJ327" s="1086">
        <v>1409</v>
      </c>
      <c r="AK327" s="1086"/>
      <c r="AL327" s="1086"/>
      <c r="AM327" s="1086"/>
      <c r="AN327" s="1086"/>
      <c r="AO327" s="1086"/>
      <c r="AP327" s="1086"/>
      <c r="AQ327" s="1086"/>
      <c r="AR327" s="1086"/>
      <c r="AS327" s="1086"/>
      <c r="AT327" s="1086"/>
      <c r="AU327" s="1086">
        <v>1108</v>
      </c>
      <c r="AV327" s="1086"/>
      <c r="AW327" s="1086"/>
      <c r="AX327" s="1086"/>
      <c r="AY327" s="1086"/>
      <c r="AZ327" s="1086"/>
      <c r="BA327" s="1086"/>
      <c r="BB327" s="1086"/>
      <c r="BC327" s="1086">
        <v>889</v>
      </c>
      <c r="BD327" s="1086"/>
      <c r="BE327" s="1086"/>
      <c r="BF327" s="1086"/>
      <c r="BG327" s="1086">
        <v>729</v>
      </c>
      <c r="BH327" s="1086"/>
      <c r="BI327" s="1086"/>
      <c r="BJ327" s="1086"/>
      <c r="BK327" s="1086">
        <v>0</v>
      </c>
      <c r="BL327" s="1086"/>
      <c r="BM327" s="1086"/>
      <c r="BN327" s="1086"/>
      <c r="BO327" s="1086"/>
    </row>
    <row r="328" spans="1:71" ht="13.5" customHeight="1" x14ac:dyDescent="0.2">
      <c r="A328" s="1107" t="s">
        <v>706</v>
      </c>
      <c r="B328" s="1087"/>
      <c r="C328" s="1087"/>
      <c r="D328" s="1087"/>
      <c r="E328" s="1087"/>
      <c r="F328" s="1087"/>
      <c r="G328" s="1087"/>
      <c r="H328" s="1087"/>
      <c r="I328" s="1087"/>
      <c r="J328" s="1087"/>
      <c r="K328" s="1087"/>
      <c r="L328" s="1087"/>
      <c r="M328" s="1087"/>
      <c r="N328" s="1087"/>
      <c r="O328" s="1087"/>
      <c r="P328" s="1087"/>
      <c r="Q328" s="1087"/>
      <c r="R328" s="1108"/>
      <c r="S328" s="1106">
        <v>5960</v>
      </c>
      <c r="T328" s="1086"/>
      <c r="U328" s="1086"/>
      <c r="V328" s="1086"/>
      <c r="W328" s="1086"/>
      <c r="X328" s="1086">
        <v>6380</v>
      </c>
      <c r="Y328" s="1086"/>
      <c r="Z328" s="1086"/>
      <c r="AA328" s="1086"/>
      <c r="AB328" s="1086"/>
      <c r="AC328" s="1086"/>
      <c r="AD328" s="1086">
        <v>5990</v>
      </c>
      <c r="AE328" s="1086"/>
      <c r="AF328" s="1086"/>
      <c r="AG328" s="1086"/>
      <c r="AH328" s="1086"/>
      <c r="AI328" s="1086"/>
      <c r="AJ328" s="1086">
        <v>3335</v>
      </c>
      <c r="AK328" s="1086"/>
      <c r="AL328" s="1086"/>
      <c r="AM328" s="1086"/>
      <c r="AN328" s="1086"/>
      <c r="AO328" s="1086"/>
      <c r="AP328" s="1086"/>
      <c r="AQ328" s="1086"/>
      <c r="AR328" s="1086"/>
      <c r="AS328" s="1086"/>
      <c r="AT328" s="1086"/>
      <c r="AU328" s="1086">
        <v>1617</v>
      </c>
      <c r="AV328" s="1086"/>
      <c r="AW328" s="1086"/>
      <c r="AX328" s="1086"/>
      <c r="AY328" s="1086"/>
      <c r="AZ328" s="1086"/>
      <c r="BA328" s="1086"/>
      <c r="BB328" s="1086"/>
      <c r="BC328" s="1086">
        <v>1600</v>
      </c>
      <c r="BD328" s="1086"/>
      <c r="BE328" s="1086"/>
      <c r="BF328" s="1086"/>
      <c r="BG328" s="1086">
        <v>1435</v>
      </c>
      <c r="BH328" s="1086"/>
      <c r="BI328" s="1086"/>
      <c r="BJ328" s="1086"/>
      <c r="BK328" s="1086">
        <v>0</v>
      </c>
      <c r="BL328" s="1086"/>
      <c r="BM328" s="1086"/>
      <c r="BN328" s="1086"/>
      <c r="BO328" s="1086"/>
    </row>
    <row r="329" spans="1:71" ht="13.5" customHeight="1" x14ac:dyDescent="0.2">
      <c r="A329" s="1107" t="s">
        <v>707</v>
      </c>
      <c r="B329" s="1087"/>
      <c r="C329" s="1087"/>
      <c r="D329" s="1087"/>
      <c r="E329" s="1087"/>
      <c r="F329" s="1087"/>
      <c r="G329" s="1087"/>
      <c r="H329" s="1087"/>
      <c r="I329" s="1087"/>
      <c r="J329" s="1087"/>
      <c r="K329" s="1087"/>
      <c r="L329" s="1087"/>
      <c r="M329" s="1087"/>
      <c r="N329" s="1087"/>
      <c r="O329" s="1087"/>
      <c r="P329" s="1087"/>
      <c r="Q329" s="1087"/>
      <c r="R329" s="1108"/>
      <c r="S329" s="1106">
        <v>79658</v>
      </c>
      <c r="T329" s="1086"/>
      <c r="U329" s="1086"/>
      <c r="V329" s="1086"/>
      <c r="W329" s="1086"/>
      <c r="X329" s="1086">
        <v>81900</v>
      </c>
      <c r="Y329" s="1086"/>
      <c r="Z329" s="1086"/>
      <c r="AA329" s="1086"/>
      <c r="AB329" s="1086"/>
      <c r="AC329" s="1086"/>
      <c r="AD329" s="1086">
        <v>91589</v>
      </c>
      <c r="AE329" s="1086"/>
      <c r="AF329" s="1086"/>
      <c r="AG329" s="1086"/>
      <c r="AH329" s="1086"/>
      <c r="AI329" s="1086"/>
      <c r="AJ329" s="1086">
        <v>63169</v>
      </c>
      <c r="AK329" s="1086"/>
      <c r="AL329" s="1086"/>
      <c r="AM329" s="1086"/>
      <c r="AN329" s="1086"/>
      <c r="AO329" s="1086"/>
      <c r="AP329" s="1086"/>
      <c r="AQ329" s="1086"/>
      <c r="AR329" s="1086"/>
      <c r="AS329" s="1086"/>
      <c r="AT329" s="1086"/>
      <c r="AU329" s="1086">
        <v>49595</v>
      </c>
      <c r="AV329" s="1086"/>
      <c r="AW329" s="1086"/>
      <c r="AX329" s="1086"/>
      <c r="AY329" s="1086"/>
      <c r="AZ329" s="1086"/>
      <c r="BA329" s="1086"/>
      <c r="BB329" s="1086"/>
      <c r="BC329" s="1086">
        <v>48752</v>
      </c>
      <c r="BD329" s="1086"/>
      <c r="BE329" s="1086"/>
      <c r="BF329" s="1086"/>
      <c r="BG329" s="1086">
        <v>44340</v>
      </c>
      <c r="BH329" s="1086"/>
      <c r="BI329" s="1086"/>
      <c r="BJ329" s="1086"/>
      <c r="BK329" s="1086">
        <v>40285</v>
      </c>
      <c r="BL329" s="1086"/>
      <c r="BM329" s="1086"/>
      <c r="BN329" s="1086"/>
      <c r="BO329" s="1086"/>
    </row>
    <row r="330" spans="1:71" ht="13.5" customHeight="1" x14ac:dyDescent="0.2">
      <c r="A330" s="1107" t="s">
        <v>708</v>
      </c>
      <c r="B330" s="1087"/>
      <c r="C330" s="1087"/>
      <c r="D330" s="1087"/>
      <c r="E330" s="1087"/>
      <c r="F330" s="1087"/>
      <c r="G330" s="1087"/>
      <c r="H330" s="1087"/>
      <c r="I330" s="1087"/>
      <c r="J330" s="1087"/>
      <c r="K330" s="1087"/>
      <c r="L330" s="1087"/>
      <c r="M330" s="1087"/>
      <c r="N330" s="1087"/>
      <c r="O330" s="1087"/>
      <c r="P330" s="1087"/>
      <c r="Q330" s="1087"/>
      <c r="R330" s="1108"/>
      <c r="S330" s="1106">
        <v>938458</v>
      </c>
      <c r="T330" s="1086"/>
      <c r="U330" s="1086"/>
      <c r="V330" s="1086"/>
      <c r="W330" s="1086"/>
      <c r="X330" s="1086">
        <v>919596</v>
      </c>
      <c r="Y330" s="1086"/>
      <c r="Z330" s="1086"/>
      <c r="AA330" s="1086"/>
      <c r="AB330" s="1086"/>
      <c r="AC330" s="1086"/>
      <c r="AD330" s="1086">
        <v>871102</v>
      </c>
      <c r="AE330" s="1086"/>
      <c r="AF330" s="1086"/>
      <c r="AG330" s="1086"/>
      <c r="AH330" s="1086"/>
      <c r="AI330" s="1086"/>
      <c r="AJ330" s="1086">
        <v>486381</v>
      </c>
      <c r="AK330" s="1086"/>
      <c r="AL330" s="1086"/>
      <c r="AM330" s="1086"/>
      <c r="AN330" s="1086"/>
      <c r="AO330" s="1086"/>
      <c r="AP330" s="1086"/>
      <c r="AQ330" s="1086"/>
      <c r="AR330" s="1086"/>
      <c r="AS330" s="1086"/>
      <c r="AT330" s="1086"/>
      <c r="AU330" s="1086">
        <v>185223</v>
      </c>
      <c r="AV330" s="1086"/>
      <c r="AW330" s="1086"/>
      <c r="AX330" s="1086"/>
      <c r="AY330" s="1086"/>
      <c r="AZ330" s="1086"/>
      <c r="BA330" s="1086"/>
      <c r="BB330" s="1086"/>
      <c r="BC330" s="1086">
        <v>193878</v>
      </c>
      <c r="BD330" s="1086"/>
      <c r="BE330" s="1086"/>
      <c r="BF330" s="1086"/>
      <c r="BG330" s="1086">
        <v>196923</v>
      </c>
      <c r="BH330" s="1086"/>
      <c r="BI330" s="1086"/>
      <c r="BJ330" s="1086"/>
      <c r="BK330" s="1086">
        <v>182462</v>
      </c>
      <c r="BL330" s="1086"/>
      <c r="BM330" s="1086"/>
      <c r="BN330" s="1086"/>
      <c r="BO330" s="1086"/>
    </row>
    <row r="331" spans="1:71" ht="13.5" customHeight="1" x14ac:dyDescent="0.2">
      <c r="A331" s="1107" t="s">
        <v>709</v>
      </c>
      <c r="B331" s="1087"/>
      <c r="C331" s="1087"/>
      <c r="D331" s="1087"/>
      <c r="E331" s="1087"/>
      <c r="F331" s="1087"/>
      <c r="G331" s="1087"/>
      <c r="H331" s="1087"/>
      <c r="I331" s="1087"/>
      <c r="J331" s="1087"/>
      <c r="K331" s="1087"/>
      <c r="L331" s="1087"/>
      <c r="M331" s="1087"/>
      <c r="N331" s="1087"/>
      <c r="O331" s="1087"/>
      <c r="P331" s="1087"/>
      <c r="Q331" s="1087"/>
      <c r="R331" s="1108"/>
      <c r="S331" s="1106">
        <v>37282</v>
      </c>
      <c r="T331" s="1086"/>
      <c r="U331" s="1086"/>
      <c r="V331" s="1086"/>
      <c r="W331" s="1086"/>
      <c r="X331" s="1086">
        <v>33337</v>
      </c>
      <c r="Y331" s="1086"/>
      <c r="Z331" s="1086"/>
      <c r="AA331" s="1086"/>
      <c r="AB331" s="1086"/>
      <c r="AC331" s="1086"/>
      <c r="AD331" s="1086">
        <v>33064</v>
      </c>
      <c r="AE331" s="1086"/>
      <c r="AF331" s="1086"/>
      <c r="AG331" s="1086"/>
      <c r="AH331" s="1086"/>
      <c r="AI331" s="1086"/>
      <c r="AJ331" s="1086">
        <v>992</v>
      </c>
      <c r="AK331" s="1086"/>
      <c r="AL331" s="1086"/>
      <c r="AM331" s="1086"/>
      <c r="AN331" s="1086"/>
      <c r="AO331" s="1086"/>
      <c r="AP331" s="1086"/>
      <c r="AQ331" s="1086"/>
      <c r="AR331" s="1086"/>
      <c r="AS331" s="1086"/>
      <c r="AT331" s="1086"/>
      <c r="AU331" s="1086">
        <v>0</v>
      </c>
      <c r="AV331" s="1086"/>
      <c r="AW331" s="1086"/>
      <c r="AX331" s="1086"/>
      <c r="AY331" s="1086"/>
      <c r="AZ331" s="1086"/>
      <c r="BA331" s="1086"/>
      <c r="BB331" s="1086"/>
      <c r="BC331" s="1086">
        <v>0</v>
      </c>
      <c r="BD331" s="1086"/>
      <c r="BE331" s="1086"/>
      <c r="BF331" s="1086"/>
      <c r="BG331" s="1086">
        <v>1976</v>
      </c>
      <c r="BH331" s="1086"/>
      <c r="BI331" s="1086"/>
      <c r="BJ331" s="1086"/>
      <c r="BK331" s="1086">
        <v>1976</v>
      </c>
      <c r="BL331" s="1086"/>
      <c r="BM331" s="1086"/>
      <c r="BN331" s="1086"/>
      <c r="BO331" s="1086"/>
    </row>
    <row r="332" spans="1:71" ht="13.5" customHeight="1" x14ac:dyDescent="0.2">
      <c r="A332" s="1107" t="s">
        <v>710</v>
      </c>
      <c r="B332" s="1087"/>
      <c r="C332" s="1087"/>
      <c r="D332" s="1087"/>
      <c r="E332" s="1087"/>
      <c r="F332" s="1087"/>
      <c r="G332" s="1087"/>
      <c r="H332" s="1087"/>
      <c r="I332" s="1087"/>
      <c r="J332" s="1087"/>
      <c r="K332" s="1087"/>
      <c r="L332" s="1087"/>
      <c r="M332" s="1087"/>
      <c r="N332" s="1087"/>
      <c r="O332" s="1087"/>
      <c r="P332" s="1087"/>
      <c r="Q332" s="1087"/>
      <c r="R332" s="1108"/>
      <c r="S332" s="1106">
        <v>879520</v>
      </c>
      <c r="T332" s="1086"/>
      <c r="U332" s="1086"/>
      <c r="V332" s="1086"/>
      <c r="W332" s="1086"/>
      <c r="X332" s="1086">
        <v>866491</v>
      </c>
      <c r="Y332" s="1086"/>
      <c r="Z332" s="1086"/>
      <c r="AA332" s="1086"/>
      <c r="AB332" s="1086"/>
      <c r="AC332" s="1086"/>
      <c r="AD332" s="1086">
        <v>822987</v>
      </c>
      <c r="AE332" s="1086"/>
      <c r="AF332" s="1086"/>
      <c r="AG332" s="1086"/>
      <c r="AH332" s="1086"/>
      <c r="AI332" s="1086"/>
      <c r="AJ332" s="1086">
        <v>469298</v>
      </c>
      <c r="AK332" s="1086"/>
      <c r="AL332" s="1086"/>
      <c r="AM332" s="1086"/>
      <c r="AN332" s="1086"/>
      <c r="AO332" s="1086"/>
      <c r="AP332" s="1086"/>
      <c r="AQ332" s="1086"/>
      <c r="AR332" s="1086"/>
      <c r="AS332" s="1086"/>
      <c r="AT332" s="1086"/>
      <c r="AU332" s="1086">
        <v>171279</v>
      </c>
      <c r="AV332" s="1086"/>
      <c r="AW332" s="1086"/>
      <c r="AX332" s="1086"/>
      <c r="AY332" s="1086"/>
      <c r="AZ332" s="1086"/>
      <c r="BA332" s="1086"/>
      <c r="BB332" s="1086"/>
      <c r="BC332" s="1086">
        <v>180598</v>
      </c>
      <c r="BD332" s="1086"/>
      <c r="BE332" s="1086"/>
      <c r="BF332" s="1086"/>
      <c r="BG332" s="1086">
        <v>182986</v>
      </c>
      <c r="BH332" s="1086"/>
      <c r="BI332" s="1086"/>
      <c r="BJ332" s="1086"/>
      <c r="BK332" s="1086">
        <v>172299</v>
      </c>
      <c r="BL332" s="1086"/>
      <c r="BM332" s="1086"/>
      <c r="BN332" s="1086"/>
      <c r="BO332" s="1086"/>
    </row>
    <row r="333" spans="1:71" ht="13.5" customHeight="1" x14ac:dyDescent="0.2">
      <c r="A333" s="1107" t="s">
        <v>711</v>
      </c>
      <c r="B333" s="1087"/>
      <c r="C333" s="1087"/>
      <c r="D333" s="1087"/>
      <c r="E333" s="1087"/>
      <c r="F333" s="1087"/>
      <c r="G333" s="1087"/>
      <c r="H333" s="1087"/>
      <c r="I333" s="1087"/>
      <c r="J333" s="1087"/>
      <c r="K333" s="1087"/>
      <c r="L333" s="1087"/>
      <c r="M333" s="1087"/>
      <c r="N333" s="1087"/>
      <c r="O333" s="1087"/>
      <c r="P333" s="1087"/>
      <c r="Q333" s="1087"/>
      <c r="R333" s="1108"/>
      <c r="S333" s="1106">
        <v>0</v>
      </c>
      <c r="T333" s="1086"/>
      <c r="U333" s="1086"/>
      <c r="V333" s="1086"/>
      <c r="W333" s="1086"/>
      <c r="X333" s="1086">
        <v>0</v>
      </c>
      <c r="Y333" s="1086"/>
      <c r="Z333" s="1086"/>
      <c r="AA333" s="1086"/>
      <c r="AB333" s="1086"/>
      <c r="AC333" s="1086"/>
      <c r="AD333" s="1086">
        <v>0</v>
      </c>
      <c r="AE333" s="1086"/>
      <c r="AF333" s="1086"/>
      <c r="AG333" s="1086"/>
      <c r="AH333" s="1086"/>
      <c r="AI333" s="1086"/>
      <c r="AJ333" s="1086">
        <v>0</v>
      </c>
      <c r="AK333" s="1086"/>
      <c r="AL333" s="1086"/>
      <c r="AM333" s="1086"/>
      <c r="AN333" s="1086"/>
      <c r="AO333" s="1086"/>
      <c r="AP333" s="1086"/>
      <c r="AQ333" s="1086"/>
      <c r="AR333" s="1086"/>
      <c r="AS333" s="1086"/>
      <c r="AT333" s="1086"/>
      <c r="AU333" s="1086">
        <v>0</v>
      </c>
      <c r="AV333" s="1086"/>
      <c r="AW333" s="1086"/>
      <c r="AX333" s="1086"/>
      <c r="AY333" s="1086"/>
      <c r="AZ333" s="1086"/>
      <c r="BA333" s="1086"/>
      <c r="BB333" s="1086"/>
      <c r="BC333" s="1086">
        <v>0</v>
      </c>
      <c r="BD333" s="1086"/>
      <c r="BE333" s="1086"/>
      <c r="BF333" s="1086"/>
      <c r="BG333" s="1086">
        <v>0</v>
      </c>
      <c r="BH333" s="1086"/>
      <c r="BI333" s="1086"/>
      <c r="BJ333" s="1086"/>
      <c r="BK333" s="1086">
        <v>0</v>
      </c>
      <c r="BL333" s="1086"/>
      <c r="BM333" s="1086"/>
      <c r="BN333" s="1086"/>
      <c r="BO333" s="1086"/>
      <c r="BP333" s="366"/>
      <c r="BQ333" s="366"/>
    </row>
    <row r="334" spans="1:71" ht="13.5" customHeight="1" x14ac:dyDescent="0.2">
      <c r="A334" s="1107" t="s">
        <v>712</v>
      </c>
      <c r="B334" s="1087"/>
      <c r="C334" s="1087"/>
      <c r="D334" s="1087"/>
      <c r="E334" s="1087"/>
      <c r="F334" s="1087"/>
      <c r="G334" s="1087"/>
      <c r="H334" s="1087"/>
      <c r="I334" s="1087"/>
      <c r="J334" s="1087"/>
      <c r="K334" s="1087"/>
      <c r="L334" s="1087"/>
      <c r="M334" s="1087"/>
      <c r="N334" s="1087"/>
      <c r="O334" s="1087"/>
      <c r="P334" s="1087"/>
      <c r="Q334" s="1087"/>
      <c r="R334" s="1108"/>
      <c r="S334" s="1106">
        <v>916802</v>
      </c>
      <c r="T334" s="1086"/>
      <c r="U334" s="1086"/>
      <c r="V334" s="1086"/>
      <c r="W334" s="1086"/>
      <c r="X334" s="1086">
        <v>899828</v>
      </c>
      <c r="Y334" s="1086"/>
      <c r="Z334" s="1086"/>
      <c r="AA334" s="1086"/>
      <c r="AB334" s="1086"/>
      <c r="AC334" s="1086"/>
      <c r="AD334" s="1086">
        <v>856051</v>
      </c>
      <c r="AE334" s="1086"/>
      <c r="AF334" s="1086"/>
      <c r="AG334" s="1086"/>
      <c r="AH334" s="1086"/>
      <c r="AI334" s="1086"/>
      <c r="AJ334" s="1086">
        <v>470290</v>
      </c>
      <c r="AK334" s="1086"/>
      <c r="AL334" s="1086"/>
      <c r="AM334" s="1086"/>
      <c r="AN334" s="1086"/>
      <c r="AO334" s="1086"/>
      <c r="AP334" s="1086"/>
      <c r="AQ334" s="1086"/>
      <c r="AR334" s="1086"/>
      <c r="AS334" s="1086"/>
      <c r="AT334" s="1086"/>
      <c r="AU334" s="1086">
        <v>171279</v>
      </c>
      <c r="AV334" s="1086"/>
      <c r="AW334" s="1086"/>
      <c r="AX334" s="1086"/>
      <c r="AY334" s="1086"/>
      <c r="AZ334" s="1086"/>
      <c r="BA334" s="1086"/>
      <c r="BB334" s="1086"/>
      <c r="BC334" s="1086">
        <v>180598</v>
      </c>
      <c r="BD334" s="1086"/>
      <c r="BE334" s="1086"/>
      <c r="BF334" s="1086"/>
      <c r="BG334" s="1086">
        <v>184962</v>
      </c>
      <c r="BH334" s="1086"/>
      <c r="BI334" s="1086"/>
      <c r="BJ334" s="1086"/>
      <c r="BK334" s="1086">
        <v>174275</v>
      </c>
      <c r="BL334" s="1086"/>
      <c r="BM334" s="1086"/>
      <c r="BN334" s="1086"/>
      <c r="BO334" s="1086"/>
    </row>
    <row r="335" spans="1:71" ht="13.5" customHeight="1" x14ac:dyDescent="0.2">
      <c r="A335" s="1107" t="s">
        <v>713</v>
      </c>
      <c r="B335" s="1087"/>
      <c r="C335" s="1087"/>
      <c r="D335" s="1087"/>
      <c r="E335" s="1087"/>
      <c r="F335" s="1087"/>
      <c r="G335" s="1087"/>
      <c r="H335" s="1087"/>
      <c r="I335" s="1087"/>
      <c r="J335" s="1087"/>
      <c r="K335" s="1087"/>
      <c r="L335" s="1087"/>
      <c r="M335" s="1087"/>
      <c r="N335" s="1087"/>
      <c r="O335" s="1087"/>
      <c r="P335" s="1087"/>
      <c r="Q335" s="1087"/>
      <c r="R335" s="1108"/>
      <c r="S335" s="1106">
        <v>21656</v>
      </c>
      <c r="T335" s="1086"/>
      <c r="U335" s="1086"/>
      <c r="V335" s="1086"/>
      <c r="W335" s="1086"/>
      <c r="X335" s="1086">
        <v>19768</v>
      </c>
      <c r="Y335" s="1086"/>
      <c r="Z335" s="1086"/>
      <c r="AA335" s="1086"/>
      <c r="AB335" s="1086"/>
      <c r="AC335" s="1086"/>
      <c r="AD335" s="1086">
        <v>15051</v>
      </c>
      <c r="AE335" s="1086"/>
      <c r="AF335" s="1086"/>
      <c r="AG335" s="1086"/>
      <c r="AH335" s="1086"/>
      <c r="AI335" s="1086"/>
      <c r="AJ335" s="1086">
        <v>16091</v>
      </c>
      <c r="AK335" s="1086"/>
      <c r="AL335" s="1086"/>
      <c r="AM335" s="1086"/>
      <c r="AN335" s="1086"/>
      <c r="AO335" s="1086"/>
      <c r="AP335" s="1086"/>
      <c r="AQ335" s="1086"/>
      <c r="AR335" s="1086"/>
      <c r="AS335" s="1086"/>
      <c r="AT335" s="1086"/>
      <c r="AU335" s="1086">
        <v>13944</v>
      </c>
      <c r="AV335" s="1086"/>
      <c r="AW335" s="1086"/>
      <c r="AX335" s="1086"/>
      <c r="AY335" s="1086"/>
      <c r="AZ335" s="1086"/>
      <c r="BA335" s="1086"/>
      <c r="BB335" s="1086"/>
      <c r="BC335" s="1086">
        <v>13280</v>
      </c>
      <c r="BD335" s="1086"/>
      <c r="BE335" s="1086"/>
      <c r="BF335" s="1086"/>
      <c r="BG335" s="1086">
        <v>11961</v>
      </c>
      <c r="BH335" s="1086"/>
      <c r="BI335" s="1086"/>
      <c r="BJ335" s="1086"/>
      <c r="BK335" s="1086">
        <v>8187</v>
      </c>
      <c r="BL335" s="1086"/>
      <c r="BM335" s="1086"/>
      <c r="BN335" s="1086"/>
      <c r="BO335" s="1086"/>
    </row>
    <row r="336" spans="1:71" ht="13.5" customHeight="1" x14ac:dyDescent="0.2">
      <c r="A336" s="1107" t="s">
        <v>714</v>
      </c>
      <c r="B336" s="1087"/>
      <c r="C336" s="1087"/>
      <c r="D336" s="1087"/>
      <c r="E336" s="1087"/>
      <c r="F336" s="1087"/>
      <c r="G336" s="1087"/>
      <c r="H336" s="1087"/>
      <c r="I336" s="1087"/>
      <c r="J336" s="1087"/>
      <c r="K336" s="1087"/>
      <c r="L336" s="1087"/>
      <c r="M336" s="1087"/>
      <c r="N336" s="1087"/>
      <c r="O336" s="1087"/>
      <c r="P336" s="1087"/>
      <c r="Q336" s="1087"/>
      <c r="R336" s="1108"/>
      <c r="S336" s="1106">
        <v>-141939</v>
      </c>
      <c r="T336" s="1086"/>
      <c r="U336" s="1086"/>
      <c r="V336" s="1086"/>
      <c r="W336" s="1086"/>
      <c r="X336" s="1086">
        <v>135450</v>
      </c>
      <c r="Y336" s="1086"/>
      <c r="Z336" s="1086"/>
      <c r="AA336" s="1086"/>
      <c r="AB336" s="1086"/>
      <c r="AC336" s="1086"/>
      <c r="AD336" s="1086">
        <v>-162139</v>
      </c>
      <c r="AE336" s="1086"/>
      <c r="AF336" s="1086"/>
      <c r="AG336" s="1086"/>
      <c r="AH336" s="1086"/>
      <c r="AI336" s="1086"/>
      <c r="AJ336" s="1086">
        <v>-79592</v>
      </c>
      <c r="AK336" s="1086"/>
      <c r="AL336" s="1086"/>
      <c r="AM336" s="1086"/>
      <c r="AN336" s="1086"/>
      <c r="AO336" s="1086"/>
      <c r="AP336" s="1086"/>
      <c r="AQ336" s="1086"/>
      <c r="AR336" s="1086"/>
      <c r="AS336" s="1086"/>
      <c r="AT336" s="1086"/>
      <c r="AU336" s="1086">
        <v>76252</v>
      </c>
      <c r="AV336" s="1086"/>
      <c r="AW336" s="1086"/>
      <c r="AX336" s="1086"/>
      <c r="AY336" s="1086"/>
      <c r="AZ336" s="1086"/>
      <c r="BA336" s="1086"/>
      <c r="BB336" s="1086"/>
      <c r="BC336" s="1086">
        <v>-94059</v>
      </c>
      <c r="BD336" s="1086"/>
      <c r="BE336" s="1086"/>
      <c r="BF336" s="1086"/>
      <c r="BG336" s="1086">
        <v>35037</v>
      </c>
      <c r="BH336" s="1086"/>
      <c r="BI336" s="1086"/>
      <c r="BJ336" s="1086"/>
      <c r="BK336" s="1086">
        <v>-61620</v>
      </c>
      <c r="BL336" s="1086"/>
      <c r="BM336" s="1086"/>
      <c r="BN336" s="1086"/>
      <c r="BO336" s="1086"/>
    </row>
    <row r="337" spans="1:67" ht="13.5" customHeight="1" x14ac:dyDescent="0.2">
      <c r="A337" s="1107" t="s">
        <v>715</v>
      </c>
      <c r="B337" s="1087"/>
      <c r="C337" s="1087"/>
      <c r="D337" s="1087"/>
      <c r="E337" s="1087"/>
      <c r="F337" s="1087"/>
      <c r="G337" s="1087"/>
      <c r="H337" s="1087"/>
      <c r="I337" s="1087"/>
      <c r="J337" s="1087"/>
      <c r="K337" s="1087"/>
      <c r="L337" s="1087"/>
      <c r="M337" s="1087"/>
      <c r="N337" s="1087"/>
      <c r="O337" s="1087"/>
      <c r="P337" s="1087"/>
      <c r="Q337" s="1087"/>
      <c r="R337" s="1108"/>
      <c r="S337" s="1106">
        <v>0</v>
      </c>
      <c r="T337" s="1086"/>
      <c r="U337" s="1086"/>
      <c r="V337" s="1086"/>
      <c r="W337" s="1086"/>
      <c r="X337" s="1086">
        <v>0</v>
      </c>
      <c r="Y337" s="1086"/>
      <c r="Z337" s="1086"/>
      <c r="AA337" s="1086"/>
      <c r="AB337" s="1086"/>
      <c r="AC337" s="1086"/>
      <c r="AD337" s="1086">
        <v>0</v>
      </c>
      <c r="AE337" s="1086"/>
      <c r="AF337" s="1086"/>
      <c r="AG337" s="1086"/>
      <c r="AH337" s="1086"/>
      <c r="AI337" s="1086"/>
      <c r="AJ337" s="1086">
        <v>0</v>
      </c>
      <c r="AK337" s="1086"/>
      <c r="AL337" s="1086"/>
      <c r="AM337" s="1086"/>
      <c r="AN337" s="1086"/>
      <c r="AO337" s="1086"/>
      <c r="AP337" s="1086"/>
      <c r="AQ337" s="1086"/>
      <c r="AR337" s="1086"/>
      <c r="AS337" s="1086"/>
      <c r="AT337" s="1086"/>
      <c r="AU337" s="1086">
        <v>0</v>
      </c>
      <c r="AV337" s="1086"/>
      <c r="AW337" s="1086"/>
      <c r="AX337" s="1086"/>
      <c r="AY337" s="1086"/>
      <c r="AZ337" s="1086"/>
      <c r="BA337" s="1086"/>
      <c r="BB337" s="1086"/>
      <c r="BC337" s="1086">
        <v>0</v>
      </c>
      <c r="BD337" s="1086"/>
      <c r="BE337" s="1086"/>
      <c r="BF337" s="1086"/>
      <c r="BG337" s="1086">
        <v>0</v>
      </c>
      <c r="BH337" s="1086"/>
      <c r="BI337" s="1086"/>
      <c r="BJ337" s="1086"/>
      <c r="BK337" s="1086">
        <v>41042</v>
      </c>
      <c r="BL337" s="1086"/>
      <c r="BM337" s="1086"/>
      <c r="BN337" s="1086"/>
      <c r="BO337" s="1086"/>
    </row>
    <row r="338" spans="1:67" ht="13.5" customHeight="1" x14ac:dyDescent="0.2">
      <c r="A338" s="1107" t="s">
        <v>716</v>
      </c>
      <c r="B338" s="1087"/>
      <c r="C338" s="1087"/>
      <c r="D338" s="1087"/>
      <c r="E338" s="1087"/>
      <c r="F338" s="1087"/>
      <c r="G338" s="1087"/>
      <c r="H338" s="1087"/>
      <c r="I338" s="1087"/>
      <c r="J338" s="1087"/>
      <c r="K338" s="1087"/>
      <c r="L338" s="1087"/>
      <c r="M338" s="1087"/>
      <c r="N338" s="1087"/>
      <c r="O338" s="1087"/>
      <c r="P338" s="1087"/>
      <c r="Q338" s="1087"/>
      <c r="R338" s="1108"/>
      <c r="S338" s="1106">
        <v>0</v>
      </c>
      <c r="T338" s="1086"/>
      <c r="U338" s="1086"/>
      <c r="V338" s="1086"/>
      <c r="W338" s="1086"/>
      <c r="X338" s="1086">
        <v>0</v>
      </c>
      <c r="Y338" s="1086"/>
      <c r="Z338" s="1086"/>
      <c r="AA338" s="1086"/>
      <c r="AB338" s="1086"/>
      <c r="AC338" s="1086"/>
      <c r="AD338" s="1086">
        <v>0</v>
      </c>
      <c r="AE338" s="1086"/>
      <c r="AF338" s="1086"/>
      <c r="AG338" s="1086"/>
      <c r="AH338" s="1086"/>
      <c r="AI338" s="1086"/>
      <c r="AJ338" s="1086">
        <v>0</v>
      </c>
      <c r="AK338" s="1086"/>
      <c r="AL338" s="1086"/>
      <c r="AM338" s="1086"/>
      <c r="AN338" s="1086"/>
      <c r="AO338" s="1086"/>
      <c r="AP338" s="1086"/>
      <c r="AQ338" s="1086"/>
      <c r="AR338" s="1086"/>
      <c r="AS338" s="1086"/>
      <c r="AT338" s="1086"/>
      <c r="AU338" s="1086">
        <v>0</v>
      </c>
      <c r="AV338" s="1086"/>
      <c r="AW338" s="1086"/>
      <c r="AX338" s="1086"/>
      <c r="AY338" s="1086"/>
      <c r="AZ338" s="1086"/>
      <c r="BA338" s="1086"/>
      <c r="BB338" s="1086"/>
      <c r="BC338" s="1086">
        <v>0</v>
      </c>
      <c r="BD338" s="1086"/>
      <c r="BE338" s="1086"/>
      <c r="BF338" s="1086"/>
      <c r="BG338" s="1086">
        <v>0</v>
      </c>
      <c r="BH338" s="1086"/>
      <c r="BI338" s="1086"/>
      <c r="BJ338" s="1086"/>
      <c r="BK338" s="1086">
        <v>0</v>
      </c>
      <c r="BL338" s="1086"/>
      <c r="BM338" s="1086"/>
      <c r="BN338" s="1086"/>
      <c r="BO338" s="1086"/>
    </row>
    <row r="339" spans="1:67" ht="13.5" customHeight="1" x14ac:dyDescent="0.2">
      <c r="A339" s="1103" t="s">
        <v>717</v>
      </c>
      <c r="B339" s="1104"/>
      <c r="C339" s="1104"/>
      <c r="D339" s="1104"/>
      <c r="E339" s="1104"/>
      <c r="F339" s="1104"/>
      <c r="G339" s="1104"/>
      <c r="H339" s="1104"/>
      <c r="I339" s="1104"/>
      <c r="J339" s="1104"/>
      <c r="K339" s="1104"/>
      <c r="L339" s="1104"/>
      <c r="M339" s="1104"/>
      <c r="N339" s="1104"/>
      <c r="O339" s="1104"/>
      <c r="P339" s="1104"/>
      <c r="Q339" s="1104"/>
      <c r="R339" s="1105"/>
      <c r="S339" s="1106">
        <v>52056</v>
      </c>
      <c r="T339" s="1086"/>
      <c r="U339" s="1086"/>
      <c r="V339" s="1086"/>
      <c r="W339" s="1086"/>
      <c r="X339" s="1086">
        <v>64169</v>
      </c>
      <c r="Y339" s="1086"/>
      <c r="Z339" s="1086"/>
      <c r="AA339" s="1086"/>
      <c r="AB339" s="1086"/>
      <c r="AC339" s="1086"/>
      <c r="AD339" s="1086">
        <v>60922</v>
      </c>
      <c r="AE339" s="1086"/>
      <c r="AF339" s="1086"/>
      <c r="AG339" s="1086"/>
      <c r="AH339" s="1086"/>
      <c r="AI339" s="1086"/>
      <c r="AJ339" s="1086">
        <v>46167</v>
      </c>
      <c r="AK339" s="1086"/>
      <c r="AL339" s="1086"/>
      <c r="AM339" s="1086"/>
      <c r="AN339" s="1086"/>
      <c r="AO339" s="1086"/>
      <c r="AP339" s="1086"/>
      <c r="AQ339" s="1086"/>
      <c r="AR339" s="1086"/>
      <c r="AS339" s="1086"/>
      <c r="AT339" s="1086"/>
      <c r="AU339" s="1086">
        <v>38499</v>
      </c>
      <c r="AV339" s="1086"/>
      <c r="AW339" s="1086"/>
      <c r="AX339" s="1086"/>
      <c r="AY339" s="1086"/>
      <c r="AZ339" s="1086"/>
      <c r="BA339" s="1086"/>
      <c r="BB339" s="1086"/>
      <c r="BC339" s="1086">
        <v>146519</v>
      </c>
      <c r="BD339" s="1086"/>
      <c r="BE339" s="1086"/>
      <c r="BF339" s="1086"/>
      <c r="BG339" s="1086">
        <v>177042</v>
      </c>
      <c r="BH339" s="1086"/>
      <c r="BI339" s="1086"/>
      <c r="BJ339" s="1086"/>
      <c r="BK339" s="1086">
        <v>268294</v>
      </c>
      <c r="BL339" s="1086"/>
      <c r="BM339" s="1086"/>
      <c r="BN339" s="1086"/>
      <c r="BO339" s="1086"/>
    </row>
    <row r="340" spans="1:67" ht="13.5" customHeight="1" x14ac:dyDescent="0.2">
      <c r="A340" s="1102"/>
      <c r="B340" s="1102"/>
      <c r="C340" s="1102"/>
      <c r="D340" s="1102"/>
      <c r="E340" s="1102"/>
      <c r="F340" s="1102"/>
      <c r="G340" s="1102"/>
      <c r="H340" s="1102"/>
      <c r="I340" s="1102"/>
      <c r="J340" s="1102"/>
      <c r="K340" s="1102"/>
      <c r="L340" s="1102"/>
      <c r="M340" s="1102"/>
      <c r="N340" s="1102"/>
      <c r="O340" s="1102"/>
      <c r="P340" s="1102"/>
      <c r="Q340" s="1102"/>
      <c r="R340" s="1102"/>
      <c r="S340" s="1083"/>
      <c r="T340" s="1083"/>
      <c r="U340" s="1083"/>
      <c r="V340" s="1083"/>
      <c r="W340" s="1083"/>
      <c r="X340" s="1083"/>
      <c r="Y340" s="1083"/>
      <c r="Z340" s="1083"/>
      <c r="AA340" s="1083"/>
      <c r="AB340" s="1083"/>
      <c r="AC340" s="1083"/>
      <c r="AD340" s="1083"/>
      <c r="AE340" s="1083"/>
      <c r="AF340" s="1083"/>
      <c r="AG340" s="1083"/>
      <c r="AH340" s="1083"/>
      <c r="AI340" s="1083"/>
      <c r="AJ340" s="1083"/>
      <c r="AK340" s="1083"/>
      <c r="AL340" s="1083"/>
      <c r="AM340" s="1083"/>
      <c r="AN340" s="1083"/>
      <c r="AO340" s="1083"/>
      <c r="AP340" s="1083"/>
      <c r="AQ340" s="1083"/>
      <c r="AR340" s="1083"/>
      <c r="AS340" s="1083"/>
      <c r="AT340" s="1083"/>
      <c r="AU340" s="1083"/>
      <c r="AV340" s="1083"/>
      <c r="AW340" s="1083"/>
      <c r="AX340" s="1083"/>
      <c r="AY340" s="1083"/>
      <c r="AZ340" s="1083"/>
      <c r="BA340" s="1083"/>
      <c r="BB340" s="1083"/>
      <c r="BC340" s="1083"/>
      <c r="BD340" s="1083"/>
      <c r="BE340" s="1083"/>
      <c r="BF340" s="1083"/>
      <c r="BG340" s="1083"/>
      <c r="BH340" s="1083"/>
      <c r="BI340" s="1083"/>
      <c r="BJ340" s="1083"/>
      <c r="BK340" s="1083"/>
      <c r="BL340" s="1083"/>
      <c r="BM340" s="1083"/>
      <c r="BN340" s="1083"/>
      <c r="BO340" s="1083"/>
    </row>
    <row r="341" spans="1:67" ht="13.5" customHeight="1" x14ac:dyDescent="0.2">
      <c r="A341" s="1087" t="s">
        <v>718</v>
      </c>
      <c r="B341" s="1087"/>
      <c r="C341" s="1087"/>
      <c r="D341" s="1087"/>
      <c r="E341" s="1087"/>
      <c r="F341" s="1087"/>
      <c r="G341" s="1087"/>
      <c r="H341" s="1087"/>
      <c r="I341" s="1087"/>
      <c r="J341" s="1087"/>
      <c r="K341" s="1087"/>
      <c r="L341" s="1087"/>
      <c r="M341" s="1087"/>
      <c r="N341" s="1087"/>
      <c r="O341" s="1087"/>
      <c r="P341" s="1087"/>
      <c r="Q341" s="1087"/>
      <c r="R341" s="1087"/>
      <c r="S341" s="1086">
        <v>1588849</v>
      </c>
      <c r="T341" s="1086"/>
      <c r="U341" s="1086"/>
      <c r="V341" s="1086"/>
      <c r="W341" s="1086"/>
      <c r="X341" s="1086">
        <v>1117327</v>
      </c>
      <c r="Y341" s="1086"/>
      <c r="Z341" s="1086"/>
      <c r="AA341" s="1086"/>
      <c r="AB341" s="1086"/>
      <c r="AC341" s="1086"/>
      <c r="AD341" s="1086">
        <v>963975</v>
      </c>
      <c r="AE341" s="1086"/>
      <c r="AF341" s="1086"/>
      <c r="AG341" s="1086"/>
      <c r="AH341" s="1086"/>
      <c r="AI341" s="1086"/>
      <c r="AJ341" s="1086">
        <v>1411257</v>
      </c>
      <c r="AK341" s="1086"/>
      <c r="AL341" s="1086"/>
      <c r="AM341" s="1086"/>
      <c r="AN341" s="1086"/>
      <c r="AO341" s="1086"/>
      <c r="AP341" s="1086"/>
      <c r="AQ341" s="1086"/>
      <c r="AR341" s="1086"/>
      <c r="AS341" s="1086"/>
      <c r="AT341" s="1086"/>
      <c r="AU341" s="1086">
        <v>1351726</v>
      </c>
      <c r="AV341" s="1086"/>
      <c r="AW341" s="1086"/>
      <c r="AX341" s="1086"/>
      <c r="AY341" s="1086"/>
      <c r="AZ341" s="1086"/>
      <c r="BA341" s="1086"/>
      <c r="BB341" s="1086"/>
      <c r="BC341" s="1086">
        <v>1069627</v>
      </c>
      <c r="BD341" s="1086"/>
      <c r="BE341" s="1086"/>
      <c r="BF341" s="1086"/>
      <c r="BG341" s="1086">
        <v>1052950</v>
      </c>
      <c r="BH341" s="1086"/>
      <c r="BI341" s="1086"/>
      <c r="BJ341" s="1086"/>
      <c r="BK341" s="1086">
        <v>635847</v>
      </c>
      <c r="BL341" s="1086"/>
      <c r="BM341" s="1086"/>
      <c r="BN341" s="1086"/>
      <c r="BO341" s="1086"/>
    </row>
    <row r="342" spans="1:67" ht="13.5" customHeight="1" x14ac:dyDescent="0.2">
      <c r="A342" s="1087" t="s">
        <v>719</v>
      </c>
      <c r="B342" s="1087"/>
      <c r="C342" s="1087"/>
      <c r="D342" s="1087"/>
      <c r="E342" s="1087"/>
      <c r="F342" s="1087"/>
      <c r="G342" s="1087"/>
      <c r="H342" s="1087"/>
      <c r="I342" s="1087"/>
      <c r="J342" s="1087"/>
      <c r="K342" s="1087"/>
      <c r="L342" s="1087"/>
      <c r="M342" s="1087"/>
      <c r="N342" s="1087"/>
      <c r="O342" s="1087"/>
      <c r="P342" s="1087"/>
      <c r="Q342" s="1087"/>
      <c r="R342" s="1087"/>
      <c r="S342" s="1086">
        <v>4025765</v>
      </c>
      <c r="T342" s="1086"/>
      <c r="U342" s="1086"/>
      <c r="V342" s="1086"/>
      <c r="W342" s="1086"/>
      <c r="X342" s="1086">
        <v>3592990</v>
      </c>
      <c r="Y342" s="1086"/>
      <c r="Z342" s="1086"/>
      <c r="AA342" s="1086"/>
      <c r="AB342" s="1086"/>
      <c r="AC342" s="1086"/>
      <c r="AD342" s="1086">
        <v>3437527</v>
      </c>
      <c r="AE342" s="1086"/>
      <c r="AF342" s="1086"/>
      <c r="AG342" s="1086"/>
      <c r="AH342" s="1086"/>
      <c r="AI342" s="1086"/>
      <c r="AJ342" s="1086">
        <v>3376862</v>
      </c>
      <c r="AK342" s="1086"/>
      <c r="AL342" s="1086"/>
      <c r="AM342" s="1086"/>
      <c r="AN342" s="1086"/>
      <c r="AO342" s="1086"/>
      <c r="AP342" s="1086"/>
      <c r="AQ342" s="1086"/>
      <c r="AR342" s="1086"/>
      <c r="AS342" s="1086"/>
      <c r="AT342" s="1086"/>
      <c r="AU342" s="1086">
        <v>2828388</v>
      </c>
      <c r="AV342" s="1086"/>
      <c r="AW342" s="1086"/>
      <c r="AX342" s="1086"/>
      <c r="AY342" s="1086"/>
      <c r="AZ342" s="1086"/>
      <c r="BA342" s="1086"/>
      <c r="BB342" s="1086"/>
      <c r="BC342" s="1086">
        <v>2539621</v>
      </c>
      <c r="BD342" s="1086"/>
      <c r="BE342" s="1086"/>
      <c r="BF342" s="1086"/>
      <c r="BG342" s="1086">
        <v>2345909</v>
      </c>
      <c r="BH342" s="1086"/>
      <c r="BI342" s="1086"/>
      <c r="BJ342" s="1086"/>
      <c r="BK342" s="1086">
        <v>1722923</v>
      </c>
      <c r="BL342" s="1086"/>
      <c r="BM342" s="1086"/>
      <c r="BN342" s="1086"/>
      <c r="BO342" s="1086"/>
    </row>
    <row r="343" spans="1:67" ht="13.5" customHeight="1" x14ac:dyDescent="0.2">
      <c r="A343" s="1114"/>
      <c r="B343" s="1114"/>
      <c r="C343" s="1114"/>
      <c r="D343" s="1114"/>
      <c r="E343" s="1114"/>
      <c r="F343" s="1114"/>
      <c r="G343" s="1114"/>
      <c r="H343" s="1114"/>
      <c r="I343" s="1114"/>
      <c r="J343" s="1114"/>
      <c r="K343" s="1114"/>
      <c r="L343" s="1114"/>
      <c r="M343" s="1114"/>
      <c r="N343" s="1114"/>
      <c r="O343" s="1114"/>
      <c r="P343" s="1114"/>
      <c r="Q343" s="1114"/>
      <c r="R343" s="1114"/>
      <c r="S343" s="1083"/>
      <c r="T343" s="1083"/>
      <c r="U343" s="1083"/>
      <c r="V343" s="1083"/>
      <c r="W343" s="1083"/>
      <c r="X343" s="1083"/>
      <c r="Y343" s="1083"/>
      <c r="Z343" s="1083"/>
      <c r="AA343" s="1083"/>
      <c r="AB343" s="1083"/>
      <c r="AC343" s="1083"/>
      <c r="AD343" s="1083"/>
      <c r="AE343" s="1083"/>
      <c r="AF343" s="1083"/>
      <c r="AG343" s="1083"/>
      <c r="AH343" s="1083"/>
      <c r="AI343" s="1083"/>
      <c r="AJ343" s="1083"/>
      <c r="AK343" s="1083"/>
      <c r="AL343" s="1083"/>
      <c r="AM343" s="1083"/>
      <c r="AN343" s="1083"/>
      <c r="AO343" s="1083"/>
      <c r="AP343" s="1083"/>
      <c r="AQ343" s="1083"/>
      <c r="AR343" s="1083"/>
      <c r="AS343" s="1083"/>
      <c r="AT343" s="1083"/>
      <c r="AU343" s="1083"/>
      <c r="AV343" s="1083"/>
      <c r="AW343" s="1083"/>
      <c r="AX343" s="1083"/>
      <c r="AY343" s="1083"/>
      <c r="AZ343" s="1083"/>
      <c r="BA343" s="1083"/>
      <c r="BB343" s="1083"/>
      <c r="BC343" s="1083"/>
      <c r="BD343" s="1083"/>
      <c r="BE343" s="1083"/>
      <c r="BF343" s="1083"/>
      <c r="BG343" s="1083"/>
      <c r="BH343" s="1083"/>
      <c r="BI343" s="1083"/>
      <c r="BJ343" s="1083"/>
      <c r="BK343" s="1083"/>
      <c r="BL343" s="1083"/>
      <c r="BM343" s="1083"/>
      <c r="BN343" s="1083"/>
      <c r="BO343" s="1083"/>
    </row>
    <row r="344" spans="1:67" ht="13.5" customHeight="1" x14ac:dyDescent="0.2">
      <c r="A344" s="1110" t="s">
        <v>720</v>
      </c>
      <c r="B344" s="1111"/>
      <c r="C344" s="1111"/>
      <c r="D344" s="1111"/>
      <c r="E344" s="1111"/>
      <c r="F344" s="1111"/>
      <c r="G344" s="1111"/>
      <c r="H344" s="1111"/>
      <c r="I344" s="1111"/>
      <c r="J344" s="1111"/>
      <c r="K344" s="1111"/>
      <c r="L344" s="1111"/>
      <c r="M344" s="1111"/>
      <c r="N344" s="1111"/>
      <c r="O344" s="1111"/>
      <c r="P344" s="1111"/>
      <c r="Q344" s="1111"/>
      <c r="R344" s="1112"/>
      <c r="S344" s="1106">
        <v>-501648</v>
      </c>
      <c r="T344" s="1086"/>
      <c r="U344" s="1086"/>
      <c r="V344" s="1086"/>
      <c r="W344" s="1086"/>
      <c r="X344" s="1086">
        <v>-526256</v>
      </c>
      <c r="Y344" s="1086"/>
      <c r="Z344" s="1086"/>
      <c r="AA344" s="1086"/>
      <c r="AB344" s="1086"/>
      <c r="AC344" s="1086"/>
      <c r="AD344" s="1086">
        <v>-253466</v>
      </c>
      <c r="AE344" s="1086"/>
      <c r="AF344" s="1086"/>
      <c r="AG344" s="1086"/>
      <c r="AH344" s="1086"/>
      <c r="AI344" s="1086"/>
      <c r="AJ344" s="1086">
        <v>-207017</v>
      </c>
      <c r="AK344" s="1086"/>
      <c r="AL344" s="1086"/>
      <c r="AM344" s="1086"/>
      <c r="AN344" s="1086"/>
      <c r="AO344" s="1086"/>
      <c r="AP344" s="1086"/>
      <c r="AQ344" s="1086"/>
      <c r="AR344" s="1086"/>
      <c r="AS344" s="1086"/>
      <c r="AT344" s="1086"/>
      <c r="AU344" s="1086">
        <v>-158955</v>
      </c>
      <c r="AV344" s="1086"/>
      <c r="AW344" s="1086"/>
      <c r="AX344" s="1086"/>
      <c r="AY344" s="1086"/>
      <c r="AZ344" s="1086"/>
      <c r="BA344" s="1086"/>
      <c r="BB344" s="1086"/>
      <c r="BC344" s="1086">
        <v>-98799</v>
      </c>
      <c r="BD344" s="1086"/>
      <c r="BE344" s="1086"/>
      <c r="BF344" s="1086"/>
      <c r="BG344" s="1086">
        <v>-101816</v>
      </c>
      <c r="BH344" s="1086"/>
      <c r="BI344" s="1086"/>
      <c r="BJ344" s="1086"/>
      <c r="BK344" s="1086">
        <v>-102408</v>
      </c>
      <c r="BL344" s="1086"/>
      <c r="BM344" s="1086"/>
      <c r="BN344" s="1086"/>
      <c r="BO344" s="1086"/>
    </row>
    <row r="345" spans="1:67" ht="13.5" customHeight="1" x14ac:dyDescent="0.2">
      <c r="A345" s="1107" t="s">
        <v>721</v>
      </c>
      <c r="B345" s="1087"/>
      <c r="C345" s="1087"/>
      <c r="D345" s="1087"/>
      <c r="E345" s="1087"/>
      <c r="F345" s="1087"/>
      <c r="G345" s="1087"/>
      <c r="H345" s="1087"/>
      <c r="I345" s="1087"/>
      <c r="J345" s="1087"/>
      <c r="K345" s="1087"/>
      <c r="L345" s="1087"/>
      <c r="M345" s="1087"/>
      <c r="N345" s="1087"/>
      <c r="O345" s="1087"/>
      <c r="P345" s="1087"/>
      <c r="Q345" s="1087"/>
      <c r="R345" s="1108"/>
      <c r="S345" s="1106">
        <v>0</v>
      </c>
      <c r="T345" s="1086"/>
      <c r="U345" s="1086"/>
      <c r="V345" s="1086"/>
      <c r="W345" s="1086"/>
      <c r="X345" s="1086">
        <v>0</v>
      </c>
      <c r="Y345" s="1086"/>
      <c r="Z345" s="1086"/>
      <c r="AA345" s="1086"/>
      <c r="AB345" s="1086"/>
      <c r="AC345" s="1086"/>
      <c r="AD345" s="1086">
        <v>0</v>
      </c>
      <c r="AE345" s="1086"/>
      <c r="AF345" s="1086"/>
      <c r="AG345" s="1086"/>
      <c r="AH345" s="1086"/>
      <c r="AI345" s="1086"/>
      <c r="AJ345" s="1086">
        <v>0</v>
      </c>
      <c r="AK345" s="1086"/>
      <c r="AL345" s="1086"/>
      <c r="AM345" s="1086"/>
      <c r="AN345" s="1086"/>
      <c r="AO345" s="1086"/>
      <c r="AP345" s="1086"/>
      <c r="AQ345" s="1086"/>
      <c r="AR345" s="1086"/>
      <c r="AS345" s="1086"/>
      <c r="AT345" s="1086"/>
      <c r="AU345" s="1086">
        <v>0</v>
      </c>
      <c r="AV345" s="1086"/>
      <c r="AW345" s="1086"/>
      <c r="AX345" s="1086"/>
      <c r="AY345" s="1086"/>
      <c r="AZ345" s="1086"/>
      <c r="BA345" s="1086"/>
      <c r="BB345" s="1086"/>
      <c r="BC345" s="1086">
        <v>0</v>
      </c>
      <c r="BD345" s="1086"/>
      <c r="BE345" s="1086"/>
      <c r="BF345" s="1086"/>
      <c r="BG345" s="1086">
        <v>0</v>
      </c>
      <c r="BH345" s="1086"/>
      <c r="BI345" s="1086"/>
      <c r="BJ345" s="1086"/>
      <c r="BK345" s="1086">
        <v>0</v>
      </c>
      <c r="BL345" s="1086"/>
      <c r="BM345" s="1086"/>
      <c r="BN345" s="1086"/>
      <c r="BO345" s="1086"/>
    </row>
    <row r="346" spans="1:67" ht="26" customHeight="1" x14ac:dyDescent="0.2">
      <c r="A346" s="1107" t="s">
        <v>722</v>
      </c>
      <c r="B346" s="1087"/>
      <c r="C346" s="1087"/>
      <c r="D346" s="1087"/>
      <c r="E346" s="1087"/>
      <c r="F346" s="1087"/>
      <c r="G346" s="1087"/>
      <c r="H346" s="1087"/>
      <c r="I346" s="1087"/>
      <c r="J346" s="1087"/>
      <c r="K346" s="1087"/>
      <c r="L346" s="1087"/>
      <c r="M346" s="1087"/>
      <c r="N346" s="1087"/>
      <c r="O346" s="1087"/>
      <c r="P346" s="1087"/>
      <c r="Q346" s="1087"/>
      <c r="R346" s="1108"/>
      <c r="S346" s="1109" t="s">
        <v>535</v>
      </c>
      <c r="T346" s="1092"/>
      <c r="U346" s="1092"/>
      <c r="V346" s="1092"/>
      <c r="W346" s="1092"/>
      <c r="X346" s="1092" t="s">
        <v>535</v>
      </c>
      <c r="Y346" s="1092"/>
      <c r="Z346" s="1092"/>
      <c r="AA346" s="1092"/>
      <c r="AB346" s="1092"/>
      <c r="AC346" s="1092"/>
      <c r="AD346" s="1092" t="s">
        <v>535</v>
      </c>
      <c r="AE346" s="1092"/>
      <c r="AF346" s="1092"/>
      <c r="AG346" s="1092"/>
      <c r="AH346" s="1092"/>
      <c r="AI346" s="1092"/>
      <c r="AJ346" s="1092" t="s">
        <v>535</v>
      </c>
      <c r="AK346" s="1092"/>
      <c r="AL346" s="1092"/>
      <c r="AM346" s="1092"/>
      <c r="AN346" s="1092"/>
      <c r="AO346" s="1092"/>
      <c r="AP346" s="1092"/>
      <c r="AQ346" s="1092"/>
      <c r="AR346" s="1092"/>
      <c r="AS346" s="1092"/>
      <c r="AT346" s="1092"/>
      <c r="AU346" s="1092" t="s">
        <v>535</v>
      </c>
      <c r="AV346" s="1092"/>
      <c r="AW346" s="1092"/>
      <c r="AX346" s="1092"/>
      <c r="AY346" s="1092"/>
      <c r="AZ346" s="1092"/>
      <c r="BA346" s="1092"/>
      <c r="BB346" s="1092"/>
      <c r="BC346" s="1092" t="s">
        <v>535</v>
      </c>
      <c r="BD346" s="1092"/>
      <c r="BE346" s="1092"/>
      <c r="BF346" s="1092"/>
      <c r="BG346" s="1092" t="s">
        <v>535</v>
      </c>
      <c r="BH346" s="1092"/>
      <c r="BI346" s="1092"/>
      <c r="BJ346" s="1092"/>
      <c r="BK346" s="1092" t="s">
        <v>535</v>
      </c>
      <c r="BL346" s="1092"/>
      <c r="BM346" s="1092"/>
      <c r="BN346" s="1092"/>
      <c r="BO346" s="1092"/>
    </row>
    <row r="347" spans="1:67" ht="13.5" customHeight="1" x14ac:dyDescent="0.2">
      <c r="A347" s="1107" t="s">
        <v>723</v>
      </c>
      <c r="B347" s="1087"/>
      <c r="C347" s="1087"/>
      <c r="D347" s="1087"/>
      <c r="E347" s="1087"/>
      <c r="F347" s="1087"/>
      <c r="G347" s="1087"/>
      <c r="H347" s="1087"/>
      <c r="I347" s="1087"/>
      <c r="J347" s="1087"/>
      <c r="K347" s="1087"/>
      <c r="L347" s="1087"/>
      <c r="M347" s="1087"/>
      <c r="N347" s="1087"/>
      <c r="O347" s="1087"/>
      <c r="P347" s="1087"/>
      <c r="Q347" s="1087"/>
      <c r="R347" s="1108"/>
      <c r="S347" s="1106">
        <v>0</v>
      </c>
      <c r="T347" s="1086"/>
      <c r="U347" s="1086"/>
      <c r="V347" s="1086"/>
      <c r="W347" s="1086"/>
      <c r="X347" s="1086">
        <v>0</v>
      </c>
      <c r="Y347" s="1086"/>
      <c r="Z347" s="1086"/>
      <c r="AA347" s="1086"/>
      <c r="AB347" s="1086"/>
      <c r="AC347" s="1086"/>
      <c r="AD347" s="1086">
        <v>0</v>
      </c>
      <c r="AE347" s="1086"/>
      <c r="AF347" s="1086"/>
      <c r="AG347" s="1086"/>
      <c r="AH347" s="1086"/>
      <c r="AI347" s="1086"/>
      <c r="AJ347" s="1086">
        <v>0</v>
      </c>
      <c r="AK347" s="1086"/>
      <c r="AL347" s="1086"/>
      <c r="AM347" s="1086"/>
      <c r="AN347" s="1086"/>
      <c r="AO347" s="1086"/>
      <c r="AP347" s="1086"/>
      <c r="AQ347" s="1086"/>
      <c r="AR347" s="1086"/>
      <c r="AS347" s="1086"/>
      <c r="AT347" s="1086"/>
      <c r="AU347" s="1086">
        <v>0</v>
      </c>
      <c r="AV347" s="1086"/>
      <c r="AW347" s="1086"/>
      <c r="AX347" s="1086"/>
      <c r="AY347" s="1086"/>
      <c r="AZ347" s="1086"/>
      <c r="BA347" s="1086"/>
      <c r="BB347" s="1086"/>
      <c r="BC347" s="1086">
        <v>0</v>
      </c>
      <c r="BD347" s="1086"/>
      <c r="BE347" s="1086"/>
      <c r="BF347" s="1086"/>
      <c r="BG347" s="1086">
        <v>0</v>
      </c>
      <c r="BH347" s="1086"/>
      <c r="BI347" s="1086"/>
      <c r="BJ347" s="1086"/>
      <c r="BK347" s="1086">
        <v>0</v>
      </c>
      <c r="BL347" s="1086"/>
      <c r="BM347" s="1086"/>
      <c r="BN347" s="1086"/>
      <c r="BO347" s="1086"/>
    </row>
    <row r="348" spans="1:67" ht="26" customHeight="1" x14ac:dyDescent="0.2">
      <c r="A348" s="1107" t="s">
        <v>724</v>
      </c>
      <c r="B348" s="1087"/>
      <c r="C348" s="1087"/>
      <c r="D348" s="1087"/>
      <c r="E348" s="1087"/>
      <c r="F348" s="1087"/>
      <c r="G348" s="1087"/>
      <c r="H348" s="1087"/>
      <c r="I348" s="1087"/>
      <c r="J348" s="1087"/>
      <c r="K348" s="1087"/>
      <c r="L348" s="1087"/>
      <c r="M348" s="1087"/>
      <c r="N348" s="1087"/>
      <c r="O348" s="1087"/>
      <c r="P348" s="1087"/>
      <c r="Q348" s="1087"/>
      <c r="R348" s="1108"/>
      <c r="S348" s="1106">
        <v>0</v>
      </c>
      <c r="T348" s="1086"/>
      <c r="U348" s="1086"/>
      <c r="V348" s="1086"/>
      <c r="W348" s="1086"/>
      <c r="X348" s="1086">
        <v>0</v>
      </c>
      <c r="Y348" s="1086"/>
      <c r="Z348" s="1086"/>
      <c r="AA348" s="1086"/>
      <c r="AB348" s="1086"/>
      <c r="AC348" s="1086"/>
      <c r="AD348" s="1086">
        <v>0</v>
      </c>
      <c r="AE348" s="1086"/>
      <c r="AF348" s="1086"/>
      <c r="AG348" s="1086"/>
      <c r="AH348" s="1086"/>
      <c r="AI348" s="1086"/>
      <c r="AJ348" s="1086">
        <v>0</v>
      </c>
      <c r="AK348" s="1086"/>
      <c r="AL348" s="1086"/>
      <c r="AM348" s="1086"/>
      <c r="AN348" s="1086"/>
      <c r="AO348" s="1086"/>
      <c r="AP348" s="1086"/>
      <c r="AQ348" s="1086"/>
      <c r="AR348" s="1086"/>
      <c r="AS348" s="1086"/>
      <c r="AT348" s="1086"/>
      <c r="AU348" s="1086">
        <v>0</v>
      </c>
      <c r="AV348" s="1086"/>
      <c r="AW348" s="1086"/>
      <c r="AX348" s="1086"/>
      <c r="AY348" s="1086"/>
      <c r="AZ348" s="1086"/>
      <c r="BA348" s="1086"/>
      <c r="BB348" s="1086"/>
      <c r="BC348" s="1086">
        <v>0</v>
      </c>
      <c r="BD348" s="1086"/>
      <c r="BE348" s="1086"/>
      <c r="BF348" s="1086"/>
      <c r="BG348" s="1086">
        <v>0</v>
      </c>
      <c r="BH348" s="1086"/>
      <c r="BI348" s="1086"/>
      <c r="BJ348" s="1086"/>
      <c r="BK348" s="1086">
        <v>0</v>
      </c>
      <c r="BL348" s="1086"/>
      <c r="BM348" s="1086"/>
      <c r="BN348" s="1086"/>
      <c r="BO348" s="1086"/>
    </row>
    <row r="349" spans="1:67" ht="13.5" customHeight="1" x14ac:dyDescent="0.2">
      <c r="A349" s="1107" t="s">
        <v>725</v>
      </c>
      <c r="B349" s="1087"/>
      <c r="C349" s="1087"/>
      <c r="D349" s="1087"/>
      <c r="E349" s="1087"/>
      <c r="F349" s="1087"/>
      <c r="G349" s="1087"/>
      <c r="H349" s="1087"/>
      <c r="I349" s="1087"/>
      <c r="J349" s="1087"/>
      <c r="K349" s="1087"/>
      <c r="L349" s="1087"/>
      <c r="M349" s="1087"/>
      <c r="N349" s="1087"/>
      <c r="O349" s="1087"/>
      <c r="P349" s="1087"/>
      <c r="Q349" s="1087"/>
      <c r="R349" s="1108"/>
      <c r="S349" s="1106">
        <v>1756</v>
      </c>
      <c r="T349" s="1086"/>
      <c r="U349" s="1086"/>
      <c r="V349" s="1086"/>
      <c r="W349" s="1086"/>
      <c r="X349" s="1086">
        <v>2087</v>
      </c>
      <c r="Y349" s="1086"/>
      <c r="Z349" s="1086"/>
      <c r="AA349" s="1086"/>
      <c r="AB349" s="1086"/>
      <c r="AC349" s="1086"/>
      <c r="AD349" s="1086">
        <v>208</v>
      </c>
      <c r="AE349" s="1086"/>
      <c r="AF349" s="1086"/>
      <c r="AG349" s="1086"/>
      <c r="AH349" s="1086"/>
      <c r="AI349" s="1086"/>
      <c r="AJ349" s="1086">
        <v>391</v>
      </c>
      <c r="AK349" s="1086"/>
      <c r="AL349" s="1086"/>
      <c r="AM349" s="1086"/>
      <c r="AN349" s="1086"/>
      <c r="AO349" s="1086"/>
      <c r="AP349" s="1086"/>
      <c r="AQ349" s="1086"/>
      <c r="AR349" s="1086"/>
      <c r="AS349" s="1086"/>
      <c r="AT349" s="1086"/>
      <c r="AU349" s="1086">
        <v>205</v>
      </c>
      <c r="AV349" s="1086"/>
      <c r="AW349" s="1086"/>
      <c r="AX349" s="1086"/>
      <c r="AY349" s="1086"/>
      <c r="AZ349" s="1086"/>
      <c r="BA349" s="1086"/>
      <c r="BB349" s="1086"/>
      <c r="BC349" s="1086">
        <v>4131</v>
      </c>
      <c r="BD349" s="1086"/>
      <c r="BE349" s="1086"/>
      <c r="BF349" s="1086"/>
      <c r="BG349" s="1086">
        <v>185</v>
      </c>
      <c r="BH349" s="1086"/>
      <c r="BI349" s="1086"/>
      <c r="BJ349" s="1086"/>
      <c r="BK349" s="1086">
        <v>99</v>
      </c>
      <c r="BL349" s="1086"/>
      <c r="BM349" s="1086"/>
      <c r="BN349" s="1086"/>
      <c r="BO349" s="1086"/>
    </row>
    <row r="350" spans="1:67" ht="13.5" customHeight="1" x14ac:dyDescent="0.2">
      <c r="A350" s="1107" t="s">
        <v>726</v>
      </c>
      <c r="B350" s="1087"/>
      <c r="C350" s="1087"/>
      <c r="D350" s="1087"/>
      <c r="E350" s="1087"/>
      <c r="F350" s="1087"/>
      <c r="G350" s="1087"/>
      <c r="H350" s="1087"/>
      <c r="I350" s="1087"/>
      <c r="J350" s="1087"/>
      <c r="K350" s="1087"/>
      <c r="L350" s="1087"/>
      <c r="M350" s="1087"/>
      <c r="N350" s="1087"/>
      <c r="O350" s="1087"/>
      <c r="P350" s="1087"/>
      <c r="Q350" s="1087"/>
      <c r="R350" s="1108"/>
      <c r="S350" s="1106">
        <v>0</v>
      </c>
      <c r="T350" s="1086"/>
      <c r="U350" s="1086"/>
      <c r="V350" s="1086"/>
      <c r="W350" s="1086"/>
      <c r="X350" s="1086">
        <v>0</v>
      </c>
      <c r="Y350" s="1086"/>
      <c r="Z350" s="1086"/>
      <c r="AA350" s="1086"/>
      <c r="AB350" s="1086"/>
      <c r="AC350" s="1086"/>
      <c r="AD350" s="1086">
        <v>0</v>
      </c>
      <c r="AE350" s="1086"/>
      <c r="AF350" s="1086"/>
      <c r="AG350" s="1086"/>
      <c r="AH350" s="1086"/>
      <c r="AI350" s="1086"/>
      <c r="AJ350" s="1086">
        <v>0</v>
      </c>
      <c r="AK350" s="1086"/>
      <c r="AL350" s="1086"/>
      <c r="AM350" s="1086"/>
      <c r="AN350" s="1086"/>
      <c r="AO350" s="1086"/>
      <c r="AP350" s="1086"/>
      <c r="AQ350" s="1086"/>
      <c r="AR350" s="1086"/>
      <c r="AS350" s="1086"/>
      <c r="AT350" s="1086"/>
      <c r="AU350" s="1086">
        <v>0</v>
      </c>
      <c r="AV350" s="1086"/>
      <c r="AW350" s="1086"/>
      <c r="AX350" s="1086"/>
      <c r="AY350" s="1086"/>
      <c r="AZ350" s="1086"/>
      <c r="BA350" s="1086"/>
      <c r="BB350" s="1086"/>
      <c r="BC350" s="1086">
        <v>0</v>
      </c>
      <c r="BD350" s="1086"/>
      <c r="BE350" s="1086"/>
      <c r="BF350" s="1086"/>
      <c r="BG350" s="1086">
        <v>0</v>
      </c>
      <c r="BH350" s="1086"/>
      <c r="BI350" s="1086"/>
      <c r="BJ350" s="1086"/>
      <c r="BK350" s="1086">
        <v>0</v>
      </c>
      <c r="BL350" s="1086"/>
      <c r="BM350" s="1086"/>
      <c r="BN350" s="1086"/>
      <c r="BO350" s="1086"/>
    </row>
    <row r="351" spans="1:67" ht="26" customHeight="1" x14ac:dyDescent="0.2">
      <c r="A351" s="1107" t="s">
        <v>727</v>
      </c>
      <c r="B351" s="1087"/>
      <c r="C351" s="1087"/>
      <c r="D351" s="1087"/>
      <c r="E351" s="1087"/>
      <c r="F351" s="1087"/>
      <c r="G351" s="1087"/>
      <c r="H351" s="1087"/>
      <c r="I351" s="1087"/>
      <c r="J351" s="1087"/>
      <c r="K351" s="1087"/>
      <c r="L351" s="1087"/>
      <c r="M351" s="1087"/>
      <c r="N351" s="1087"/>
      <c r="O351" s="1087"/>
      <c r="P351" s="1087"/>
      <c r="Q351" s="1087"/>
      <c r="R351" s="1108"/>
      <c r="S351" s="1106">
        <v>0</v>
      </c>
      <c r="T351" s="1086"/>
      <c r="U351" s="1086"/>
      <c r="V351" s="1086"/>
      <c r="W351" s="1086"/>
      <c r="X351" s="1092" t="s">
        <v>535</v>
      </c>
      <c r="Y351" s="1092"/>
      <c r="Z351" s="1092"/>
      <c r="AA351" s="1092"/>
      <c r="AB351" s="1092"/>
      <c r="AC351" s="1092"/>
      <c r="AD351" s="1092" t="s">
        <v>535</v>
      </c>
      <c r="AE351" s="1092"/>
      <c r="AF351" s="1092"/>
      <c r="AG351" s="1092"/>
      <c r="AH351" s="1092"/>
      <c r="AI351" s="1092"/>
      <c r="AJ351" s="1092" t="s">
        <v>535</v>
      </c>
      <c r="AK351" s="1092"/>
      <c r="AL351" s="1092"/>
      <c r="AM351" s="1092"/>
      <c r="AN351" s="1092"/>
      <c r="AO351" s="1092"/>
      <c r="AP351" s="1092"/>
      <c r="AQ351" s="1092"/>
      <c r="AR351" s="1092"/>
      <c r="AS351" s="1092"/>
      <c r="AT351" s="1092"/>
      <c r="AU351" s="1092" t="s">
        <v>535</v>
      </c>
      <c r="AV351" s="1092"/>
      <c r="AW351" s="1092"/>
      <c r="AX351" s="1092"/>
      <c r="AY351" s="1092"/>
      <c r="AZ351" s="1092"/>
      <c r="BA351" s="1092"/>
      <c r="BB351" s="1092"/>
      <c r="BC351" s="1092" t="s">
        <v>535</v>
      </c>
      <c r="BD351" s="1092"/>
      <c r="BE351" s="1092"/>
      <c r="BF351" s="1092"/>
      <c r="BG351" s="1092" t="s">
        <v>535</v>
      </c>
      <c r="BH351" s="1092"/>
      <c r="BI351" s="1092"/>
      <c r="BJ351" s="1092"/>
      <c r="BK351" s="1092" t="s">
        <v>535</v>
      </c>
      <c r="BL351" s="1092"/>
      <c r="BM351" s="1092"/>
      <c r="BN351" s="1092"/>
      <c r="BO351" s="1092"/>
    </row>
    <row r="352" spans="1:67" ht="26" customHeight="1" x14ac:dyDescent="0.2">
      <c r="A352" s="1107" t="s">
        <v>728</v>
      </c>
      <c r="B352" s="1087"/>
      <c r="C352" s="1087"/>
      <c r="D352" s="1087"/>
      <c r="E352" s="1087"/>
      <c r="F352" s="1087"/>
      <c r="G352" s="1087"/>
      <c r="H352" s="1087"/>
      <c r="I352" s="1087"/>
      <c r="J352" s="1087"/>
      <c r="K352" s="1087"/>
      <c r="L352" s="1087"/>
      <c r="M352" s="1087"/>
      <c r="N352" s="1087"/>
      <c r="O352" s="1087"/>
      <c r="P352" s="1087"/>
      <c r="Q352" s="1087"/>
      <c r="R352" s="1108"/>
      <c r="S352" s="1106">
        <v>0</v>
      </c>
      <c r="T352" s="1086"/>
      <c r="U352" s="1086"/>
      <c r="V352" s="1086"/>
      <c r="W352" s="1086"/>
      <c r="X352" s="1086">
        <v>0</v>
      </c>
      <c r="Y352" s="1086"/>
      <c r="Z352" s="1086"/>
      <c r="AA352" s="1086"/>
      <c r="AB352" s="1086"/>
      <c r="AC352" s="1086"/>
      <c r="AD352" s="1086">
        <v>0</v>
      </c>
      <c r="AE352" s="1086"/>
      <c r="AF352" s="1086"/>
      <c r="AG352" s="1086"/>
      <c r="AH352" s="1086"/>
      <c r="AI352" s="1086"/>
      <c r="AJ352" s="1086">
        <v>0</v>
      </c>
      <c r="AK352" s="1086"/>
      <c r="AL352" s="1086"/>
      <c r="AM352" s="1086"/>
      <c r="AN352" s="1086"/>
      <c r="AO352" s="1086"/>
      <c r="AP352" s="1086"/>
      <c r="AQ352" s="1086"/>
      <c r="AR352" s="1086"/>
      <c r="AS352" s="1086"/>
      <c r="AT352" s="1086"/>
      <c r="AU352" s="1086">
        <v>0</v>
      </c>
      <c r="AV352" s="1086"/>
      <c r="AW352" s="1086"/>
      <c r="AX352" s="1086"/>
      <c r="AY352" s="1086"/>
      <c r="AZ352" s="1086"/>
      <c r="BA352" s="1086"/>
      <c r="BB352" s="1086"/>
      <c r="BC352" s="1086">
        <v>0</v>
      </c>
      <c r="BD352" s="1086"/>
      <c r="BE352" s="1086"/>
      <c r="BF352" s="1086"/>
      <c r="BG352" s="1086">
        <v>0</v>
      </c>
      <c r="BH352" s="1086"/>
      <c r="BI352" s="1086"/>
      <c r="BJ352" s="1086"/>
      <c r="BK352" s="1086">
        <v>0</v>
      </c>
      <c r="BL352" s="1086"/>
      <c r="BM352" s="1086"/>
      <c r="BN352" s="1086"/>
      <c r="BO352" s="1086"/>
    </row>
    <row r="353" spans="1:67" ht="13.5" customHeight="1" x14ac:dyDescent="0.2">
      <c r="A353" s="1107" t="s">
        <v>729</v>
      </c>
      <c r="B353" s="1087"/>
      <c r="C353" s="1087"/>
      <c r="D353" s="1087"/>
      <c r="E353" s="1087"/>
      <c r="F353" s="1087"/>
      <c r="G353" s="1087"/>
      <c r="H353" s="1087"/>
      <c r="I353" s="1087"/>
      <c r="J353" s="1087"/>
      <c r="K353" s="1087"/>
      <c r="L353" s="1087"/>
      <c r="M353" s="1087"/>
      <c r="N353" s="1087"/>
      <c r="O353" s="1087"/>
      <c r="P353" s="1087"/>
      <c r="Q353" s="1087"/>
      <c r="R353" s="1108"/>
      <c r="S353" s="1106">
        <v>0</v>
      </c>
      <c r="T353" s="1086"/>
      <c r="U353" s="1086"/>
      <c r="V353" s="1086"/>
      <c r="W353" s="1086"/>
      <c r="X353" s="1086">
        <v>0</v>
      </c>
      <c r="Y353" s="1086"/>
      <c r="Z353" s="1086"/>
      <c r="AA353" s="1086"/>
      <c r="AB353" s="1086"/>
      <c r="AC353" s="1086"/>
      <c r="AD353" s="1086">
        <v>0</v>
      </c>
      <c r="AE353" s="1086"/>
      <c r="AF353" s="1086"/>
      <c r="AG353" s="1086"/>
      <c r="AH353" s="1086"/>
      <c r="AI353" s="1086"/>
      <c r="AJ353" s="1086">
        <v>0</v>
      </c>
      <c r="AK353" s="1086"/>
      <c r="AL353" s="1086"/>
      <c r="AM353" s="1086"/>
      <c r="AN353" s="1086"/>
      <c r="AO353" s="1086"/>
      <c r="AP353" s="1086"/>
      <c r="AQ353" s="1086"/>
      <c r="AR353" s="1086"/>
      <c r="AS353" s="1086"/>
      <c r="AT353" s="1086"/>
      <c r="AU353" s="1086">
        <v>0</v>
      </c>
      <c r="AV353" s="1086"/>
      <c r="AW353" s="1086"/>
      <c r="AX353" s="1086"/>
      <c r="AY353" s="1086"/>
      <c r="AZ353" s="1086"/>
      <c r="BA353" s="1086"/>
      <c r="BB353" s="1086"/>
      <c r="BC353" s="1086">
        <v>0</v>
      </c>
      <c r="BD353" s="1086"/>
      <c r="BE353" s="1086"/>
      <c r="BF353" s="1086"/>
      <c r="BG353" s="1086">
        <v>0</v>
      </c>
      <c r="BH353" s="1086"/>
      <c r="BI353" s="1086"/>
      <c r="BJ353" s="1086"/>
      <c r="BK353" s="1086">
        <v>0</v>
      </c>
      <c r="BL353" s="1086"/>
      <c r="BM353" s="1086"/>
      <c r="BN353" s="1086"/>
      <c r="BO353" s="1086"/>
    </row>
    <row r="354" spans="1:67" ht="13.5" customHeight="1" x14ac:dyDescent="0.2">
      <c r="A354" s="1107" t="s">
        <v>730</v>
      </c>
      <c r="B354" s="1087"/>
      <c r="C354" s="1087"/>
      <c r="D354" s="1087"/>
      <c r="E354" s="1087"/>
      <c r="F354" s="1087"/>
      <c r="G354" s="1087"/>
      <c r="H354" s="1087"/>
      <c r="I354" s="1087"/>
      <c r="J354" s="1087"/>
      <c r="K354" s="1087"/>
      <c r="L354" s="1087"/>
      <c r="M354" s="1087"/>
      <c r="N354" s="1087"/>
      <c r="O354" s="1087"/>
      <c r="P354" s="1087"/>
      <c r="Q354" s="1087"/>
      <c r="R354" s="1108"/>
      <c r="S354" s="1106">
        <v>0</v>
      </c>
      <c r="T354" s="1086"/>
      <c r="U354" s="1086"/>
      <c r="V354" s="1086"/>
      <c r="W354" s="1086"/>
      <c r="X354" s="1086">
        <v>0</v>
      </c>
      <c r="Y354" s="1086"/>
      <c r="Z354" s="1086"/>
      <c r="AA354" s="1086"/>
      <c r="AB354" s="1086"/>
      <c r="AC354" s="1086"/>
      <c r="AD354" s="1086">
        <v>0</v>
      </c>
      <c r="AE354" s="1086"/>
      <c r="AF354" s="1086"/>
      <c r="AG354" s="1086"/>
      <c r="AH354" s="1086"/>
      <c r="AI354" s="1086"/>
      <c r="AJ354" s="1086">
        <v>0</v>
      </c>
      <c r="AK354" s="1086"/>
      <c r="AL354" s="1086"/>
      <c r="AM354" s="1086"/>
      <c r="AN354" s="1086"/>
      <c r="AO354" s="1086"/>
      <c r="AP354" s="1086"/>
      <c r="AQ354" s="1086"/>
      <c r="AR354" s="1086"/>
      <c r="AS354" s="1086"/>
      <c r="AT354" s="1086"/>
      <c r="AU354" s="1086">
        <v>0</v>
      </c>
      <c r="AV354" s="1086"/>
      <c r="AW354" s="1086"/>
      <c r="AX354" s="1086"/>
      <c r="AY354" s="1086"/>
      <c r="AZ354" s="1086"/>
      <c r="BA354" s="1086"/>
      <c r="BB354" s="1086"/>
      <c r="BC354" s="1086">
        <v>0</v>
      </c>
      <c r="BD354" s="1086"/>
      <c r="BE354" s="1086"/>
      <c r="BF354" s="1086"/>
      <c r="BG354" s="1086">
        <v>0</v>
      </c>
      <c r="BH354" s="1086"/>
      <c r="BI354" s="1086"/>
      <c r="BJ354" s="1086"/>
      <c r="BK354" s="1086">
        <v>0</v>
      </c>
      <c r="BL354" s="1086"/>
      <c r="BM354" s="1086"/>
      <c r="BN354" s="1086"/>
      <c r="BO354" s="1086"/>
    </row>
    <row r="355" spans="1:67" ht="13.5" customHeight="1" x14ac:dyDescent="0.2">
      <c r="A355" s="1107" t="s">
        <v>731</v>
      </c>
      <c r="B355" s="1087"/>
      <c r="C355" s="1087"/>
      <c r="D355" s="1087"/>
      <c r="E355" s="1087"/>
      <c r="F355" s="1087"/>
      <c r="G355" s="1087"/>
      <c r="H355" s="1087"/>
      <c r="I355" s="1087"/>
      <c r="J355" s="1087"/>
      <c r="K355" s="1087"/>
      <c r="L355" s="1087"/>
      <c r="M355" s="1087"/>
      <c r="N355" s="1087"/>
      <c r="O355" s="1087"/>
      <c r="P355" s="1087"/>
      <c r="Q355" s="1087"/>
      <c r="R355" s="1108"/>
      <c r="S355" s="1106">
        <v>0</v>
      </c>
      <c r="T355" s="1086"/>
      <c r="U355" s="1086"/>
      <c r="V355" s="1086"/>
      <c r="W355" s="1086"/>
      <c r="X355" s="1086">
        <v>0</v>
      </c>
      <c r="Y355" s="1086"/>
      <c r="Z355" s="1086"/>
      <c r="AA355" s="1086"/>
      <c r="AB355" s="1086"/>
      <c r="AC355" s="1086"/>
      <c r="AD355" s="1086">
        <v>0</v>
      </c>
      <c r="AE355" s="1086"/>
      <c r="AF355" s="1086"/>
      <c r="AG355" s="1086"/>
      <c r="AH355" s="1086"/>
      <c r="AI355" s="1086"/>
      <c r="AJ355" s="1086">
        <v>0</v>
      </c>
      <c r="AK355" s="1086"/>
      <c r="AL355" s="1086"/>
      <c r="AM355" s="1086"/>
      <c r="AN355" s="1086"/>
      <c r="AO355" s="1086"/>
      <c r="AP355" s="1086"/>
      <c r="AQ355" s="1086"/>
      <c r="AR355" s="1086"/>
      <c r="AS355" s="1086"/>
      <c r="AT355" s="1086"/>
      <c r="AU355" s="1086">
        <v>0</v>
      </c>
      <c r="AV355" s="1086"/>
      <c r="AW355" s="1086"/>
      <c r="AX355" s="1086"/>
      <c r="AY355" s="1086"/>
      <c r="AZ355" s="1086"/>
      <c r="BA355" s="1086"/>
      <c r="BB355" s="1086"/>
      <c r="BC355" s="1086">
        <v>0</v>
      </c>
      <c r="BD355" s="1086"/>
      <c r="BE355" s="1086"/>
      <c r="BF355" s="1086"/>
      <c r="BG355" s="1086">
        <v>0</v>
      </c>
      <c r="BH355" s="1086"/>
      <c r="BI355" s="1086"/>
      <c r="BJ355" s="1086"/>
      <c r="BK355" s="1086">
        <v>0</v>
      </c>
      <c r="BL355" s="1086"/>
      <c r="BM355" s="1086"/>
      <c r="BN355" s="1086"/>
      <c r="BO355" s="1086"/>
    </row>
    <row r="356" spans="1:67" ht="13.5" customHeight="1" x14ac:dyDescent="0.2">
      <c r="A356" s="1107" t="s">
        <v>732</v>
      </c>
      <c r="B356" s="1087"/>
      <c r="C356" s="1087"/>
      <c r="D356" s="1087"/>
      <c r="E356" s="1087"/>
      <c r="F356" s="1087"/>
      <c r="G356" s="1087"/>
      <c r="H356" s="1087"/>
      <c r="I356" s="1087"/>
      <c r="J356" s="1087"/>
      <c r="K356" s="1087"/>
      <c r="L356" s="1087"/>
      <c r="M356" s="1087"/>
      <c r="N356" s="1087"/>
      <c r="O356" s="1087"/>
      <c r="P356" s="1087"/>
      <c r="Q356" s="1087"/>
      <c r="R356" s="1108"/>
      <c r="S356" s="1106">
        <v>1756</v>
      </c>
      <c r="T356" s="1086"/>
      <c r="U356" s="1086"/>
      <c r="V356" s="1086"/>
      <c r="W356" s="1086"/>
      <c r="X356" s="1086">
        <v>2087</v>
      </c>
      <c r="Y356" s="1086"/>
      <c r="Z356" s="1086"/>
      <c r="AA356" s="1086"/>
      <c r="AB356" s="1086"/>
      <c r="AC356" s="1086"/>
      <c r="AD356" s="1086">
        <v>208</v>
      </c>
      <c r="AE356" s="1086"/>
      <c r="AF356" s="1086"/>
      <c r="AG356" s="1086"/>
      <c r="AH356" s="1086"/>
      <c r="AI356" s="1086"/>
      <c r="AJ356" s="1086">
        <v>391</v>
      </c>
      <c r="AK356" s="1086"/>
      <c r="AL356" s="1086"/>
      <c r="AM356" s="1086"/>
      <c r="AN356" s="1086"/>
      <c r="AO356" s="1086"/>
      <c r="AP356" s="1086"/>
      <c r="AQ356" s="1086"/>
      <c r="AR356" s="1086"/>
      <c r="AS356" s="1086"/>
      <c r="AT356" s="1086"/>
      <c r="AU356" s="1086">
        <v>205</v>
      </c>
      <c r="AV356" s="1086"/>
      <c r="AW356" s="1086"/>
      <c r="AX356" s="1086"/>
      <c r="AY356" s="1086"/>
      <c r="AZ356" s="1086"/>
      <c r="BA356" s="1086"/>
      <c r="BB356" s="1086"/>
      <c r="BC356" s="1086">
        <v>4131</v>
      </c>
      <c r="BD356" s="1086"/>
      <c r="BE356" s="1086"/>
      <c r="BF356" s="1086"/>
      <c r="BG356" s="1086">
        <v>185</v>
      </c>
      <c r="BH356" s="1086"/>
      <c r="BI356" s="1086"/>
      <c r="BJ356" s="1086"/>
      <c r="BK356" s="1086">
        <v>99</v>
      </c>
      <c r="BL356" s="1086"/>
      <c r="BM356" s="1086"/>
      <c r="BN356" s="1086"/>
      <c r="BO356" s="1086"/>
    </row>
    <row r="357" spans="1:67" ht="26" customHeight="1" x14ac:dyDescent="0.2">
      <c r="A357" s="1107" t="s">
        <v>733</v>
      </c>
      <c r="B357" s="1087"/>
      <c r="C357" s="1087"/>
      <c r="D357" s="1087"/>
      <c r="E357" s="1087"/>
      <c r="F357" s="1087"/>
      <c r="G357" s="1087"/>
      <c r="H357" s="1087"/>
      <c r="I357" s="1087"/>
      <c r="J357" s="1087"/>
      <c r="K357" s="1087"/>
      <c r="L357" s="1087"/>
      <c r="M357" s="1087"/>
      <c r="N357" s="1087"/>
      <c r="O357" s="1087"/>
      <c r="P357" s="1087"/>
      <c r="Q357" s="1087"/>
      <c r="R357" s="1108"/>
      <c r="S357" s="1106">
        <v>0</v>
      </c>
      <c r="T357" s="1086"/>
      <c r="U357" s="1086"/>
      <c r="V357" s="1086"/>
      <c r="W357" s="1086"/>
      <c r="X357" s="1086">
        <v>0</v>
      </c>
      <c r="Y357" s="1086"/>
      <c r="Z357" s="1086"/>
      <c r="AA357" s="1086"/>
      <c r="AB357" s="1086"/>
      <c r="AC357" s="1086"/>
      <c r="AD357" s="1086">
        <v>0</v>
      </c>
      <c r="AE357" s="1086"/>
      <c r="AF357" s="1086"/>
      <c r="AG357" s="1086"/>
      <c r="AH357" s="1086"/>
      <c r="AI357" s="1086"/>
      <c r="AJ357" s="1086">
        <v>0</v>
      </c>
      <c r="AK357" s="1086"/>
      <c r="AL357" s="1086"/>
      <c r="AM357" s="1086"/>
      <c r="AN357" s="1086"/>
      <c r="AO357" s="1086"/>
      <c r="AP357" s="1086"/>
      <c r="AQ357" s="1086"/>
      <c r="AR357" s="1086"/>
      <c r="AS357" s="1086"/>
      <c r="AT357" s="1086"/>
      <c r="AU357" s="1092" t="s">
        <v>535</v>
      </c>
      <c r="AV357" s="1092"/>
      <c r="AW357" s="1092"/>
      <c r="AX357" s="1092"/>
      <c r="AY357" s="1092"/>
      <c r="AZ357" s="1092"/>
      <c r="BA357" s="1092"/>
      <c r="BB357" s="1092"/>
      <c r="BC357" s="1092" t="s">
        <v>535</v>
      </c>
      <c r="BD357" s="1092"/>
      <c r="BE357" s="1092"/>
      <c r="BF357" s="1092"/>
      <c r="BG357" s="1092" t="s">
        <v>535</v>
      </c>
      <c r="BH357" s="1092"/>
      <c r="BI357" s="1092"/>
      <c r="BJ357" s="1092"/>
      <c r="BK357" s="1092" t="s">
        <v>535</v>
      </c>
      <c r="BL357" s="1092"/>
      <c r="BM357" s="1092"/>
      <c r="BN357" s="1092"/>
      <c r="BO357" s="1092"/>
    </row>
    <row r="358" spans="1:67" ht="26" customHeight="1" x14ac:dyDescent="0.2">
      <c r="A358" s="1107" t="s">
        <v>728</v>
      </c>
      <c r="B358" s="1087"/>
      <c r="C358" s="1087"/>
      <c r="D358" s="1087"/>
      <c r="E358" s="1087"/>
      <c r="F358" s="1087"/>
      <c r="G358" s="1087"/>
      <c r="H358" s="1087"/>
      <c r="I358" s="1087"/>
      <c r="J358" s="1087"/>
      <c r="K358" s="1087"/>
      <c r="L358" s="1087"/>
      <c r="M358" s="1087"/>
      <c r="N358" s="1087"/>
      <c r="O358" s="1087"/>
      <c r="P358" s="1087"/>
      <c r="Q358" s="1087"/>
      <c r="R358" s="1108"/>
      <c r="S358" s="1106">
        <v>0</v>
      </c>
      <c r="T358" s="1086"/>
      <c r="U358" s="1086"/>
      <c r="V358" s="1086"/>
      <c r="W358" s="1086"/>
      <c r="X358" s="1086">
        <v>0</v>
      </c>
      <c r="Y358" s="1086"/>
      <c r="Z358" s="1086"/>
      <c r="AA358" s="1086"/>
      <c r="AB358" s="1086"/>
      <c r="AC358" s="1086"/>
      <c r="AD358" s="1086">
        <v>0</v>
      </c>
      <c r="AE358" s="1086"/>
      <c r="AF358" s="1086"/>
      <c r="AG358" s="1086"/>
      <c r="AH358" s="1086"/>
      <c r="AI358" s="1086"/>
      <c r="AJ358" s="1086">
        <v>0</v>
      </c>
      <c r="AK358" s="1086"/>
      <c r="AL358" s="1086"/>
      <c r="AM358" s="1086"/>
      <c r="AN358" s="1086"/>
      <c r="AO358" s="1086"/>
      <c r="AP358" s="1086"/>
      <c r="AQ358" s="1086"/>
      <c r="AR358" s="1086"/>
      <c r="AS358" s="1086"/>
      <c r="AT358" s="1086"/>
      <c r="AU358" s="1086">
        <v>0</v>
      </c>
      <c r="AV358" s="1086"/>
      <c r="AW358" s="1086"/>
      <c r="AX358" s="1086"/>
      <c r="AY358" s="1086"/>
      <c r="AZ358" s="1086"/>
      <c r="BA358" s="1086"/>
      <c r="BB358" s="1086"/>
      <c r="BC358" s="1086">
        <v>0</v>
      </c>
      <c r="BD358" s="1086"/>
      <c r="BE358" s="1086"/>
      <c r="BF358" s="1086"/>
      <c r="BG358" s="1086">
        <v>0</v>
      </c>
      <c r="BH358" s="1086"/>
      <c r="BI358" s="1086"/>
      <c r="BJ358" s="1086"/>
      <c r="BK358" s="1086">
        <v>0</v>
      </c>
      <c r="BL358" s="1086"/>
      <c r="BM358" s="1086"/>
      <c r="BN358" s="1086"/>
      <c r="BO358" s="1086"/>
    </row>
    <row r="359" spans="1:67" ht="13.5" customHeight="1" x14ac:dyDescent="0.2">
      <c r="A359" s="1107" t="s">
        <v>734</v>
      </c>
      <c r="B359" s="1087"/>
      <c r="C359" s="1087"/>
      <c r="D359" s="1087"/>
      <c r="E359" s="1087"/>
      <c r="F359" s="1087"/>
      <c r="G359" s="1087"/>
      <c r="H359" s="1087"/>
      <c r="I359" s="1087"/>
      <c r="J359" s="1087"/>
      <c r="K359" s="1087"/>
      <c r="L359" s="1087"/>
      <c r="M359" s="1087"/>
      <c r="N359" s="1087"/>
      <c r="O359" s="1087"/>
      <c r="P359" s="1087"/>
      <c r="Q359" s="1087"/>
      <c r="R359" s="1108"/>
      <c r="S359" s="1106">
        <v>503404</v>
      </c>
      <c r="T359" s="1086"/>
      <c r="U359" s="1086"/>
      <c r="V359" s="1086"/>
      <c r="W359" s="1086"/>
      <c r="X359" s="1086">
        <v>528343</v>
      </c>
      <c r="Y359" s="1086"/>
      <c r="Z359" s="1086"/>
      <c r="AA359" s="1086"/>
      <c r="AB359" s="1086"/>
      <c r="AC359" s="1086"/>
      <c r="AD359" s="1086">
        <v>253674</v>
      </c>
      <c r="AE359" s="1086"/>
      <c r="AF359" s="1086"/>
      <c r="AG359" s="1086"/>
      <c r="AH359" s="1086"/>
      <c r="AI359" s="1086"/>
      <c r="AJ359" s="1086">
        <v>207408</v>
      </c>
      <c r="AK359" s="1086"/>
      <c r="AL359" s="1086"/>
      <c r="AM359" s="1086"/>
      <c r="AN359" s="1086"/>
      <c r="AO359" s="1086"/>
      <c r="AP359" s="1086"/>
      <c r="AQ359" s="1086"/>
      <c r="AR359" s="1086"/>
      <c r="AS359" s="1086"/>
      <c r="AT359" s="1086"/>
      <c r="AU359" s="1086">
        <v>159160</v>
      </c>
      <c r="AV359" s="1086"/>
      <c r="AW359" s="1086"/>
      <c r="AX359" s="1086"/>
      <c r="AY359" s="1086"/>
      <c r="AZ359" s="1086"/>
      <c r="BA359" s="1086"/>
      <c r="BB359" s="1086"/>
      <c r="BC359" s="1086">
        <v>102930</v>
      </c>
      <c r="BD359" s="1086"/>
      <c r="BE359" s="1086"/>
      <c r="BF359" s="1086"/>
      <c r="BG359" s="1086">
        <v>102001</v>
      </c>
      <c r="BH359" s="1086"/>
      <c r="BI359" s="1086"/>
      <c r="BJ359" s="1086"/>
      <c r="BK359" s="1086">
        <v>102507</v>
      </c>
      <c r="BL359" s="1086"/>
      <c r="BM359" s="1086"/>
      <c r="BN359" s="1086"/>
      <c r="BO359" s="1086"/>
    </row>
    <row r="360" spans="1:67" ht="26" customHeight="1" x14ac:dyDescent="0.2">
      <c r="A360" s="1107" t="s">
        <v>735</v>
      </c>
      <c r="B360" s="1087"/>
      <c r="C360" s="1087"/>
      <c r="D360" s="1087"/>
      <c r="E360" s="1087"/>
      <c r="F360" s="1087"/>
      <c r="G360" s="1087"/>
      <c r="H360" s="1087"/>
      <c r="I360" s="1087"/>
      <c r="J360" s="1087"/>
      <c r="K360" s="1087"/>
      <c r="L360" s="1087"/>
      <c r="M360" s="1087"/>
      <c r="N360" s="1087"/>
      <c r="O360" s="1087"/>
      <c r="P360" s="1087"/>
      <c r="Q360" s="1087"/>
      <c r="R360" s="1108"/>
      <c r="S360" s="1106">
        <v>0</v>
      </c>
      <c r="T360" s="1086"/>
      <c r="U360" s="1086"/>
      <c r="V360" s="1086"/>
      <c r="W360" s="1086"/>
      <c r="X360" s="1086">
        <v>0</v>
      </c>
      <c r="Y360" s="1086"/>
      <c r="Z360" s="1086"/>
      <c r="AA360" s="1086"/>
      <c r="AB360" s="1086"/>
      <c r="AC360" s="1086"/>
      <c r="AD360" s="1086">
        <v>0</v>
      </c>
      <c r="AE360" s="1086"/>
      <c r="AF360" s="1086"/>
      <c r="AG360" s="1086"/>
      <c r="AH360" s="1086"/>
      <c r="AI360" s="1086"/>
      <c r="AJ360" s="1086">
        <v>0</v>
      </c>
      <c r="AK360" s="1086"/>
      <c r="AL360" s="1086"/>
      <c r="AM360" s="1086"/>
      <c r="AN360" s="1086"/>
      <c r="AO360" s="1086"/>
      <c r="AP360" s="1086"/>
      <c r="AQ360" s="1086"/>
      <c r="AR360" s="1086"/>
      <c r="AS360" s="1086"/>
      <c r="AT360" s="1086"/>
      <c r="AU360" s="1092" t="s">
        <v>535</v>
      </c>
      <c r="AV360" s="1092"/>
      <c r="AW360" s="1092"/>
      <c r="AX360" s="1092"/>
      <c r="AY360" s="1092"/>
      <c r="AZ360" s="1092"/>
      <c r="BA360" s="1092"/>
      <c r="BB360" s="1092"/>
      <c r="BC360" s="1092" t="s">
        <v>535</v>
      </c>
      <c r="BD360" s="1092"/>
      <c r="BE360" s="1092"/>
      <c r="BF360" s="1092"/>
      <c r="BG360" s="1092" t="s">
        <v>535</v>
      </c>
      <c r="BH360" s="1092"/>
      <c r="BI360" s="1092"/>
      <c r="BJ360" s="1092"/>
      <c r="BK360" s="1092" t="s">
        <v>535</v>
      </c>
      <c r="BL360" s="1092"/>
      <c r="BM360" s="1092"/>
      <c r="BN360" s="1092"/>
      <c r="BO360" s="1092"/>
    </row>
    <row r="361" spans="1:67" ht="26" customHeight="1" x14ac:dyDescent="0.2">
      <c r="A361" s="1107" t="s">
        <v>724</v>
      </c>
      <c r="B361" s="1087"/>
      <c r="C361" s="1087"/>
      <c r="D361" s="1087"/>
      <c r="E361" s="1087"/>
      <c r="F361" s="1087"/>
      <c r="G361" s="1087"/>
      <c r="H361" s="1087"/>
      <c r="I361" s="1087"/>
      <c r="J361" s="1087"/>
      <c r="K361" s="1087"/>
      <c r="L361" s="1087"/>
      <c r="M361" s="1087"/>
      <c r="N361" s="1087"/>
      <c r="O361" s="1087"/>
      <c r="P361" s="1087"/>
      <c r="Q361" s="1087"/>
      <c r="R361" s="1108"/>
      <c r="S361" s="1106">
        <v>0</v>
      </c>
      <c r="T361" s="1086"/>
      <c r="U361" s="1086"/>
      <c r="V361" s="1086"/>
      <c r="W361" s="1086"/>
      <c r="X361" s="1086">
        <v>0</v>
      </c>
      <c r="Y361" s="1086"/>
      <c r="Z361" s="1086"/>
      <c r="AA361" s="1086"/>
      <c r="AB361" s="1086"/>
      <c r="AC361" s="1086"/>
      <c r="AD361" s="1086">
        <v>0</v>
      </c>
      <c r="AE361" s="1086"/>
      <c r="AF361" s="1086"/>
      <c r="AG361" s="1086"/>
      <c r="AH361" s="1086"/>
      <c r="AI361" s="1086"/>
      <c r="AJ361" s="1086">
        <v>0</v>
      </c>
      <c r="AK361" s="1086"/>
      <c r="AL361" s="1086"/>
      <c r="AM361" s="1086"/>
      <c r="AN361" s="1086"/>
      <c r="AO361" s="1086"/>
      <c r="AP361" s="1086"/>
      <c r="AQ361" s="1086"/>
      <c r="AR361" s="1086"/>
      <c r="AS361" s="1086"/>
      <c r="AT361" s="1086"/>
      <c r="AU361" s="1086">
        <v>0</v>
      </c>
      <c r="AV361" s="1086"/>
      <c r="AW361" s="1086"/>
      <c r="AX361" s="1086"/>
      <c r="AY361" s="1086"/>
      <c r="AZ361" s="1086"/>
      <c r="BA361" s="1086"/>
      <c r="BB361" s="1086"/>
      <c r="BC361" s="1086">
        <v>0</v>
      </c>
      <c r="BD361" s="1086"/>
      <c r="BE361" s="1086"/>
      <c r="BF361" s="1086"/>
      <c r="BG361" s="1086">
        <v>0</v>
      </c>
      <c r="BH361" s="1086"/>
      <c r="BI361" s="1086"/>
      <c r="BJ361" s="1086"/>
      <c r="BK361" s="1086">
        <v>0</v>
      </c>
      <c r="BL361" s="1086"/>
      <c r="BM361" s="1086"/>
      <c r="BN361" s="1086"/>
      <c r="BO361" s="1086"/>
    </row>
    <row r="362" spans="1:67" ht="13.5" customHeight="1" x14ac:dyDescent="0.2">
      <c r="A362" s="1103" t="s">
        <v>736</v>
      </c>
      <c r="B362" s="1104"/>
      <c r="C362" s="1104"/>
      <c r="D362" s="1104"/>
      <c r="E362" s="1104"/>
      <c r="F362" s="1104"/>
      <c r="G362" s="1104"/>
      <c r="H362" s="1104"/>
      <c r="I362" s="1104"/>
      <c r="J362" s="1104"/>
      <c r="K362" s="1104"/>
      <c r="L362" s="1104"/>
      <c r="M362" s="1104"/>
      <c r="N362" s="1104"/>
      <c r="O362" s="1104"/>
      <c r="P362" s="1104"/>
      <c r="Q362" s="1104"/>
      <c r="R362" s="1105"/>
      <c r="S362" s="1106">
        <v>0</v>
      </c>
      <c r="T362" s="1086"/>
      <c r="U362" s="1086"/>
      <c r="V362" s="1086"/>
      <c r="W362" s="1086"/>
      <c r="X362" s="1086">
        <v>0</v>
      </c>
      <c r="Y362" s="1086"/>
      <c r="Z362" s="1086"/>
      <c r="AA362" s="1086"/>
      <c r="AB362" s="1086"/>
      <c r="AC362" s="1086"/>
      <c r="AD362" s="1086">
        <v>0</v>
      </c>
      <c r="AE362" s="1086"/>
      <c r="AF362" s="1086"/>
      <c r="AG362" s="1086"/>
      <c r="AH362" s="1086"/>
      <c r="AI362" s="1086"/>
      <c r="AJ362" s="1086">
        <v>0</v>
      </c>
      <c r="AK362" s="1086"/>
      <c r="AL362" s="1086"/>
      <c r="AM362" s="1086"/>
      <c r="AN362" s="1086"/>
      <c r="AO362" s="1086"/>
      <c r="AP362" s="1086"/>
      <c r="AQ362" s="1086"/>
      <c r="AR362" s="1086"/>
      <c r="AS362" s="1086"/>
      <c r="AT362" s="1086"/>
      <c r="AU362" s="1086">
        <v>0</v>
      </c>
      <c r="AV362" s="1086"/>
      <c r="AW362" s="1086"/>
      <c r="AX362" s="1086"/>
      <c r="AY362" s="1086"/>
      <c r="AZ362" s="1086"/>
      <c r="BA362" s="1086"/>
      <c r="BB362" s="1086"/>
      <c r="BC362" s="1086">
        <v>0</v>
      </c>
      <c r="BD362" s="1086"/>
      <c r="BE362" s="1086"/>
      <c r="BF362" s="1086"/>
      <c r="BG362" s="1086">
        <v>0</v>
      </c>
      <c r="BH362" s="1086"/>
      <c r="BI362" s="1086"/>
      <c r="BJ362" s="1086"/>
      <c r="BK362" s="1086">
        <v>0</v>
      </c>
      <c r="BL362" s="1086"/>
      <c r="BM362" s="1086"/>
      <c r="BN362" s="1086"/>
      <c r="BO362" s="1086"/>
    </row>
    <row r="363" spans="1:67" ht="13.5" customHeight="1" x14ac:dyDescent="0.2">
      <c r="A363" s="1113"/>
      <c r="B363" s="1113"/>
      <c r="C363" s="1113"/>
      <c r="D363" s="1113"/>
      <c r="E363" s="1113"/>
      <c r="F363" s="1113"/>
      <c r="G363" s="1113"/>
      <c r="H363" s="1113"/>
      <c r="I363" s="1113"/>
      <c r="J363" s="1113"/>
      <c r="K363" s="1113"/>
      <c r="L363" s="1113"/>
      <c r="M363" s="1113"/>
      <c r="N363" s="1113"/>
      <c r="O363" s="1113"/>
      <c r="P363" s="1113"/>
      <c r="Q363" s="1113"/>
      <c r="R363" s="1113"/>
      <c r="S363" s="1083"/>
      <c r="T363" s="1083"/>
      <c r="U363" s="1083"/>
      <c r="V363" s="1083"/>
      <c r="W363" s="1083"/>
      <c r="X363" s="1083"/>
      <c r="Y363" s="1083"/>
      <c r="Z363" s="1083"/>
      <c r="AA363" s="1083"/>
      <c r="AB363" s="1083"/>
      <c r="AC363" s="1083"/>
      <c r="AD363" s="1083"/>
      <c r="AE363" s="1083"/>
      <c r="AF363" s="1083"/>
      <c r="AG363" s="1083"/>
      <c r="AH363" s="1083"/>
      <c r="AI363" s="1083"/>
      <c r="AJ363" s="1083"/>
      <c r="AK363" s="1083"/>
      <c r="AL363" s="1083"/>
      <c r="AM363" s="1083"/>
      <c r="AN363" s="1083"/>
      <c r="AO363" s="1083"/>
      <c r="AP363" s="1083"/>
      <c r="AQ363" s="1083"/>
      <c r="AR363" s="1083"/>
      <c r="AS363" s="1083"/>
      <c r="AT363" s="1083"/>
      <c r="AU363" s="1083"/>
      <c r="AV363" s="1083"/>
      <c r="AW363" s="1083"/>
      <c r="AX363" s="1083"/>
      <c r="AY363" s="1083"/>
      <c r="AZ363" s="1083"/>
      <c r="BA363" s="1083"/>
      <c r="BB363" s="1083"/>
      <c r="BC363" s="1083"/>
      <c r="BD363" s="1083"/>
      <c r="BE363" s="1083"/>
      <c r="BF363" s="1083"/>
      <c r="BG363" s="1083"/>
      <c r="BH363" s="1083"/>
      <c r="BI363" s="1083"/>
      <c r="BJ363" s="1083"/>
      <c r="BK363" s="1083"/>
      <c r="BL363" s="1083"/>
      <c r="BM363" s="1083"/>
      <c r="BN363" s="1083"/>
      <c r="BO363" s="1083"/>
    </row>
    <row r="364" spans="1:67" ht="13.5" customHeight="1" x14ac:dyDescent="0.2">
      <c r="A364" s="1110" t="s">
        <v>737</v>
      </c>
      <c r="B364" s="1111"/>
      <c r="C364" s="1111"/>
      <c r="D364" s="1111"/>
      <c r="E364" s="1111"/>
      <c r="F364" s="1111"/>
      <c r="G364" s="1111"/>
      <c r="H364" s="1111"/>
      <c r="I364" s="1111"/>
      <c r="J364" s="1111"/>
      <c r="K364" s="1111"/>
      <c r="L364" s="1111"/>
      <c r="M364" s="1111"/>
      <c r="N364" s="1111"/>
      <c r="O364" s="1111"/>
      <c r="P364" s="1111"/>
      <c r="Q364" s="1111"/>
      <c r="R364" s="1112"/>
      <c r="S364" s="1106">
        <v>0</v>
      </c>
      <c r="T364" s="1086"/>
      <c r="U364" s="1086"/>
      <c r="V364" s="1086"/>
      <c r="W364" s="1086"/>
      <c r="X364" s="1086">
        <v>0</v>
      </c>
      <c r="Y364" s="1086"/>
      <c r="Z364" s="1086"/>
      <c r="AA364" s="1086"/>
      <c r="AB364" s="1086"/>
      <c r="AC364" s="1086"/>
      <c r="AD364" s="1086">
        <v>0</v>
      </c>
      <c r="AE364" s="1086"/>
      <c r="AF364" s="1086"/>
      <c r="AG364" s="1086"/>
      <c r="AH364" s="1086"/>
      <c r="AI364" s="1086"/>
      <c r="AJ364" s="1086">
        <v>0</v>
      </c>
      <c r="AK364" s="1086"/>
      <c r="AL364" s="1086"/>
      <c r="AM364" s="1086"/>
      <c r="AN364" s="1086"/>
      <c r="AO364" s="1086"/>
      <c r="AP364" s="1086"/>
      <c r="AQ364" s="1086"/>
      <c r="AR364" s="1086"/>
      <c r="AS364" s="1086"/>
      <c r="AT364" s="1086"/>
      <c r="AU364" s="1086">
        <v>0</v>
      </c>
      <c r="AV364" s="1086"/>
      <c r="AW364" s="1086"/>
      <c r="AX364" s="1086"/>
      <c r="AY364" s="1086"/>
      <c r="AZ364" s="1086"/>
      <c r="BA364" s="1086"/>
      <c r="BB364" s="1086"/>
      <c r="BC364" s="1086">
        <v>0</v>
      </c>
      <c r="BD364" s="1086"/>
      <c r="BE364" s="1086"/>
      <c r="BF364" s="1086"/>
      <c r="BG364" s="1086">
        <v>0</v>
      </c>
      <c r="BH364" s="1086"/>
      <c r="BI364" s="1086"/>
      <c r="BJ364" s="1086"/>
      <c r="BK364" s="1086">
        <v>0</v>
      </c>
      <c r="BL364" s="1086"/>
      <c r="BM364" s="1086"/>
      <c r="BN364" s="1086"/>
      <c r="BO364" s="1086"/>
    </row>
    <row r="365" spans="1:67" ht="13.5" customHeight="1" x14ac:dyDescent="0.2">
      <c r="A365" s="1107" t="s">
        <v>738</v>
      </c>
      <c r="B365" s="1087"/>
      <c r="C365" s="1087"/>
      <c r="D365" s="1087"/>
      <c r="E365" s="1087"/>
      <c r="F365" s="1087"/>
      <c r="G365" s="1087"/>
      <c r="H365" s="1087"/>
      <c r="I365" s="1087"/>
      <c r="J365" s="1087"/>
      <c r="K365" s="1087"/>
      <c r="L365" s="1087"/>
      <c r="M365" s="1087"/>
      <c r="N365" s="1087"/>
      <c r="O365" s="1087"/>
      <c r="P365" s="1087"/>
      <c r="Q365" s="1087"/>
      <c r="R365" s="1108"/>
      <c r="S365" s="1106">
        <v>0</v>
      </c>
      <c r="T365" s="1086"/>
      <c r="U365" s="1086"/>
      <c r="V365" s="1086"/>
      <c r="W365" s="1086"/>
      <c r="X365" s="1086">
        <v>0</v>
      </c>
      <c r="Y365" s="1086"/>
      <c r="Z365" s="1086"/>
      <c r="AA365" s="1086"/>
      <c r="AB365" s="1086"/>
      <c r="AC365" s="1086"/>
      <c r="AD365" s="1086">
        <v>0</v>
      </c>
      <c r="AE365" s="1086"/>
      <c r="AF365" s="1086"/>
      <c r="AG365" s="1086"/>
      <c r="AH365" s="1086"/>
      <c r="AI365" s="1086"/>
      <c r="AJ365" s="1086">
        <v>0</v>
      </c>
      <c r="AK365" s="1086"/>
      <c r="AL365" s="1086"/>
      <c r="AM365" s="1086"/>
      <c r="AN365" s="1086"/>
      <c r="AO365" s="1086"/>
      <c r="AP365" s="1086"/>
      <c r="AQ365" s="1086"/>
      <c r="AR365" s="1086"/>
      <c r="AS365" s="1086"/>
      <c r="AT365" s="1086"/>
      <c r="AU365" s="1086">
        <v>0</v>
      </c>
      <c r="AV365" s="1086"/>
      <c r="AW365" s="1086"/>
      <c r="AX365" s="1086"/>
      <c r="AY365" s="1086"/>
      <c r="AZ365" s="1086"/>
      <c r="BA365" s="1086"/>
      <c r="BB365" s="1086"/>
      <c r="BC365" s="1086">
        <v>0</v>
      </c>
      <c r="BD365" s="1086"/>
      <c r="BE365" s="1086"/>
      <c r="BF365" s="1086"/>
      <c r="BG365" s="1086">
        <v>0</v>
      </c>
      <c r="BH365" s="1086"/>
      <c r="BI365" s="1086"/>
      <c r="BJ365" s="1086"/>
      <c r="BK365" s="1086">
        <v>0</v>
      </c>
      <c r="BL365" s="1086"/>
      <c r="BM365" s="1086"/>
      <c r="BN365" s="1086"/>
      <c r="BO365" s="1086"/>
    </row>
    <row r="366" spans="1:67" ht="13.5" customHeight="1" x14ac:dyDescent="0.2">
      <c r="A366" s="1107" t="s">
        <v>739</v>
      </c>
      <c r="B366" s="1087"/>
      <c r="C366" s="1087"/>
      <c r="D366" s="1087"/>
      <c r="E366" s="1087"/>
      <c r="F366" s="1087"/>
      <c r="G366" s="1087"/>
      <c r="H366" s="1087"/>
      <c r="I366" s="1087"/>
      <c r="J366" s="1087"/>
      <c r="K366" s="1087"/>
      <c r="L366" s="1087"/>
      <c r="M366" s="1087"/>
      <c r="N366" s="1087"/>
      <c r="O366" s="1087"/>
      <c r="P366" s="1087"/>
      <c r="Q366" s="1087"/>
      <c r="R366" s="1108"/>
      <c r="S366" s="1106">
        <v>0</v>
      </c>
      <c r="T366" s="1086"/>
      <c r="U366" s="1086"/>
      <c r="V366" s="1086"/>
      <c r="W366" s="1086"/>
      <c r="X366" s="1086">
        <v>0</v>
      </c>
      <c r="Y366" s="1086"/>
      <c r="Z366" s="1086"/>
      <c r="AA366" s="1086"/>
      <c r="AB366" s="1086"/>
      <c r="AC366" s="1086"/>
      <c r="AD366" s="1086">
        <v>0</v>
      </c>
      <c r="AE366" s="1086"/>
      <c r="AF366" s="1086"/>
      <c r="AG366" s="1086"/>
      <c r="AH366" s="1086"/>
      <c r="AI366" s="1086"/>
      <c r="AJ366" s="1086">
        <v>0</v>
      </c>
      <c r="AK366" s="1086"/>
      <c r="AL366" s="1086"/>
      <c r="AM366" s="1086"/>
      <c r="AN366" s="1086"/>
      <c r="AO366" s="1086"/>
      <c r="AP366" s="1086"/>
      <c r="AQ366" s="1086"/>
      <c r="AR366" s="1086"/>
      <c r="AS366" s="1086"/>
      <c r="AT366" s="1086"/>
      <c r="AU366" s="1086">
        <v>0</v>
      </c>
      <c r="AV366" s="1086"/>
      <c r="AW366" s="1086"/>
      <c r="AX366" s="1086"/>
      <c r="AY366" s="1086"/>
      <c r="AZ366" s="1086"/>
      <c r="BA366" s="1086"/>
      <c r="BB366" s="1086"/>
      <c r="BC366" s="1086">
        <v>0</v>
      </c>
      <c r="BD366" s="1086"/>
      <c r="BE366" s="1086"/>
      <c r="BF366" s="1086"/>
      <c r="BG366" s="1086">
        <v>0</v>
      </c>
      <c r="BH366" s="1086"/>
      <c r="BI366" s="1086"/>
      <c r="BJ366" s="1086"/>
      <c r="BK366" s="1086">
        <v>0</v>
      </c>
      <c r="BL366" s="1086"/>
      <c r="BM366" s="1086"/>
      <c r="BN366" s="1086"/>
      <c r="BO366" s="1086"/>
    </row>
    <row r="367" spans="1:67" ht="13.5" customHeight="1" x14ac:dyDescent="0.2">
      <c r="A367" s="1107" t="s">
        <v>740</v>
      </c>
      <c r="B367" s="1087"/>
      <c r="C367" s="1087"/>
      <c r="D367" s="1087"/>
      <c r="E367" s="1087"/>
      <c r="F367" s="1087"/>
      <c r="G367" s="1087"/>
      <c r="H367" s="1087"/>
      <c r="I367" s="1087"/>
      <c r="J367" s="1087"/>
      <c r="K367" s="1087"/>
      <c r="L367" s="1087"/>
      <c r="M367" s="1087"/>
      <c r="N367" s="1087"/>
      <c r="O367" s="1087"/>
      <c r="P367" s="1087"/>
      <c r="Q367" s="1087"/>
      <c r="R367" s="1108"/>
      <c r="S367" s="1106">
        <v>0</v>
      </c>
      <c r="T367" s="1086"/>
      <c r="U367" s="1086"/>
      <c r="V367" s="1086"/>
      <c r="W367" s="1086"/>
      <c r="X367" s="1086">
        <v>0</v>
      </c>
      <c r="Y367" s="1086"/>
      <c r="Z367" s="1086"/>
      <c r="AA367" s="1086"/>
      <c r="AB367" s="1086"/>
      <c r="AC367" s="1086"/>
      <c r="AD367" s="1086">
        <v>0</v>
      </c>
      <c r="AE367" s="1086"/>
      <c r="AF367" s="1086"/>
      <c r="AG367" s="1086"/>
      <c r="AH367" s="1086"/>
      <c r="AI367" s="1086"/>
      <c r="AJ367" s="1086">
        <v>0</v>
      </c>
      <c r="AK367" s="1086"/>
      <c r="AL367" s="1086"/>
      <c r="AM367" s="1086"/>
      <c r="AN367" s="1086"/>
      <c r="AO367" s="1086"/>
      <c r="AP367" s="1086"/>
      <c r="AQ367" s="1086"/>
      <c r="AR367" s="1086"/>
      <c r="AS367" s="1086"/>
      <c r="AT367" s="1086"/>
      <c r="AU367" s="1086">
        <v>0</v>
      </c>
      <c r="AV367" s="1086"/>
      <c r="AW367" s="1086"/>
      <c r="AX367" s="1086"/>
      <c r="AY367" s="1086"/>
      <c r="AZ367" s="1086"/>
      <c r="BA367" s="1086"/>
      <c r="BB367" s="1086"/>
      <c r="BC367" s="1086">
        <v>0</v>
      </c>
      <c r="BD367" s="1086"/>
      <c r="BE367" s="1086"/>
      <c r="BF367" s="1086"/>
      <c r="BG367" s="1086">
        <v>0</v>
      </c>
      <c r="BH367" s="1086"/>
      <c r="BI367" s="1086"/>
      <c r="BJ367" s="1086"/>
      <c r="BK367" s="1086">
        <v>0</v>
      </c>
      <c r="BL367" s="1086"/>
      <c r="BM367" s="1086"/>
      <c r="BN367" s="1086"/>
      <c r="BO367" s="1086"/>
    </row>
    <row r="368" spans="1:67" ht="13.5" customHeight="1" x14ac:dyDescent="0.2">
      <c r="A368" s="1107" t="s">
        <v>741</v>
      </c>
      <c r="B368" s="1087"/>
      <c r="C368" s="1087"/>
      <c r="D368" s="1087"/>
      <c r="E368" s="1087"/>
      <c r="F368" s="1087"/>
      <c r="G368" s="1087"/>
      <c r="H368" s="1087"/>
      <c r="I368" s="1087"/>
      <c r="J368" s="1087"/>
      <c r="K368" s="1087"/>
      <c r="L368" s="1087"/>
      <c r="M368" s="1087"/>
      <c r="N368" s="1087"/>
      <c r="O368" s="1087"/>
      <c r="P368" s="1087"/>
      <c r="Q368" s="1087"/>
      <c r="R368" s="1108"/>
      <c r="S368" s="1106">
        <v>0</v>
      </c>
      <c r="T368" s="1086"/>
      <c r="U368" s="1086"/>
      <c r="V368" s="1086"/>
      <c r="W368" s="1086"/>
      <c r="X368" s="1086">
        <v>0</v>
      </c>
      <c r="Y368" s="1086"/>
      <c r="Z368" s="1086"/>
      <c r="AA368" s="1086"/>
      <c r="AB368" s="1086"/>
      <c r="AC368" s="1086"/>
      <c r="AD368" s="1086">
        <v>0</v>
      </c>
      <c r="AE368" s="1086"/>
      <c r="AF368" s="1086"/>
      <c r="AG368" s="1086"/>
      <c r="AH368" s="1086"/>
      <c r="AI368" s="1086"/>
      <c r="AJ368" s="1086">
        <v>0</v>
      </c>
      <c r="AK368" s="1086"/>
      <c r="AL368" s="1086"/>
      <c r="AM368" s="1086"/>
      <c r="AN368" s="1086"/>
      <c r="AO368" s="1086"/>
      <c r="AP368" s="1086"/>
      <c r="AQ368" s="1086"/>
      <c r="AR368" s="1086"/>
      <c r="AS368" s="1086"/>
      <c r="AT368" s="1086"/>
      <c r="AU368" s="1086">
        <v>0</v>
      </c>
      <c r="AV368" s="1086"/>
      <c r="AW368" s="1086"/>
      <c r="AX368" s="1086"/>
      <c r="AY368" s="1086"/>
      <c r="AZ368" s="1086"/>
      <c r="BA368" s="1086"/>
      <c r="BB368" s="1086"/>
      <c r="BC368" s="1086">
        <v>0</v>
      </c>
      <c r="BD368" s="1086"/>
      <c r="BE368" s="1086"/>
      <c r="BF368" s="1086"/>
      <c r="BG368" s="1086">
        <v>0</v>
      </c>
      <c r="BH368" s="1086"/>
      <c r="BI368" s="1086"/>
      <c r="BJ368" s="1086"/>
      <c r="BK368" s="1086">
        <v>0</v>
      </c>
      <c r="BL368" s="1086"/>
      <c r="BM368" s="1086"/>
      <c r="BN368" s="1086"/>
      <c r="BO368" s="1086"/>
    </row>
    <row r="369" spans="1:67" ht="13.5" customHeight="1" x14ac:dyDescent="0.2">
      <c r="A369" s="1107" t="s">
        <v>742</v>
      </c>
      <c r="B369" s="1087"/>
      <c r="C369" s="1087"/>
      <c r="D369" s="1087"/>
      <c r="E369" s="1087"/>
      <c r="F369" s="1087"/>
      <c r="G369" s="1087"/>
      <c r="H369" s="1087"/>
      <c r="I369" s="1087"/>
      <c r="J369" s="1087"/>
      <c r="K369" s="1087"/>
      <c r="L369" s="1087"/>
      <c r="M369" s="1087"/>
      <c r="N369" s="1087"/>
      <c r="O369" s="1087"/>
      <c r="P369" s="1087"/>
      <c r="Q369" s="1087"/>
      <c r="R369" s="1108"/>
      <c r="S369" s="1106">
        <v>0</v>
      </c>
      <c r="T369" s="1086"/>
      <c r="U369" s="1086"/>
      <c r="V369" s="1086"/>
      <c r="W369" s="1086"/>
      <c r="X369" s="1086">
        <v>0</v>
      </c>
      <c r="Y369" s="1086"/>
      <c r="Z369" s="1086"/>
      <c r="AA369" s="1086"/>
      <c r="AB369" s="1086"/>
      <c r="AC369" s="1086"/>
      <c r="AD369" s="1086">
        <v>0</v>
      </c>
      <c r="AE369" s="1086"/>
      <c r="AF369" s="1086"/>
      <c r="AG369" s="1086"/>
      <c r="AH369" s="1086"/>
      <c r="AI369" s="1086"/>
      <c r="AJ369" s="1086">
        <v>0</v>
      </c>
      <c r="AK369" s="1086"/>
      <c r="AL369" s="1086"/>
      <c r="AM369" s="1086"/>
      <c r="AN369" s="1086"/>
      <c r="AO369" s="1086"/>
      <c r="AP369" s="1086"/>
      <c r="AQ369" s="1086"/>
      <c r="AR369" s="1086"/>
      <c r="AS369" s="1086"/>
      <c r="AT369" s="1086"/>
      <c r="AU369" s="1086">
        <v>0</v>
      </c>
      <c r="AV369" s="1086"/>
      <c r="AW369" s="1086"/>
      <c r="AX369" s="1086"/>
      <c r="AY369" s="1086"/>
      <c r="AZ369" s="1086"/>
      <c r="BA369" s="1086"/>
      <c r="BB369" s="1086"/>
      <c r="BC369" s="1086">
        <v>0</v>
      </c>
      <c r="BD369" s="1086"/>
      <c r="BE369" s="1086"/>
      <c r="BF369" s="1086"/>
      <c r="BG369" s="1086">
        <v>0</v>
      </c>
      <c r="BH369" s="1086"/>
      <c r="BI369" s="1086"/>
      <c r="BJ369" s="1086"/>
      <c r="BK369" s="1086">
        <v>0</v>
      </c>
      <c r="BL369" s="1086"/>
      <c r="BM369" s="1086"/>
      <c r="BN369" s="1086"/>
      <c r="BO369" s="1086"/>
    </row>
    <row r="370" spans="1:67" ht="26" customHeight="1" x14ac:dyDescent="0.2">
      <c r="A370" s="1107" t="s">
        <v>743</v>
      </c>
      <c r="B370" s="1087"/>
      <c r="C370" s="1087"/>
      <c r="D370" s="1087"/>
      <c r="E370" s="1087"/>
      <c r="F370" s="1087"/>
      <c r="G370" s="1087"/>
      <c r="H370" s="1087"/>
      <c r="I370" s="1087"/>
      <c r="J370" s="1087"/>
      <c r="K370" s="1087"/>
      <c r="L370" s="1087"/>
      <c r="M370" s="1087"/>
      <c r="N370" s="1087"/>
      <c r="O370" s="1087"/>
      <c r="P370" s="1087"/>
      <c r="Q370" s="1087"/>
      <c r="R370" s="1108"/>
      <c r="S370" s="1106">
        <v>0</v>
      </c>
      <c r="T370" s="1086"/>
      <c r="U370" s="1086"/>
      <c r="V370" s="1086"/>
      <c r="W370" s="1086"/>
      <c r="X370" s="1086">
        <v>0</v>
      </c>
      <c r="Y370" s="1086"/>
      <c r="Z370" s="1086"/>
      <c r="AA370" s="1086"/>
      <c r="AB370" s="1086"/>
      <c r="AC370" s="1086"/>
      <c r="AD370" s="1086">
        <v>0</v>
      </c>
      <c r="AE370" s="1086"/>
      <c r="AF370" s="1086"/>
      <c r="AG370" s="1086"/>
      <c r="AH370" s="1086"/>
      <c r="AI370" s="1086"/>
      <c r="AJ370" s="1086">
        <v>0</v>
      </c>
      <c r="AK370" s="1086"/>
      <c r="AL370" s="1086"/>
      <c r="AM370" s="1086"/>
      <c r="AN370" s="1086"/>
      <c r="AO370" s="1086"/>
      <c r="AP370" s="1086"/>
      <c r="AQ370" s="1086"/>
      <c r="AR370" s="1086"/>
      <c r="AS370" s="1086"/>
      <c r="AT370" s="1086"/>
      <c r="AU370" s="1086">
        <v>0</v>
      </c>
      <c r="AV370" s="1086"/>
      <c r="AW370" s="1086"/>
      <c r="AX370" s="1086"/>
      <c r="AY370" s="1086"/>
      <c r="AZ370" s="1086"/>
      <c r="BA370" s="1086"/>
      <c r="BB370" s="1086"/>
      <c r="BC370" s="1086">
        <v>0</v>
      </c>
      <c r="BD370" s="1086"/>
      <c r="BE370" s="1086"/>
      <c r="BF370" s="1086"/>
      <c r="BG370" s="1086">
        <v>0</v>
      </c>
      <c r="BH370" s="1086"/>
      <c r="BI370" s="1086"/>
      <c r="BJ370" s="1086"/>
      <c r="BK370" s="1086">
        <v>0</v>
      </c>
      <c r="BL370" s="1086"/>
      <c r="BM370" s="1086"/>
      <c r="BN370" s="1086"/>
      <c r="BO370" s="1086"/>
    </row>
    <row r="371" spans="1:67" ht="13.5" customHeight="1" x14ac:dyDescent="0.2">
      <c r="A371" s="1107" t="s">
        <v>744</v>
      </c>
      <c r="B371" s="1087"/>
      <c r="C371" s="1087"/>
      <c r="D371" s="1087"/>
      <c r="E371" s="1087"/>
      <c r="F371" s="1087"/>
      <c r="G371" s="1087"/>
      <c r="H371" s="1087"/>
      <c r="I371" s="1087"/>
      <c r="J371" s="1087"/>
      <c r="K371" s="1087"/>
      <c r="L371" s="1087"/>
      <c r="M371" s="1087"/>
      <c r="N371" s="1087"/>
      <c r="O371" s="1087"/>
      <c r="P371" s="1087"/>
      <c r="Q371" s="1087"/>
      <c r="R371" s="1108"/>
      <c r="S371" s="1106">
        <v>0</v>
      </c>
      <c r="T371" s="1086"/>
      <c r="U371" s="1086"/>
      <c r="V371" s="1086"/>
      <c r="W371" s="1086"/>
      <c r="X371" s="1086">
        <v>0</v>
      </c>
      <c r="Y371" s="1086"/>
      <c r="Z371" s="1086"/>
      <c r="AA371" s="1086"/>
      <c r="AB371" s="1086"/>
      <c r="AC371" s="1086"/>
      <c r="AD371" s="1086">
        <v>0</v>
      </c>
      <c r="AE371" s="1086"/>
      <c r="AF371" s="1086"/>
      <c r="AG371" s="1086"/>
      <c r="AH371" s="1086"/>
      <c r="AI371" s="1086"/>
      <c r="AJ371" s="1086">
        <v>0</v>
      </c>
      <c r="AK371" s="1086"/>
      <c r="AL371" s="1086"/>
      <c r="AM371" s="1086"/>
      <c r="AN371" s="1086"/>
      <c r="AO371" s="1086"/>
      <c r="AP371" s="1086"/>
      <c r="AQ371" s="1086"/>
      <c r="AR371" s="1086"/>
      <c r="AS371" s="1086"/>
      <c r="AT371" s="1086"/>
      <c r="AU371" s="1086">
        <v>0</v>
      </c>
      <c r="AV371" s="1086"/>
      <c r="AW371" s="1086"/>
      <c r="AX371" s="1086"/>
      <c r="AY371" s="1086"/>
      <c r="AZ371" s="1086"/>
      <c r="BA371" s="1086"/>
      <c r="BB371" s="1086"/>
      <c r="BC371" s="1086">
        <v>0</v>
      </c>
      <c r="BD371" s="1086"/>
      <c r="BE371" s="1086"/>
      <c r="BF371" s="1086"/>
      <c r="BG371" s="1086">
        <v>0</v>
      </c>
      <c r="BH371" s="1086"/>
      <c r="BI371" s="1086"/>
      <c r="BJ371" s="1086"/>
      <c r="BK371" s="1086">
        <v>0</v>
      </c>
      <c r="BL371" s="1086"/>
      <c r="BM371" s="1086"/>
      <c r="BN371" s="1086"/>
      <c r="BO371" s="1086"/>
    </row>
    <row r="372" spans="1:67" ht="13.5" customHeight="1" x14ac:dyDescent="0.2">
      <c r="A372" s="1107" t="s">
        <v>745</v>
      </c>
      <c r="B372" s="1087"/>
      <c r="C372" s="1087"/>
      <c r="D372" s="1087"/>
      <c r="E372" s="1087"/>
      <c r="F372" s="1087"/>
      <c r="G372" s="1087"/>
      <c r="H372" s="1087"/>
      <c r="I372" s="1087"/>
      <c r="J372" s="1087"/>
      <c r="K372" s="1087"/>
      <c r="L372" s="1087"/>
      <c r="M372" s="1087"/>
      <c r="N372" s="1087"/>
      <c r="O372" s="1087"/>
      <c r="P372" s="1087"/>
      <c r="Q372" s="1087"/>
      <c r="R372" s="1108"/>
      <c r="S372" s="1106">
        <v>0</v>
      </c>
      <c r="T372" s="1086"/>
      <c r="U372" s="1086"/>
      <c r="V372" s="1086"/>
      <c r="W372" s="1086"/>
      <c r="X372" s="1086">
        <v>0</v>
      </c>
      <c r="Y372" s="1086"/>
      <c r="Z372" s="1086"/>
      <c r="AA372" s="1086"/>
      <c r="AB372" s="1086"/>
      <c r="AC372" s="1086"/>
      <c r="AD372" s="1086">
        <v>0</v>
      </c>
      <c r="AE372" s="1086"/>
      <c r="AF372" s="1086"/>
      <c r="AG372" s="1086"/>
      <c r="AH372" s="1086"/>
      <c r="AI372" s="1086"/>
      <c r="AJ372" s="1086">
        <v>0</v>
      </c>
      <c r="AK372" s="1086"/>
      <c r="AL372" s="1086"/>
      <c r="AM372" s="1086"/>
      <c r="AN372" s="1086"/>
      <c r="AO372" s="1086"/>
      <c r="AP372" s="1086"/>
      <c r="AQ372" s="1086"/>
      <c r="AR372" s="1086"/>
      <c r="AS372" s="1086"/>
      <c r="AT372" s="1086"/>
      <c r="AU372" s="1086">
        <v>0</v>
      </c>
      <c r="AV372" s="1086"/>
      <c r="AW372" s="1086"/>
      <c r="AX372" s="1086"/>
      <c r="AY372" s="1086"/>
      <c r="AZ372" s="1086"/>
      <c r="BA372" s="1086"/>
      <c r="BB372" s="1086"/>
      <c r="BC372" s="1086">
        <v>0</v>
      </c>
      <c r="BD372" s="1086"/>
      <c r="BE372" s="1086"/>
      <c r="BF372" s="1086"/>
      <c r="BG372" s="1086">
        <v>0</v>
      </c>
      <c r="BH372" s="1086"/>
      <c r="BI372" s="1086"/>
      <c r="BJ372" s="1086"/>
      <c r="BK372" s="1086">
        <v>0</v>
      </c>
      <c r="BL372" s="1086"/>
      <c r="BM372" s="1086"/>
      <c r="BN372" s="1086"/>
      <c r="BO372" s="1086"/>
    </row>
    <row r="373" spans="1:67" ht="13.5" customHeight="1" x14ac:dyDescent="0.2">
      <c r="A373" s="1107" t="s">
        <v>746</v>
      </c>
      <c r="B373" s="1087"/>
      <c r="C373" s="1087"/>
      <c r="D373" s="1087"/>
      <c r="E373" s="1087"/>
      <c r="F373" s="1087"/>
      <c r="G373" s="1087"/>
      <c r="H373" s="1087"/>
      <c r="I373" s="1087"/>
      <c r="J373" s="1087"/>
      <c r="K373" s="1087"/>
      <c r="L373" s="1087"/>
      <c r="M373" s="1087"/>
      <c r="N373" s="1087"/>
      <c r="O373" s="1087"/>
      <c r="P373" s="1087"/>
      <c r="Q373" s="1087"/>
      <c r="R373" s="1108"/>
      <c r="S373" s="1106">
        <v>0</v>
      </c>
      <c r="T373" s="1086"/>
      <c r="U373" s="1086"/>
      <c r="V373" s="1086"/>
      <c r="W373" s="1086"/>
      <c r="X373" s="1086">
        <v>0</v>
      </c>
      <c r="Y373" s="1086"/>
      <c r="Z373" s="1086"/>
      <c r="AA373" s="1086"/>
      <c r="AB373" s="1086"/>
      <c r="AC373" s="1086"/>
      <c r="AD373" s="1086">
        <v>0</v>
      </c>
      <c r="AE373" s="1086"/>
      <c r="AF373" s="1086"/>
      <c r="AG373" s="1086"/>
      <c r="AH373" s="1086"/>
      <c r="AI373" s="1086"/>
      <c r="AJ373" s="1086">
        <v>0</v>
      </c>
      <c r="AK373" s="1086"/>
      <c r="AL373" s="1086"/>
      <c r="AM373" s="1086"/>
      <c r="AN373" s="1086"/>
      <c r="AO373" s="1086"/>
      <c r="AP373" s="1086"/>
      <c r="AQ373" s="1086"/>
      <c r="AR373" s="1086"/>
      <c r="AS373" s="1086"/>
      <c r="AT373" s="1086"/>
      <c r="AU373" s="1086">
        <v>0</v>
      </c>
      <c r="AV373" s="1086"/>
      <c r="AW373" s="1086"/>
      <c r="AX373" s="1086"/>
      <c r="AY373" s="1086"/>
      <c r="AZ373" s="1086"/>
      <c r="BA373" s="1086"/>
      <c r="BB373" s="1086"/>
      <c r="BC373" s="1086">
        <v>0</v>
      </c>
      <c r="BD373" s="1086"/>
      <c r="BE373" s="1086"/>
      <c r="BF373" s="1086"/>
      <c r="BG373" s="1086">
        <v>0</v>
      </c>
      <c r="BH373" s="1086"/>
      <c r="BI373" s="1086"/>
      <c r="BJ373" s="1086"/>
      <c r="BK373" s="1086">
        <v>0</v>
      </c>
      <c r="BL373" s="1086"/>
      <c r="BM373" s="1086"/>
      <c r="BN373" s="1086"/>
      <c r="BO373" s="1086"/>
    </row>
    <row r="374" spans="1:67" ht="13.5" customHeight="1" x14ac:dyDescent="0.2">
      <c r="A374" s="1107" t="s">
        <v>747</v>
      </c>
      <c r="B374" s="1087"/>
      <c r="C374" s="1087"/>
      <c r="D374" s="1087"/>
      <c r="E374" s="1087"/>
      <c r="F374" s="1087"/>
      <c r="G374" s="1087"/>
      <c r="H374" s="1087"/>
      <c r="I374" s="1087"/>
      <c r="J374" s="1087"/>
      <c r="K374" s="1087"/>
      <c r="L374" s="1087"/>
      <c r="M374" s="1087"/>
      <c r="N374" s="1087"/>
      <c r="O374" s="1087"/>
      <c r="P374" s="1087"/>
      <c r="Q374" s="1087"/>
      <c r="R374" s="1108"/>
      <c r="S374" s="1106">
        <v>0</v>
      </c>
      <c r="T374" s="1086"/>
      <c r="U374" s="1086"/>
      <c r="V374" s="1086"/>
      <c r="W374" s="1086"/>
      <c r="X374" s="1086">
        <v>0</v>
      </c>
      <c r="Y374" s="1086"/>
      <c r="Z374" s="1086"/>
      <c r="AA374" s="1086"/>
      <c r="AB374" s="1086"/>
      <c r="AC374" s="1086"/>
      <c r="AD374" s="1086">
        <v>0</v>
      </c>
      <c r="AE374" s="1086"/>
      <c r="AF374" s="1086"/>
      <c r="AG374" s="1086"/>
      <c r="AH374" s="1086"/>
      <c r="AI374" s="1086"/>
      <c r="AJ374" s="1086">
        <v>0</v>
      </c>
      <c r="AK374" s="1086"/>
      <c r="AL374" s="1086"/>
      <c r="AM374" s="1086"/>
      <c r="AN374" s="1086"/>
      <c r="AO374" s="1086"/>
      <c r="AP374" s="1086"/>
      <c r="AQ374" s="1086"/>
      <c r="AR374" s="1086"/>
      <c r="AS374" s="1086"/>
      <c r="AT374" s="1086"/>
      <c r="AU374" s="1086">
        <v>0</v>
      </c>
      <c r="AV374" s="1086"/>
      <c r="AW374" s="1086"/>
      <c r="AX374" s="1086"/>
      <c r="AY374" s="1086"/>
      <c r="AZ374" s="1086"/>
      <c r="BA374" s="1086"/>
      <c r="BB374" s="1086"/>
      <c r="BC374" s="1086">
        <v>0</v>
      </c>
      <c r="BD374" s="1086"/>
      <c r="BE374" s="1086"/>
      <c r="BF374" s="1086"/>
      <c r="BG374" s="1086">
        <v>0</v>
      </c>
      <c r="BH374" s="1086"/>
      <c r="BI374" s="1086"/>
      <c r="BJ374" s="1086"/>
      <c r="BK374" s="1086">
        <v>0</v>
      </c>
      <c r="BL374" s="1086"/>
      <c r="BM374" s="1086"/>
      <c r="BN374" s="1086"/>
      <c r="BO374" s="1086"/>
    </row>
    <row r="375" spans="1:67" ht="13.5" customHeight="1" x14ac:dyDescent="0.2">
      <c r="A375" s="1107" t="s">
        <v>748</v>
      </c>
      <c r="B375" s="1087"/>
      <c r="C375" s="1087"/>
      <c r="D375" s="1087"/>
      <c r="E375" s="1087"/>
      <c r="F375" s="1087"/>
      <c r="G375" s="1087"/>
      <c r="H375" s="1087"/>
      <c r="I375" s="1087"/>
      <c r="J375" s="1087"/>
      <c r="K375" s="1087"/>
      <c r="L375" s="1087"/>
      <c r="M375" s="1087"/>
      <c r="N375" s="1087"/>
      <c r="O375" s="1087"/>
      <c r="P375" s="1087"/>
      <c r="Q375" s="1087"/>
      <c r="R375" s="1108"/>
      <c r="S375" s="1106">
        <v>0</v>
      </c>
      <c r="T375" s="1086"/>
      <c r="U375" s="1086"/>
      <c r="V375" s="1086"/>
      <c r="W375" s="1086"/>
      <c r="X375" s="1086">
        <v>0</v>
      </c>
      <c r="Y375" s="1086"/>
      <c r="Z375" s="1086"/>
      <c r="AA375" s="1086"/>
      <c r="AB375" s="1086"/>
      <c r="AC375" s="1086"/>
      <c r="AD375" s="1086">
        <v>0</v>
      </c>
      <c r="AE375" s="1086"/>
      <c r="AF375" s="1086"/>
      <c r="AG375" s="1086"/>
      <c r="AH375" s="1086"/>
      <c r="AI375" s="1086"/>
      <c r="AJ375" s="1086">
        <v>0</v>
      </c>
      <c r="AK375" s="1086"/>
      <c r="AL375" s="1086"/>
      <c r="AM375" s="1086"/>
      <c r="AN375" s="1086"/>
      <c r="AO375" s="1086"/>
      <c r="AP375" s="1086"/>
      <c r="AQ375" s="1086"/>
      <c r="AR375" s="1086"/>
      <c r="AS375" s="1086"/>
      <c r="AT375" s="1086"/>
      <c r="AU375" s="1086">
        <v>0</v>
      </c>
      <c r="AV375" s="1086"/>
      <c r="AW375" s="1086"/>
      <c r="AX375" s="1086"/>
      <c r="AY375" s="1086"/>
      <c r="AZ375" s="1086"/>
      <c r="BA375" s="1086"/>
      <c r="BB375" s="1086"/>
      <c r="BC375" s="1086">
        <v>0</v>
      </c>
      <c r="BD375" s="1086"/>
      <c r="BE375" s="1086"/>
      <c r="BF375" s="1086"/>
      <c r="BG375" s="1086">
        <v>0</v>
      </c>
      <c r="BH375" s="1086"/>
      <c r="BI375" s="1086"/>
      <c r="BJ375" s="1086"/>
      <c r="BK375" s="1086">
        <v>0</v>
      </c>
      <c r="BL375" s="1086"/>
      <c r="BM375" s="1086"/>
      <c r="BN375" s="1086"/>
      <c r="BO375" s="1086"/>
    </row>
    <row r="376" spans="1:67" ht="26" customHeight="1" x14ac:dyDescent="0.2">
      <c r="A376" s="1103" t="s">
        <v>749</v>
      </c>
      <c r="B376" s="1104"/>
      <c r="C376" s="1104"/>
      <c r="D376" s="1104"/>
      <c r="E376" s="1104"/>
      <c r="F376" s="1104"/>
      <c r="G376" s="1104"/>
      <c r="H376" s="1104"/>
      <c r="I376" s="1104"/>
      <c r="J376" s="1104"/>
      <c r="K376" s="1104"/>
      <c r="L376" s="1104"/>
      <c r="M376" s="1104"/>
      <c r="N376" s="1104"/>
      <c r="O376" s="1104"/>
      <c r="P376" s="1104"/>
      <c r="Q376" s="1104"/>
      <c r="R376" s="1105"/>
      <c r="S376" s="1106">
        <v>0</v>
      </c>
      <c r="T376" s="1086"/>
      <c r="U376" s="1086"/>
      <c r="V376" s="1086"/>
      <c r="W376" s="1086"/>
      <c r="X376" s="1086">
        <v>0</v>
      </c>
      <c r="Y376" s="1086"/>
      <c r="Z376" s="1086"/>
      <c r="AA376" s="1086"/>
      <c r="AB376" s="1086"/>
      <c r="AC376" s="1086"/>
      <c r="AD376" s="1086">
        <v>0</v>
      </c>
      <c r="AE376" s="1086"/>
      <c r="AF376" s="1086"/>
      <c r="AG376" s="1086"/>
      <c r="AH376" s="1086"/>
      <c r="AI376" s="1086"/>
      <c r="AJ376" s="1086">
        <v>0</v>
      </c>
      <c r="AK376" s="1086"/>
      <c r="AL376" s="1086"/>
      <c r="AM376" s="1086"/>
      <c r="AN376" s="1086"/>
      <c r="AO376" s="1086"/>
      <c r="AP376" s="1086"/>
      <c r="AQ376" s="1086"/>
      <c r="AR376" s="1086"/>
      <c r="AS376" s="1086"/>
      <c r="AT376" s="1086"/>
      <c r="AU376" s="1086">
        <v>0</v>
      </c>
      <c r="AV376" s="1086"/>
      <c r="AW376" s="1086"/>
      <c r="AX376" s="1086"/>
      <c r="AY376" s="1086"/>
      <c r="AZ376" s="1086"/>
      <c r="BA376" s="1086"/>
      <c r="BB376" s="1086"/>
      <c r="BC376" s="1086">
        <v>0</v>
      </c>
      <c r="BD376" s="1086"/>
      <c r="BE376" s="1086"/>
      <c r="BF376" s="1086"/>
      <c r="BG376" s="1086">
        <v>0</v>
      </c>
      <c r="BH376" s="1086"/>
      <c r="BI376" s="1086"/>
      <c r="BJ376" s="1086"/>
      <c r="BK376" s="1086">
        <v>0</v>
      </c>
      <c r="BL376" s="1086"/>
      <c r="BM376" s="1086"/>
      <c r="BN376" s="1086"/>
      <c r="BO376" s="1086"/>
    </row>
    <row r="377" spans="1:67" ht="13.5" customHeight="1" x14ac:dyDescent="0.2">
      <c r="A377" s="1113"/>
      <c r="B377" s="1113"/>
      <c r="C377" s="1113"/>
      <c r="D377" s="1113"/>
      <c r="E377" s="1113"/>
      <c r="F377" s="1113"/>
      <c r="G377" s="1113"/>
      <c r="H377" s="1113"/>
      <c r="I377" s="1113"/>
      <c r="J377" s="1113"/>
      <c r="K377" s="1113"/>
      <c r="L377" s="1113"/>
      <c r="M377" s="1113"/>
      <c r="N377" s="1113"/>
      <c r="O377" s="1113"/>
      <c r="P377" s="1113"/>
      <c r="Q377" s="1113"/>
      <c r="R377" s="1113"/>
      <c r="S377" s="1083"/>
      <c r="T377" s="1083"/>
      <c r="U377" s="1083"/>
      <c r="V377" s="1083"/>
      <c r="W377" s="1083"/>
      <c r="X377" s="1083"/>
      <c r="Y377" s="1083"/>
      <c r="Z377" s="1083"/>
      <c r="AA377" s="1083"/>
      <c r="AB377" s="1083"/>
      <c r="AC377" s="1083"/>
      <c r="AD377" s="1083"/>
      <c r="AE377" s="1083"/>
      <c r="AF377" s="1083"/>
      <c r="AG377" s="1083"/>
      <c r="AH377" s="1083"/>
      <c r="AI377" s="1083"/>
      <c r="AJ377" s="1083"/>
      <c r="AK377" s="1083"/>
      <c r="AL377" s="1083"/>
      <c r="AM377" s="1083"/>
      <c r="AN377" s="1083"/>
      <c r="AO377" s="1083"/>
      <c r="AP377" s="1083"/>
      <c r="AQ377" s="1083"/>
      <c r="AR377" s="1083"/>
      <c r="AS377" s="1083"/>
      <c r="AT377" s="1083"/>
      <c r="AU377" s="1083"/>
      <c r="AV377" s="1083"/>
      <c r="AW377" s="1083"/>
      <c r="AX377" s="1083"/>
      <c r="AY377" s="1083"/>
      <c r="AZ377" s="1083"/>
      <c r="BA377" s="1083"/>
      <c r="BB377" s="1083"/>
      <c r="BC377" s="1083"/>
      <c r="BD377" s="1083"/>
      <c r="BE377" s="1083"/>
      <c r="BF377" s="1083"/>
      <c r="BG377" s="1083"/>
      <c r="BH377" s="1083"/>
      <c r="BI377" s="1083"/>
      <c r="BJ377" s="1083"/>
      <c r="BK377" s="1083"/>
      <c r="BL377" s="1083"/>
      <c r="BM377" s="1083"/>
      <c r="BN377" s="1083"/>
      <c r="BO377" s="1083"/>
    </row>
    <row r="378" spans="1:67" ht="13.5" customHeight="1" x14ac:dyDescent="0.2">
      <c r="A378" s="1110" t="s">
        <v>750</v>
      </c>
      <c r="B378" s="1111"/>
      <c r="C378" s="1111"/>
      <c r="D378" s="1111"/>
      <c r="E378" s="1111"/>
      <c r="F378" s="1111"/>
      <c r="G378" s="1111"/>
      <c r="H378" s="1111"/>
      <c r="I378" s="1111"/>
      <c r="J378" s="1111"/>
      <c r="K378" s="1111"/>
      <c r="L378" s="1111"/>
      <c r="M378" s="1111"/>
      <c r="N378" s="1111"/>
      <c r="O378" s="1111"/>
      <c r="P378" s="1111"/>
      <c r="Q378" s="1111"/>
      <c r="R378" s="1112"/>
      <c r="S378" s="1106">
        <v>0</v>
      </c>
      <c r="T378" s="1086"/>
      <c r="U378" s="1086"/>
      <c r="V378" s="1086"/>
      <c r="W378" s="1086"/>
      <c r="X378" s="1086">
        <v>0</v>
      </c>
      <c r="Y378" s="1086"/>
      <c r="Z378" s="1086"/>
      <c r="AA378" s="1086"/>
      <c r="AB378" s="1086"/>
      <c r="AC378" s="1086"/>
      <c r="AD378" s="1086">
        <v>0</v>
      </c>
      <c r="AE378" s="1086"/>
      <c r="AF378" s="1086"/>
      <c r="AG378" s="1086"/>
      <c r="AH378" s="1086"/>
      <c r="AI378" s="1086"/>
      <c r="AJ378" s="1086">
        <v>0</v>
      </c>
      <c r="AK378" s="1086"/>
      <c r="AL378" s="1086"/>
      <c r="AM378" s="1086"/>
      <c r="AN378" s="1086"/>
      <c r="AO378" s="1086"/>
      <c r="AP378" s="1086"/>
      <c r="AQ378" s="1086"/>
      <c r="AR378" s="1086"/>
      <c r="AS378" s="1086"/>
      <c r="AT378" s="1086"/>
      <c r="AU378" s="1086">
        <v>0</v>
      </c>
      <c r="AV378" s="1086"/>
      <c r="AW378" s="1086"/>
      <c r="AX378" s="1086"/>
      <c r="AY378" s="1086"/>
      <c r="AZ378" s="1086"/>
      <c r="BA378" s="1086"/>
      <c r="BB378" s="1086"/>
      <c r="BC378" s="1086">
        <v>0</v>
      </c>
      <c r="BD378" s="1086"/>
      <c r="BE378" s="1086"/>
      <c r="BF378" s="1086"/>
      <c r="BG378" s="1086">
        <v>0</v>
      </c>
      <c r="BH378" s="1086"/>
      <c r="BI378" s="1086"/>
      <c r="BJ378" s="1086"/>
      <c r="BK378" s="1086">
        <v>0</v>
      </c>
      <c r="BL378" s="1086"/>
      <c r="BM378" s="1086"/>
      <c r="BN378" s="1086"/>
      <c r="BO378" s="1086"/>
    </row>
    <row r="379" spans="1:67" ht="13.5" customHeight="1" x14ac:dyDescent="0.2">
      <c r="A379" s="1107" t="s">
        <v>751</v>
      </c>
      <c r="B379" s="1087"/>
      <c r="C379" s="1087"/>
      <c r="D379" s="1087"/>
      <c r="E379" s="1087"/>
      <c r="F379" s="1087"/>
      <c r="G379" s="1087"/>
      <c r="H379" s="1087"/>
      <c r="I379" s="1087"/>
      <c r="J379" s="1087"/>
      <c r="K379" s="1087"/>
      <c r="L379" s="1087"/>
      <c r="M379" s="1087"/>
      <c r="N379" s="1087"/>
      <c r="O379" s="1087"/>
      <c r="P379" s="1087"/>
      <c r="Q379" s="1087"/>
      <c r="R379" s="1108"/>
      <c r="S379" s="1106">
        <v>0</v>
      </c>
      <c r="T379" s="1086"/>
      <c r="U379" s="1086"/>
      <c r="V379" s="1086"/>
      <c r="W379" s="1086"/>
      <c r="X379" s="1086">
        <v>0</v>
      </c>
      <c r="Y379" s="1086"/>
      <c r="Z379" s="1086"/>
      <c r="AA379" s="1086"/>
      <c r="AB379" s="1086"/>
      <c r="AC379" s="1086"/>
      <c r="AD379" s="1086">
        <v>0</v>
      </c>
      <c r="AE379" s="1086"/>
      <c r="AF379" s="1086"/>
      <c r="AG379" s="1086"/>
      <c r="AH379" s="1086"/>
      <c r="AI379" s="1086"/>
      <c r="AJ379" s="1086">
        <v>0</v>
      </c>
      <c r="AK379" s="1086"/>
      <c r="AL379" s="1086"/>
      <c r="AM379" s="1086"/>
      <c r="AN379" s="1086"/>
      <c r="AO379" s="1086"/>
      <c r="AP379" s="1086"/>
      <c r="AQ379" s="1086"/>
      <c r="AR379" s="1086"/>
      <c r="AS379" s="1086"/>
      <c r="AT379" s="1086"/>
      <c r="AU379" s="1086">
        <v>0</v>
      </c>
      <c r="AV379" s="1086"/>
      <c r="AW379" s="1086"/>
      <c r="AX379" s="1086"/>
      <c r="AY379" s="1086"/>
      <c r="AZ379" s="1086"/>
      <c r="BA379" s="1086"/>
      <c r="BB379" s="1086"/>
      <c r="BC379" s="1086">
        <v>0</v>
      </c>
      <c r="BD379" s="1086"/>
      <c r="BE379" s="1086"/>
      <c r="BF379" s="1086"/>
      <c r="BG379" s="1086">
        <v>0</v>
      </c>
      <c r="BH379" s="1086"/>
      <c r="BI379" s="1086"/>
      <c r="BJ379" s="1086"/>
      <c r="BK379" s="1086">
        <v>0</v>
      </c>
      <c r="BL379" s="1086"/>
      <c r="BM379" s="1086"/>
      <c r="BN379" s="1086"/>
      <c r="BO379" s="1086"/>
    </row>
    <row r="380" spans="1:67" ht="13.5" customHeight="1" x14ac:dyDescent="0.2">
      <c r="A380" s="1107" t="s">
        <v>752</v>
      </c>
      <c r="B380" s="1087"/>
      <c r="C380" s="1087"/>
      <c r="D380" s="1087"/>
      <c r="E380" s="1087"/>
      <c r="F380" s="1087"/>
      <c r="G380" s="1087"/>
      <c r="H380" s="1087"/>
      <c r="I380" s="1087"/>
      <c r="J380" s="1087"/>
      <c r="K380" s="1087"/>
      <c r="L380" s="1087"/>
      <c r="M380" s="1087"/>
      <c r="N380" s="1087"/>
      <c r="O380" s="1087"/>
      <c r="P380" s="1087"/>
      <c r="Q380" s="1087"/>
      <c r="R380" s="1108"/>
      <c r="S380" s="1106">
        <v>0</v>
      </c>
      <c r="T380" s="1086"/>
      <c r="U380" s="1086"/>
      <c r="V380" s="1086"/>
      <c r="W380" s="1086"/>
      <c r="X380" s="1086">
        <v>0</v>
      </c>
      <c r="Y380" s="1086"/>
      <c r="Z380" s="1086"/>
      <c r="AA380" s="1086"/>
      <c r="AB380" s="1086"/>
      <c r="AC380" s="1086"/>
      <c r="AD380" s="1086">
        <v>0</v>
      </c>
      <c r="AE380" s="1086"/>
      <c r="AF380" s="1086"/>
      <c r="AG380" s="1086"/>
      <c r="AH380" s="1086"/>
      <c r="AI380" s="1086"/>
      <c r="AJ380" s="1086">
        <v>0</v>
      </c>
      <c r="AK380" s="1086"/>
      <c r="AL380" s="1086"/>
      <c r="AM380" s="1086"/>
      <c r="AN380" s="1086"/>
      <c r="AO380" s="1086"/>
      <c r="AP380" s="1086"/>
      <c r="AQ380" s="1086"/>
      <c r="AR380" s="1086"/>
      <c r="AS380" s="1086"/>
      <c r="AT380" s="1086"/>
      <c r="AU380" s="1086">
        <v>0</v>
      </c>
      <c r="AV380" s="1086"/>
      <c r="AW380" s="1086"/>
      <c r="AX380" s="1086"/>
      <c r="AY380" s="1086"/>
      <c r="AZ380" s="1086"/>
      <c r="BA380" s="1086"/>
      <c r="BB380" s="1086"/>
      <c r="BC380" s="1086">
        <v>0</v>
      </c>
      <c r="BD380" s="1086"/>
      <c r="BE380" s="1086"/>
      <c r="BF380" s="1086"/>
      <c r="BG380" s="1086">
        <v>0</v>
      </c>
      <c r="BH380" s="1086"/>
      <c r="BI380" s="1086"/>
      <c r="BJ380" s="1086"/>
      <c r="BK380" s="1086">
        <v>0</v>
      </c>
      <c r="BL380" s="1086"/>
      <c r="BM380" s="1086"/>
      <c r="BN380" s="1086"/>
      <c r="BO380" s="1086"/>
    </row>
    <row r="381" spans="1:67" ht="13.5" customHeight="1" x14ac:dyDescent="0.2">
      <c r="A381" s="1107" t="s">
        <v>753</v>
      </c>
      <c r="B381" s="1087"/>
      <c r="C381" s="1087"/>
      <c r="D381" s="1087"/>
      <c r="E381" s="1087"/>
      <c r="F381" s="1087"/>
      <c r="G381" s="1087"/>
      <c r="H381" s="1087"/>
      <c r="I381" s="1087"/>
      <c r="J381" s="1087"/>
      <c r="K381" s="1087"/>
      <c r="L381" s="1087"/>
      <c r="M381" s="1087"/>
      <c r="N381" s="1087"/>
      <c r="O381" s="1087"/>
      <c r="P381" s="1087"/>
      <c r="Q381" s="1087"/>
      <c r="R381" s="1108"/>
      <c r="S381" s="1106">
        <v>0</v>
      </c>
      <c r="T381" s="1086"/>
      <c r="U381" s="1086"/>
      <c r="V381" s="1086"/>
      <c r="W381" s="1086"/>
      <c r="X381" s="1086">
        <v>0</v>
      </c>
      <c r="Y381" s="1086"/>
      <c r="Z381" s="1086"/>
      <c r="AA381" s="1086"/>
      <c r="AB381" s="1086"/>
      <c r="AC381" s="1086"/>
      <c r="AD381" s="1086">
        <v>0</v>
      </c>
      <c r="AE381" s="1086"/>
      <c r="AF381" s="1086"/>
      <c r="AG381" s="1086"/>
      <c r="AH381" s="1086"/>
      <c r="AI381" s="1086"/>
      <c r="AJ381" s="1086">
        <v>0</v>
      </c>
      <c r="AK381" s="1086"/>
      <c r="AL381" s="1086"/>
      <c r="AM381" s="1086"/>
      <c r="AN381" s="1086"/>
      <c r="AO381" s="1086"/>
      <c r="AP381" s="1086"/>
      <c r="AQ381" s="1086"/>
      <c r="AR381" s="1086"/>
      <c r="AS381" s="1086"/>
      <c r="AT381" s="1086"/>
      <c r="AU381" s="1086">
        <v>0</v>
      </c>
      <c r="AV381" s="1086"/>
      <c r="AW381" s="1086"/>
      <c r="AX381" s="1086"/>
      <c r="AY381" s="1086"/>
      <c r="AZ381" s="1086"/>
      <c r="BA381" s="1086"/>
      <c r="BB381" s="1086"/>
      <c r="BC381" s="1086">
        <v>0</v>
      </c>
      <c r="BD381" s="1086"/>
      <c r="BE381" s="1086"/>
      <c r="BF381" s="1086"/>
      <c r="BG381" s="1086">
        <v>0</v>
      </c>
      <c r="BH381" s="1086"/>
      <c r="BI381" s="1086"/>
      <c r="BJ381" s="1086"/>
      <c r="BK381" s="1086">
        <v>0</v>
      </c>
      <c r="BL381" s="1086"/>
      <c r="BM381" s="1086"/>
      <c r="BN381" s="1086"/>
      <c r="BO381" s="1086"/>
    </row>
    <row r="382" spans="1:67" ht="13.5" customHeight="1" x14ac:dyDescent="0.2">
      <c r="A382" s="1107" t="s">
        <v>754</v>
      </c>
      <c r="B382" s="1087"/>
      <c r="C382" s="1087"/>
      <c r="D382" s="1087"/>
      <c r="E382" s="1087"/>
      <c r="F382" s="1087"/>
      <c r="G382" s="1087"/>
      <c r="H382" s="1087"/>
      <c r="I382" s="1087"/>
      <c r="J382" s="1087"/>
      <c r="K382" s="1087"/>
      <c r="L382" s="1087"/>
      <c r="M382" s="1087"/>
      <c r="N382" s="1087"/>
      <c r="O382" s="1087"/>
      <c r="P382" s="1087"/>
      <c r="Q382" s="1087"/>
      <c r="R382" s="1108"/>
      <c r="S382" s="1106">
        <v>0</v>
      </c>
      <c r="T382" s="1086"/>
      <c r="U382" s="1086"/>
      <c r="V382" s="1086"/>
      <c r="W382" s="1086"/>
      <c r="X382" s="1086">
        <v>0</v>
      </c>
      <c r="Y382" s="1086"/>
      <c r="Z382" s="1086"/>
      <c r="AA382" s="1086"/>
      <c r="AB382" s="1086"/>
      <c r="AC382" s="1086"/>
      <c r="AD382" s="1086">
        <v>0</v>
      </c>
      <c r="AE382" s="1086"/>
      <c r="AF382" s="1086"/>
      <c r="AG382" s="1086"/>
      <c r="AH382" s="1086"/>
      <c r="AI382" s="1086"/>
      <c r="AJ382" s="1086">
        <v>0</v>
      </c>
      <c r="AK382" s="1086"/>
      <c r="AL382" s="1086"/>
      <c r="AM382" s="1086"/>
      <c r="AN382" s="1086"/>
      <c r="AO382" s="1086"/>
      <c r="AP382" s="1086"/>
      <c r="AQ382" s="1086"/>
      <c r="AR382" s="1086"/>
      <c r="AS382" s="1086"/>
      <c r="AT382" s="1086"/>
      <c r="AU382" s="1086">
        <v>0</v>
      </c>
      <c r="AV382" s="1086"/>
      <c r="AW382" s="1086"/>
      <c r="AX382" s="1086"/>
      <c r="AY382" s="1086"/>
      <c r="AZ382" s="1086"/>
      <c r="BA382" s="1086"/>
      <c r="BB382" s="1086"/>
      <c r="BC382" s="1086">
        <v>0</v>
      </c>
      <c r="BD382" s="1086"/>
      <c r="BE382" s="1086"/>
      <c r="BF382" s="1086"/>
      <c r="BG382" s="1086">
        <v>0</v>
      </c>
      <c r="BH382" s="1086"/>
      <c r="BI382" s="1086"/>
      <c r="BJ382" s="1086"/>
      <c r="BK382" s="1086">
        <v>0</v>
      </c>
      <c r="BL382" s="1086"/>
      <c r="BM382" s="1086"/>
      <c r="BN382" s="1086"/>
      <c r="BO382" s="1086"/>
    </row>
    <row r="383" spans="1:67" ht="13.5" customHeight="1" x14ac:dyDescent="0.2">
      <c r="A383" s="1103" t="s">
        <v>755</v>
      </c>
      <c r="B383" s="1104"/>
      <c r="C383" s="1104"/>
      <c r="D383" s="1104"/>
      <c r="E383" s="1104"/>
      <c r="F383" s="1104"/>
      <c r="G383" s="1104"/>
      <c r="H383" s="1104"/>
      <c r="I383" s="1104"/>
      <c r="J383" s="1104"/>
      <c r="K383" s="1104"/>
      <c r="L383" s="1104"/>
      <c r="M383" s="1104"/>
      <c r="N383" s="1104"/>
      <c r="O383" s="1104"/>
      <c r="P383" s="1104"/>
      <c r="Q383" s="1104"/>
      <c r="R383" s="1105"/>
      <c r="S383" s="1106">
        <v>0</v>
      </c>
      <c r="T383" s="1086"/>
      <c r="U383" s="1086"/>
      <c r="V383" s="1086"/>
      <c r="W383" s="1086"/>
      <c r="X383" s="1086">
        <v>0</v>
      </c>
      <c r="Y383" s="1086"/>
      <c r="Z383" s="1086"/>
      <c r="AA383" s="1086"/>
      <c r="AB383" s="1086"/>
      <c r="AC383" s="1086"/>
      <c r="AD383" s="1086">
        <v>0</v>
      </c>
      <c r="AE383" s="1086"/>
      <c r="AF383" s="1086"/>
      <c r="AG383" s="1086"/>
      <c r="AH383" s="1086"/>
      <c r="AI383" s="1086"/>
      <c r="AJ383" s="1086">
        <v>0</v>
      </c>
      <c r="AK383" s="1086"/>
      <c r="AL383" s="1086"/>
      <c r="AM383" s="1086"/>
      <c r="AN383" s="1086"/>
      <c r="AO383" s="1086"/>
      <c r="AP383" s="1086"/>
      <c r="AQ383" s="1086"/>
      <c r="AR383" s="1086"/>
      <c r="AS383" s="1086"/>
      <c r="AT383" s="1086"/>
      <c r="AU383" s="1086">
        <v>0</v>
      </c>
      <c r="AV383" s="1086"/>
      <c r="AW383" s="1086"/>
      <c r="AX383" s="1086"/>
      <c r="AY383" s="1086"/>
      <c r="AZ383" s="1086"/>
      <c r="BA383" s="1086"/>
      <c r="BB383" s="1086"/>
      <c r="BC383" s="1086">
        <v>0</v>
      </c>
      <c r="BD383" s="1086"/>
      <c r="BE383" s="1086"/>
      <c r="BF383" s="1086"/>
      <c r="BG383" s="1086">
        <v>0</v>
      </c>
      <c r="BH383" s="1086"/>
      <c r="BI383" s="1086"/>
      <c r="BJ383" s="1086"/>
      <c r="BK383" s="1086">
        <v>0</v>
      </c>
      <c r="BL383" s="1086"/>
      <c r="BM383" s="1086"/>
      <c r="BN383" s="1086"/>
      <c r="BO383" s="1086"/>
    </row>
    <row r="384" spans="1:67" ht="13.5" customHeight="1" x14ac:dyDescent="0.2">
      <c r="A384" s="1113"/>
      <c r="B384" s="1113"/>
      <c r="C384" s="1113"/>
      <c r="D384" s="1113"/>
      <c r="E384" s="1113"/>
      <c r="F384" s="1113"/>
      <c r="G384" s="1113"/>
      <c r="H384" s="1113"/>
      <c r="I384" s="1113"/>
      <c r="J384" s="1113"/>
      <c r="K384" s="1113"/>
      <c r="L384" s="1113"/>
      <c r="M384" s="1113"/>
      <c r="N384" s="1113"/>
      <c r="O384" s="1113"/>
      <c r="P384" s="1113"/>
      <c r="Q384" s="1113"/>
      <c r="R384" s="1113"/>
      <c r="S384" s="1083"/>
      <c r="T384" s="1083"/>
      <c r="U384" s="1083"/>
      <c r="V384" s="1083"/>
      <c r="W384" s="1083"/>
      <c r="X384" s="1083"/>
      <c r="Y384" s="1083"/>
      <c r="Z384" s="1083"/>
      <c r="AA384" s="1083"/>
      <c r="AB384" s="1083"/>
      <c r="AC384" s="1083"/>
      <c r="AD384" s="1083"/>
      <c r="AE384" s="1083"/>
      <c r="AF384" s="1083"/>
      <c r="AG384" s="1083"/>
      <c r="AH384" s="1083"/>
      <c r="AI384" s="1083"/>
      <c r="AJ384" s="1083"/>
      <c r="AK384" s="1083"/>
      <c r="AL384" s="1083"/>
      <c r="AM384" s="1083"/>
      <c r="AN384" s="1083"/>
      <c r="AO384" s="1083"/>
      <c r="AP384" s="1083"/>
      <c r="AQ384" s="1083"/>
      <c r="AR384" s="1083"/>
      <c r="AS384" s="1083"/>
      <c r="AT384" s="1083"/>
      <c r="AU384" s="1083"/>
      <c r="AV384" s="1083"/>
      <c r="AW384" s="1083"/>
      <c r="AX384" s="1083"/>
      <c r="AY384" s="1083"/>
      <c r="AZ384" s="1083"/>
      <c r="BA384" s="1083"/>
      <c r="BB384" s="1083"/>
      <c r="BC384" s="1083"/>
      <c r="BD384" s="1083"/>
      <c r="BE384" s="1083"/>
      <c r="BF384" s="1083"/>
      <c r="BG384" s="1083"/>
      <c r="BH384" s="1083"/>
      <c r="BI384" s="1083"/>
      <c r="BJ384" s="1083"/>
      <c r="BK384" s="1083"/>
      <c r="BL384" s="1083"/>
      <c r="BM384" s="1083"/>
      <c r="BN384" s="1083"/>
      <c r="BO384" s="1083"/>
    </row>
    <row r="385" spans="1:67" ht="13.5" customHeight="1" x14ac:dyDescent="0.2">
      <c r="A385" s="1110" t="s">
        <v>756</v>
      </c>
      <c r="B385" s="1111"/>
      <c r="C385" s="1111"/>
      <c r="D385" s="1111"/>
      <c r="E385" s="1111"/>
      <c r="F385" s="1111"/>
      <c r="G385" s="1111"/>
      <c r="H385" s="1111"/>
      <c r="I385" s="1111"/>
      <c r="J385" s="1111"/>
      <c r="K385" s="1111"/>
      <c r="L385" s="1111"/>
      <c r="M385" s="1111"/>
      <c r="N385" s="1111"/>
      <c r="O385" s="1111"/>
      <c r="P385" s="1111"/>
      <c r="Q385" s="1111"/>
      <c r="R385" s="1112"/>
      <c r="S385" s="1106">
        <v>1087201</v>
      </c>
      <c r="T385" s="1086"/>
      <c r="U385" s="1086"/>
      <c r="V385" s="1086"/>
      <c r="W385" s="1086"/>
      <c r="X385" s="1086">
        <v>591071</v>
      </c>
      <c r="Y385" s="1086"/>
      <c r="Z385" s="1086"/>
      <c r="AA385" s="1086"/>
      <c r="AB385" s="1086"/>
      <c r="AC385" s="1086"/>
      <c r="AD385" s="1086">
        <v>710509</v>
      </c>
      <c r="AE385" s="1086"/>
      <c r="AF385" s="1086"/>
      <c r="AG385" s="1086"/>
      <c r="AH385" s="1086"/>
      <c r="AI385" s="1086"/>
      <c r="AJ385" s="1086">
        <v>1204240</v>
      </c>
      <c r="AK385" s="1086"/>
      <c r="AL385" s="1086"/>
      <c r="AM385" s="1086"/>
      <c r="AN385" s="1086"/>
      <c r="AO385" s="1086"/>
      <c r="AP385" s="1086"/>
      <c r="AQ385" s="1086"/>
      <c r="AR385" s="1086"/>
      <c r="AS385" s="1086"/>
      <c r="AT385" s="1086"/>
      <c r="AU385" s="1086">
        <v>1192771</v>
      </c>
      <c r="AV385" s="1086"/>
      <c r="AW385" s="1086"/>
      <c r="AX385" s="1086"/>
      <c r="AY385" s="1086"/>
      <c r="AZ385" s="1086"/>
      <c r="BA385" s="1086"/>
      <c r="BB385" s="1086"/>
      <c r="BC385" s="1086">
        <v>970828</v>
      </c>
      <c r="BD385" s="1086"/>
      <c r="BE385" s="1086"/>
      <c r="BF385" s="1086"/>
      <c r="BG385" s="1086">
        <v>951134</v>
      </c>
      <c r="BH385" s="1086"/>
      <c r="BI385" s="1086"/>
      <c r="BJ385" s="1086"/>
      <c r="BK385" s="1086">
        <v>533439</v>
      </c>
      <c r="BL385" s="1086"/>
      <c r="BM385" s="1086"/>
      <c r="BN385" s="1086"/>
      <c r="BO385" s="1086"/>
    </row>
    <row r="386" spans="1:67" ht="26" customHeight="1" x14ac:dyDescent="0.2">
      <c r="A386" s="1107" t="s">
        <v>757</v>
      </c>
      <c r="B386" s="1087"/>
      <c r="C386" s="1087"/>
      <c r="D386" s="1087"/>
      <c r="E386" s="1087"/>
      <c r="F386" s="1087"/>
      <c r="G386" s="1087"/>
      <c r="H386" s="1087"/>
      <c r="I386" s="1087"/>
      <c r="J386" s="1087"/>
      <c r="K386" s="1087"/>
      <c r="L386" s="1087"/>
      <c r="M386" s="1087"/>
      <c r="N386" s="1087"/>
      <c r="O386" s="1087"/>
      <c r="P386" s="1087"/>
      <c r="Q386" s="1087"/>
      <c r="R386" s="1108"/>
      <c r="S386" s="1106">
        <v>187468</v>
      </c>
      <c r="T386" s="1086"/>
      <c r="U386" s="1086"/>
      <c r="V386" s="1086"/>
      <c r="W386" s="1086"/>
      <c r="X386" s="1086">
        <v>24404</v>
      </c>
      <c r="Y386" s="1086"/>
      <c r="Z386" s="1086"/>
      <c r="AA386" s="1086"/>
      <c r="AB386" s="1086"/>
      <c r="AC386" s="1086"/>
      <c r="AD386" s="1086">
        <v>31928</v>
      </c>
      <c r="AE386" s="1086"/>
      <c r="AF386" s="1086"/>
      <c r="AG386" s="1086"/>
      <c r="AH386" s="1086"/>
      <c r="AI386" s="1086"/>
      <c r="AJ386" s="1086">
        <v>242937</v>
      </c>
      <c r="AK386" s="1086"/>
      <c r="AL386" s="1086"/>
      <c r="AM386" s="1086"/>
      <c r="AN386" s="1086"/>
      <c r="AO386" s="1086"/>
      <c r="AP386" s="1086"/>
      <c r="AQ386" s="1086"/>
      <c r="AR386" s="1086"/>
      <c r="AS386" s="1086"/>
      <c r="AT386" s="1086"/>
      <c r="AU386" s="1086">
        <v>271489</v>
      </c>
      <c r="AV386" s="1086"/>
      <c r="AW386" s="1086"/>
      <c r="AX386" s="1086"/>
      <c r="AY386" s="1086"/>
      <c r="AZ386" s="1086"/>
      <c r="BA386" s="1086"/>
      <c r="BB386" s="1086"/>
      <c r="BC386" s="1086">
        <v>219192</v>
      </c>
      <c r="BD386" s="1086"/>
      <c r="BE386" s="1086"/>
      <c r="BF386" s="1086"/>
      <c r="BG386" s="1086">
        <v>280709</v>
      </c>
      <c r="BH386" s="1086"/>
      <c r="BI386" s="1086"/>
      <c r="BJ386" s="1086"/>
      <c r="BK386" s="1086">
        <v>168693</v>
      </c>
      <c r="BL386" s="1086"/>
      <c r="BM386" s="1086"/>
      <c r="BN386" s="1086"/>
      <c r="BO386" s="1086"/>
    </row>
    <row r="387" spans="1:67" ht="13.5" customHeight="1" x14ac:dyDescent="0.2">
      <c r="A387" s="1107" t="s">
        <v>758</v>
      </c>
      <c r="B387" s="1087"/>
      <c r="C387" s="1087"/>
      <c r="D387" s="1087"/>
      <c r="E387" s="1087"/>
      <c r="F387" s="1087"/>
      <c r="G387" s="1087"/>
      <c r="H387" s="1087"/>
      <c r="I387" s="1087"/>
      <c r="J387" s="1087"/>
      <c r="K387" s="1087"/>
      <c r="L387" s="1087"/>
      <c r="M387" s="1087"/>
      <c r="N387" s="1087"/>
      <c r="O387" s="1087"/>
      <c r="P387" s="1087"/>
      <c r="Q387" s="1087"/>
      <c r="R387" s="1108"/>
      <c r="S387" s="1106">
        <v>187468</v>
      </c>
      <c r="T387" s="1086"/>
      <c r="U387" s="1086"/>
      <c r="V387" s="1086"/>
      <c r="W387" s="1086"/>
      <c r="X387" s="1086">
        <v>21620</v>
      </c>
      <c r="Y387" s="1086"/>
      <c r="Z387" s="1086"/>
      <c r="AA387" s="1086"/>
      <c r="AB387" s="1086"/>
      <c r="AC387" s="1086"/>
      <c r="AD387" s="1086">
        <v>31928</v>
      </c>
      <c r="AE387" s="1086"/>
      <c r="AF387" s="1086"/>
      <c r="AG387" s="1086"/>
      <c r="AH387" s="1086"/>
      <c r="AI387" s="1086"/>
      <c r="AJ387" s="1086">
        <v>242937</v>
      </c>
      <c r="AK387" s="1086"/>
      <c r="AL387" s="1086"/>
      <c r="AM387" s="1086"/>
      <c r="AN387" s="1086"/>
      <c r="AO387" s="1086"/>
      <c r="AP387" s="1086"/>
      <c r="AQ387" s="1086"/>
      <c r="AR387" s="1086"/>
      <c r="AS387" s="1086"/>
      <c r="AT387" s="1086"/>
      <c r="AU387" s="1086">
        <v>271489</v>
      </c>
      <c r="AV387" s="1086"/>
      <c r="AW387" s="1086"/>
      <c r="AX387" s="1086"/>
      <c r="AY387" s="1086"/>
      <c r="AZ387" s="1086"/>
      <c r="BA387" s="1086"/>
      <c r="BB387" s="1086"/>
      <c r="BC387" s="1086">
        <v>220987</v>
      </c>
      <c r="BD387" s="1086"/>
      <c r="BE387" s="1086"/>
      <c r="BF387" s="1086"/>
      <c r="BG387" s="1086">
        <v>281130</v>
      </c>
      <c r="BH387" s="1086"/>
      <c r="BI387" s="1086"/>
      <c r="BJ387" s="1086"/>
      <c r="BK387" s="1086">
        <v>168693</v>
      </c>
      <c r="BL387" s="1086"/>
      <c r="BM387" s="1086"/>
      <c r="BN387" s="1086"/>
      <c r="BO387" s="1086"/>
    </row>
    <row r="388" spans="1:67" ht="13.5" customHeight="1" x14ac:dyDescent="0.2">
      <c r="A388" s="1107" t="s">
        <v>759</v>
      </c>
      <c r="B388" s="1087"/>
      <c r="C388" s="1087"/>
      <c r="D388" s="1087"/>
      <c r="E388" s="1087"/>
      <c r="F388" s="1087"/>
      <c r="G388" s="1087"/>
      <c r="H388" s="1087"/>
      <c r="I388" s="1087"/>
      <c r="J388" s="1087"/>
      <c r="K388" s="1087"/>
      <c r="L388" s="1087"/>
      <c r="M388" s="1087"/>
      <c r="N388" s="1087"/>
      <c r="O388" s="1087"/>
      <c r="P388" s="1087"/>
      <c r="Q388" s="1087"/>
      <c r="R388" s="1108"/>
      <c r="S388" s="1106">
        <v>0</v>
      </c>
      <c r="T388" s="1086"/>
      <c r="U388" s="1086"/>
      <c r="V388" s="1086"/>
      <c r="W388" s="1086"/>
      <c r="X388" s="1086">
        <v>2784</v>
      </c>
      <c r="Y388" s="1086"/>
      <c r="Z388" s="1086"/>
      <c r="AA388" s="1086"/>
      <c r="AB388" s="1086"/>
      <c r="AC388" s="1086"/>
      <c r="AD388" s="1086">
        <v>0</v>
      </c>
      <c r="AE388" s="1086"/>
      <c r="AF388" s="1086"/>
      <c r="AG388" s="1086"/>
      <c r="AH388" s="1086"/>
      <c r="AI388" s="1086"/>
      <c r="AJ388" s="1086">
        <v>0</v>
      </c>
      <c r="AK388" s="1086"/>
      <c r="AL388" s="1086"/>
      <c r="AM388" s="1086"/>
      <c r="AN388" s="1086"/>
      <c r="AO388" s="1086"/>
      <c r="AP388" s="1086"/>
      <c r="AQ388" s="1086"/>
      <c r="AR388" s="1086"/>
      <c r="AS388" s="1086"/>
      <c r="AT388" s="1086"/>
      <c r="AU388" s="1086">
        <v>0</v>
      </c>
      <c r="AV388" s="1086"/>
      <c r="AW388" s="1086"/>
      <c r="AX388" s="1086"/>
      <c r="AY388" s="1086"/>
      <c r="AZ388" s="1086"/>
      <c r="BA388" s="1086"/>
      <c r="BB388" s="1086"/>
      <c r="BC388" s="1086">
        <v>-1795</v>
      </c>
      <c r="BD388" s="1086"/>
      <c r="BE388" s="1086"/>
      <c r="BF388" s="1086"/>
      <c r="BG388" s="1086">
        <v>-421</v>
      </c>
      <c r="BH388" s="1086"/>
      <c r="BI388" s="1086"/>
      <c r="BJ388" s="1086"/>
      <c r="BK388" s="1086">
        <v>0</v>
      </c>
      <c r="BL388" s="1086"/>
      <c r="BM388" s="1086"/>
      <c r="BN388" s="1086"/>
      <c r="BO388" s="1086"/>
    </row>
    <row r="389" spans="1:67" ht="13.5" customHeight="1" x14ac:dyDescent="0.2">
      <c r="A389" s="1107" t="s">
        <v>760</v>
      </c>
      <c r="B389" s="1087"/>
      <c r="C389" s="1087"/>
      <c r="D389" s="1087"/>
      <c r="E389" s="1087"/>
      <c r="F389" s="1087"/>
      <c r="G389" s="1087"/>
      <c r="H389" s="1087"/>
      <c r="I389" s="1087"/>
      <c r="J389" s="1087"/>
      <c r="K389" s="1087"/>
      <c r="L389" s="1087"/>
      <c r="M389" s="1087"/>
      <c r="N389" s="1087"/>
      <c r="O389" s="1087"/>
      <c r="P389" s="1087"/>
      <c r="Q389" s="1087"/>
      <c r="R389" s="1108"/>
      <c r="S389" s="1106">
        <v>0</v>
      </c>
      <c r="T389" s="1086"/>
      <c r="U389" s="1086"/>
      <c r="V389" s="1086"/>
      <c r="W389" s="1086"/>
      <c r="X389" s="1086">
        <v>0</v>
      </c>
      <c r="Y389" s="1086"/>
      <c r="Z389" s="1086"/>
      <c r="AA389" s="1086"/>
      <c r="AB389" s="1086"/>
      <c r="AC389" s="1086"/>
      <c r="AD389" s="1086">
        <v>0</v>
      </c>
      <c r="AE389" s="1086"/>
      <c r="AF389" s="1086"/>
      <c r="AG389" s="1086"/>
      <c r="AH389" s="1086"/>
      <c r="AI389" s="1086"/>
      <c r="AJ389" s="1086">
        <v>0</v>
      </c>
      <c r="AK389" s="1086"/>
      <c r="AL389" s="1086"/>
      <c r="AM389" s="1086"/>
      <c r="AN389" s="1086"/>
      <c r="AO389" s="1086"/>
      <c r="AP389" s="1086"/>
      <c r="AQ389" s="1086"/>
      <c r="AR389" s="1086"/>
      <c r="AS389" s="1086"/>
      <c r="AT389" s="1086"/>
      <c r="AU389" s="1086">
        <v>0</v>
      </c>
      <c r="AV389" s="1086"/>
      <c r="AW389" s="1086"/>
      <c r="AX389" s="1086"/>
      <c r="AY389" s="1086"/>
      <c r="AZ389" s="1086"/>
      <c r="BA389" s="1086"/>
      <c r="BB389" s="1086"/>
      <c r="BC389" s="1086">
        <v>0</v>
      </c>
      <c r="BD389" s="1086"/>
      <c r="BE389" s="1086"/>
      <c r="BF389" s="1086"/>
      <c r="BG389" s="1086">
        <v>0</v>
      </c>
      <c r="BH389" s="1086"/>
      <c r="BI389" s="1086"/>
      <c r="BJ389" s="1086"/>
      <c r="BK389" s="1086">
        <v>0</v>
      </c>
      <c r="BL389" s="1086"/>
      <c r="BM389" s="1086"/>
      <c r="BN389" s="1086"/>
      <c r="BO389" s="1086"/>
    </row>
    <row r="390" spans="1:67" ht="13.5" customHeight="1" x14ac:dyDescent="0.2">
      <c r="A390" s="1107" t="s">
        <v>761</v>
      </c>
      <c r="B390" s="1087"/>
      <c r="C390" s="1087"/>
      <c r="D390" s="1087"/>
      <c r="E390" s="1087"/>
      <c r="F390" s="1087"/>
      <c r="G390" s="1087"/>
      <c r="H390" s="1087"/>
      <c r="I390" s="1087"/>
      <c r="J390" s="1087"/>
      <c r="K390" s="1087"/>
      <c r="L390" s="1087"/>
      <c r="M390" s="1087"/>
      <c r="N390" s="1087"/>
      <c r="O390" s="1087"/>
      <c r="P390" s="1087"/>
      <c r="Q390" s="1087"/>
      <c r="R390" s="1108"/>
      <c r="S390" s="1106">
        <v>0</v>
      </c>
      <c r="T390" s="1086"/>
      <c r="U390" s="1086"/>
      <c r="V390" s="1086"/>
      <c r="W390" s="1086"/>
      <c r="X390" s="1086">
        <v>0</v>
      </c>
      <c r="Y390" s="1086"/>
      <c r="Z390" s="1086"/>
      <c r="AA390" s="1086"/>
      <c r="AB390" s="1086"/>
      <c r="AC390" s="1086"/>
      <c r="AD390" s="1086">
        <v>0</v>
      </c>
      <c r="AE390" s="1086"/>
      <c r="AF390" s="1086"/>
      <c r="AG390" s="1086"/>
      <c r="AH390" s="1086"/>
      <c r="AI390" s="1086"/>
      <c r="AJ390" s="1086">
        <v>0</v>
      </c>
      <c r="AK390" s="1086"/>
      <c r="AL390" s="1086"/>
      <c r="AM390" s="1086"/>
      <c r="AN390" s="1086"/>
      <c r="AO390" s="1086"/>
      <c r="AP390" s="1086"/>
      <c r="AQ390" s="1086"/>
      <c r="AR390" s="1086"/>
      <c r="AS390" s="1086"/>
      <c r="AT390" s="1086"/>
      <c r="AU390" s="1086">
        <v>0</v>
      </c>
      <c r="AV390" s="1086"/>
      <c r="AW390" s="1086"/>
      <c r="AX390" s="1086"/>
      <c r="AY390" s="1086"/>
      <c r="AZ390" s="1086"/>
      <c r="BA390" s="1086"/>
      <c r="BB390" s="1086"/>
      <c r="BC390" s="1086">
        <v>0</v>
      </c>
      <c r="BD390" s="1086"/>
      <c r="BE390" s="1086"/>
      <c r="BF390" s="1086"/>
      <c r="BG390" s="1086">
        <v>0</v>
      </c>
      <c r="BH390" s="1086"/>
      <c r="BI390" s="1086"/>
      <c r="BJ390" s="1086"/>
      <c r="BK390" s="1086">
        <v>0</v>
      </c>
      <c r="BL390" s="1086"/>
      <c r="BM390" s="1086"/>
      <c r="BN390" s="1086"/>
      <c r="BO390" s="1086"/>
    </row>
    <row r="391" spans="1:67" ht="13.5" customHeight="1" x14ac:dyDescent="0.2">
      <c r="A391" s="1107" t="s">
        <v>762</v>
      </c>
      <c r="B391" s="1087"/>
      <c r="C391" s="1087"/>
      <c r="D391" s="1087"/>
      <c r="E391" s="1087"/>
      <c r="F391" s="1087"/>
      <c r="G391" s="1087"/>
      <c r="H391" s="1087"/>
      <c r="I391" s="1087"/>
      <c r="J391" s="1087"/>
      <c r="K391" s="1087"/>
      <c r="L391" s="1087"/>
      <c r="M391" s="1087"/>
      <c r="N391" s="1087"/>
      <c r="O391" s="1087"/>
      <c r="P391" s="1087"/>
      <c r="Q391" s="1087"/>
      <c r="R391" s="1108"/>
      <c r="S391" s="1106">
        <v>0</v>
      </c>
      <c r="T391" s="1086"/>
      <c r="U391" s="1086"/>
      <c r="V391" s="1086"/>
      <c r="W391" s="1086"/>
      <c r="X391" s="1086">
        <v>0</v>
      </c>
      <c r="Y391" s="1086"/>
      <c r="Z391" s="1086"/>
      <c r="AA391" s="1086"/>
      <c r="AB391" s="1086"/>
      <c r="AC391" s="1086"/>
      <c r="AD391" s="1086">
        <v>0</v>
      </c>
      <c r="AE391" s="1086"/>
      <c r="AF391" s="1086"/>
      <c r="AG391" s="1086"/>
      <c r="AH391" s="1086"/>
      <c r="AI391" s="1086"/>
      <c r="AJ391" s="1086">
        <v>0</v>
      </c>
      <c r="AK391" s="1086"/>
      <c r="AL391" s="1086"/>
      <c r="AM391" s="1086"/>
      <c r="AN391" s="1086"/>
      <c r="AO391" s="1086"/>
      <c r="AP391" s="1086"/>
      <c r="AQ391" s="1086"/>
      <c r="AR391" s="1086"/>
      <c r="AS391" s="1086"/>
      <c r="AT391" s="1086"/>
      <c r="AU391" s="1086">
        <v>0</v>
      </c>
      <c r="AV391" s="1086"/>
      <c r="AW391" s="1086"/>
      <c r="AX391" s="1086"/>
      <c r="AY391" s="1086"/>
      <c r="AZ391" s="1086"/>
      <c r="BA391" s="1086"/>
      <c r="BB391" s="1086"/>
      <c r="BC391" s="1086">
        <v>0</v>
      </c>
      <c r="BD391" s="1086"/>
      <c r="BE391" s="1086"/>
      <c r="BF391" s="1086"/>
      <c r="BG391" s="1086">
        <v>0</v>
      </c>
      <c r="BH391" s="1086"/>
      <c r="BI391" s="1086"/>
      <c r="BJ391" s="1086"/>
      <c r="BK391" s="1086">
        <v>0</v>
      </c>
      <c r="BL391" s="1086"/>
      <c r="BM391" s="1086"/>
      <c r="BN391" s="1086"/>
      <c r="BO391" s="1086"/>
    </row>
    <row r="392" spans="1:67" ht="26" customHeight="1" x14ac:dyDescent="0.2">
      <c r="A392" s="1103" t="s">
        <v>763</v>
      </c>
      <c r="B392" s="1104"/>
      <c r="C392" s="1104"/>
      <c r="D392" s="1104"/>
      <c r="E392" s="1104"/>
      <c r="F392" s="1104"/>
      <c r="G392" s="1104"/>
      <c r="H392" s="1104"/>
      <c r="I392" s="1104"/>
      <c r="J392" s="1104"/>
      <c r="K392" s="1104"/>
      <c r="L392" s="1104"/>
      <c r="M392" s="1104"/>
      <c r="N392" s="1104"/>
      <c r="O392" s="1104"/>
      <c r="P392" s="1104"/>
      <c r="Q392" s="1104"/>
      <c r="R392" s="1105"/>
      <c r="S392" s="1106">
        <v>0</v>
      </c>
      <c r="T392" s="1086"/>
      <c r="U392" s="1086"/>
      <c r="V392" s="1086"/>
      <c r="W392" s="1086"/>
      <c r="X392" s="1086">
        <v>0</v>
      </c>
      <c r="Y392" s="1086"/>
      <c r="Z392" s="1086"/>
      <c r="AA392" s="1086"/>
      <c r="AB392" s="1086"/>
      <c r="AC392" s="1086"/>
      <c r="AD392" s="1086">
        <v>0</v>
      </c>
      <c r="AE392" s="1086"/>
      <c r="AF392" s="1086"/>
      <c r="AG392" s="1086"/>
      <c r="AH392" s="1086"/>
      <c r="AI392" s="1086"/>
      <c r="AJ392" s="1086">
        <v>0</v>
      </c>
      <c r="AK392" s="1086"/>
      <c r="AL392" s="1086"/>
      <c r="AM392" s="1086"/>
      <c r="AN392" s="1086"/>
      <c r="AO392" s="1086"/>
      <c r="AP392" s="1086"/>
      <c r="AQ392" s="1086"/>
      <c r="AR392" s="1086"/>
      <c r="AS392" s="1086"/>
      <c r="AT392" s="1086"/>
      <c r="AU392" s="1086">
        <v>0</v>
      </c>
      <c r="AV392" s="1086"/>
      <c r="AW392" s="1086"/>
      <c r="AX392" s="1086"/>
      <c r="AY392" s="1086"/>
      <c r="AZ392" s="1086"/>
      <c r="BA392" s="1086"/>
      <c r="BB392" s="1086"/>
      <c r="BC392" s="1086">
        <v>0</v>
      </c>
      <c r="BD392" s="1086"/>
      <c r="BE392" s="1086"/>
      <c r="BF392" s="1086"/>
      <c r="BG392" s="1086">
        <v>0</v>
      </c>
      <c r="BH392" s="1086"/>
      <c r="BI392" s="1086"/>
      <c r="BJ392" s="1086"/>
      <c r="BK392" s="1086">
        <v>0</v>
      </c>
      <c r="BL392" s="1086"/>
      <c r="BM392" s="1086"/>
      <c r="BN392" s="1086"/>
      <c r="BO392" s="1086"/>
    </row>
    <row r="393" spans="1:67" ht="13.5" customHeight="1" x14ac:dyDescent="0.2">
      <c r="A393" s="1113"/>
      <c r="B393" s="1113"/>
      <c r="C393" s="1113"/>
      <c r="D393" s="1113"/>
      <c r="E393" s="1113"/>
      <c r="F393" s="1113"/>
      <c r="G393" s="1113"/>
      <c r="H393" s="1113"/>
      <c r="I393" s="1113"/>
      <c r="J393" s="1113"/>
      <c r="K393" s="1113"/>
      <c r="L393" s="1113"/>
      <c r="M393" s="1113"/>
      <c r="N393" s="1113"/>
      <c r="O393" s="1113"/>
      <c r="P393" s="1113"/>
      <c r="Q393" s="1113"/>
      <c r="R393" s="1113"/>
      <c r="S393" s="1083"/>
      <c r="T393" s="1083"/>
      <c r="U393" s="1083"/>
      <c r="V393" s="1083"/>
      <c r="W393" s="1083"/>
      <c r="X393" s="1083"/>
      <c r="Y393" s="1083"/>
      <c r="Z393" s="1083"/>
      <c r="AA393" s="1083"/>
      <c r="AB393" s="1083"/>
      <c r="AC393" s="1083"/>
      <c r="AD393" s="1083"/>
      <c r="AE393" s="1083"/>
      <c r="AF393" s="1083"/>
      <c r="AG393" s="1083"/>
      <c r="AH393" s="1083"/>
      <c r="AI393" s="1083"/>
      <c r="AJ393" s="1083"/>
      <c r="AK393" s="1083"/>
      <c r="AL393" s="1083"/>
      <c r="AM393" s="1083"/>
      <c r="AN393" s="1083"/>
      <c r="AO393" s="1083"/>
      <c r="AP393" s="1083"/>
      <c r="AQ393" s="1083"/>
      <c r="AR393" s="1083"/>
      <c r="AS393" s="1083"/>
      <c r="AT393" s="1083"/>
      <c r="AU393" s="1083"/>
      <c r="AV393" s="1083"/>
      <c r="AW393" s="1083"/>
      <c r="AX393" s="1083"/>
      <c r="AY393" s="1083"/>
      <c r="AZ393" s="1083"/>
      <c r="BA393" s="1083"/>
      <c r="BB393" s="1083"/>
      <c r="BC393" s="1083"/>
      <c r="BD393" s="1083"/>
      <c r="BE393" s="1083"/>
      <c r="BF393" s="1083"/>
      <c r="BG393" s="1083"/>
      <c r="BH393" s="1083"/>
      <c r="BI393" s="1083"/>
      <c r="BJ393" s="1083"/>
      <c r="BK393" s="1083"/>
      <c r="BL393" s="1083"/>
      <c r="BM393" s="1083"/>
      <c r="BN393" s="1083"/>
      <c r="BO393" s="1083"/>
    </row>
    <row r="394" spans="1:67" ht="13.5" customHeight="1" x14ac:dyDescent="0.2">
      <c r="A394" s="1110" t="s">
        <v>764</v>
      </c>
      <c r="B394" s="1111"/>
      <c r="C394" s="1111"/>
      <c r="D394" s="1111"/>
      <c r="E394" s="1111"/>
      <c r="F394" s="1111"/>
      <c r="G394" s="1111"/>
      <c r="H394" s="1111"/>
      <c r="I394" s="1111"/>
      <c r="J394" s="1111"/>
      <c r="K394" s="1111"/>
      <c r="L394" s="1111"/>
      <c r="M394" s="1111"/>
      <c r="N394" s="1111"/>
      <c r="O394" s="1111"/>
      <c r="P394" s="1111"/>
      <c r="Q394" s="1111"/>
      <c r="R394" s="1112"/>
      <c r="S394" s="1106">
        <v>899733</v>
      </c>
      <c r="T394" s="1086"/>
      <c r="U394" s="1086"/>
      <c r="V394" s="1086"/>
      <c r="W394" s="1086"/>
      <c r="X394" s="1086">
        <v>566667</v>
      </c>
      <c r="Y394" s="1086"/>
      <c r="Z394" s="1086"/>
      <c r="AA394" s="1086"/>
      <c r="AB394" s="1086"/>
      <c r="AC394" s="1086"/>
      <c r="AD394" s="1086">
        <v>678581</v>
      </c>
      <c r="AE394" s="1086"/>
      <c r="AF394" s="1086"/>
      <c r="AG394" s="1086"/>
      <c r="AH394" s="1086"/>
      <c r="AI394" s="1086"/>
      <c r="AJ394" s="1086">
        <v>961303</v>
      </c>
      <c r="AK394" s="1086"/>
      <c r="AL394" s="1086"/>
      <c r="AM394" s="1086"/>
      <c r="AN394" s="1086"/>
      <c r="AO394" s="1086"/>
      <c r="AP394" s="1086"/>
      <c r="AQ394" s="1086"/>
      <c r="AR394" s="1086"/>
      <c r="AS394" s="1086"/>
      <c r="AT394" s="1086"/>
      <c r="AU394" s="1086">
        <v>921282</v>
      </c>
      <c r="AV394" s="1086"/>
      <c r="AW394" s="1086"/>
      <c r="AX394" s="1086"/>
      <c r="AY394" s="1086"/>
      <c r="AZ394" s="1086"/>
      <c r="BA394" s="1086"/>
      <c r="BB394" s="1086"/>
      <c r="BC394" s="1086">
        <v>751636</v>
      </c>
      <c r="BD394" s="1086"/>
      <c r="BE394" s="1086"/>
      <c r="BF394" s="1086"/>
      <c r="BG394" s="1086">
        <v>670425</v>
      </c>
      <c r="BH394" s="1086"/>
      <c r="BI394" s="1086"/>
      <c r="BJ394" s="1086"/>
      <c r="BK394" s="1086">
        <v>364746</v>
      </c>
      <c r="BL394" s="1086"/>
      <c r="BM394" s="1086"/>
      <c r="BN394" s="1086"/>
      <c r="BO394" s="1086"/>
    </row>
    <row r="395" spans="1:67" ht="13.5" customHeight="1" x14ac:dyDescent="0.2">
      <c r="A395" s="1107" t="s">
        <v>765</v>
      </c>
      <c r="B395" s="1087"/>
      <c r="C395" s="1087"/>
      <c r="D395" s="1087"/>
      <c r="E395" s="1087"/>
      <c r="F395" s="1087"/>
      <c r="G395" s="1087"/>
      <c r="H395" s="1087"/>
      <c r="I395" s="1087"/>
      <c r="J395" s="1087"/>
      <c r="K395" s="1087"/>
      <c r="L395" s="1087"/>
      <c r="M395" s="1087"/>
      <c r="N395" s="1087"/>
      <c r="O395" s="1087"/>
      <c r="P395" s="1087"/>
      <c r="Q395" s="1087"/>
      <c r="R395" s="1108"/>
      <c r="S395" s="1109" t="s">
        <v>535</v>
      </c>
      <c r="T395" s="1092"/>
      <c r="U395" s="1092"/>
      <c r="V395" s="1092"/>
      <c r="W395" s="1092"/>
      <c r="X395" s="1092" t="s">
        <v>535</v>
      </c>
      <c r="Y395" s="1092"/>
      <c r="Z395" s="1092"/>
      <c r="AA395" s="1092"/>
      <c r="AB395" s="1092"/>
      <c r="AC395" s="1092"/>
      <c r="AD395" s="1092" t="s">
        <v>535</v>
      </c>
      <c r="AE395" s="1092"/>
      <c r="AF395" s="1092"/>
      <c r="AG395" s="1092"/>
      <c r="AH395" s="1092"/>
      <c r="AI395" s="1092"/>
      <c r="AJ395" s="1092" t="s">
        <v>535</v>
      </c>
      <c r="AK395" s="1092"/>
      <c r="AL395" s="1092"/>
      <c r="AM395" s="1092"/>
      <c r="AN395" s="1092"/>
      <c r="AO395" s="1092"/>
      <c r="AP395" s="1092"/>
      <c r="AQ395" s="1092"/>
      <c r="AR395" s="1092"/>
      <c r="AS395" s="1092"/>
      <c r="AT395" s="1092"/>
      <c r="AU395" s="1092" t="s">
        <v>535</v>
      </c>
      <c r="AV395" s="1092"/>
      <c r="AW395" s="1092"/>
      <c r="AX395" s="1092"/>
      <c r="AY395" s="1092"/>
      <c r="AZ395" s="1092"/>
      <c r="BA395" s="1092"/>
      <c r="BB395" s="1092"/>
      <c r="BC395" s="1092" t="s">
        <v>535</v>
      </c>
      <c r="BD395" s="1092"/>
      <c r="BE395" s="1092"/>
      <c r="BF395" s="1092"/>
      <c r="BG395" s="1092" t="s">
        <v>535</v>
      </c>
      <c r="BH395" s="1092"/>
      <c r="BI395" s="1092"/>
      <c r="BJ395" s="1092"/>
      <c r="BK395" s="1092" t="s">
        <v>535</v>
      </c>
      <c r="BL395" s="1092"/>
      <c r="BM395" s="1092"/>
      <c r="BN395" s="1092"/>
      <c r="BO395" s="1092"/>
    </row>
    <row r="396" spans="1:67" ht="26" customHeight="1" x14ac:dyDescent="0.2">
      <c r="A396" s="1103" t="s">
        <v>766</v>
      </c>
      <c r="B396" s="1104"/>
      <c r="C396" s="1104"/>
      <c r="D396" s="1104"/>
      <c r="E396" s="1104"/>
      <c r="F396" s="1104"/>
      <c r="G396" s="1104"/>
      <c r="H396" s="1104"/>
      <c r="I396" s="1104"/>
      <c r="J396" s="1104"/>
      <c r="K396" s="1104"/>
      <c r="L396" s="1104"/>
      <c r="M396" s="1104"/>
      <c r="N396" s="1104"/>
      <c r="O396" s="1104"/>
      <c r="P396" s="1104"/>
      <c r="Q396" s="1104"/>
      <c r="R396" s="1105"/>
      <c r="S396" s="1106">
        <v>899733</v>
      </c>
      <c r="T396" s="1086"/>
      <c r="U396" s="1086"/>
      <c r="V396" s="1086"/>
      <c r="W396" s="1086"/>
      <c r="X396" s="1086">
        <v>566667</v>
      </c>
      <c r="Y396" s="1086"/>
      <c r="Z396" s="1086"/>
      <c r="AA396" s="1086"/>
      <c r="AB396" s="1086"/>
      <c r="AC396" s="1086"/>
      <c r="AD396" s="1086">
        <v>678581</v>
      </c>
      <c r="AE396" s="1086"/>
      <c r="AF396" s="1086"/>
      <c r="AG396" s="1086"/>
      <c r="AH396" s="1086"/>
      <c r="AI396" s="1086"/>
      <c r="AJ396" s="1086">
        <v>961303</v>
      </c>
      <c r="AK396" s="1086"/>
      <c r="AL396" s="1086"/>
      <c r="AM396" s="1086"/>
      <c r="AN396" s="1086"/>
      <c r="AO396" s="1086"/>
      <c r="AP396" s="1086"/>
      <c r="AQ396" s="1086"/>
      <c r="AR396" s="1086"/>
      <c r="AS396" s="1086"/>
      <c r="AT396" s="1086"/>
      <c r="AU396" s="1086">
        <v>921282</v>
      </c>
      <c r="AV396" s="1086"/>
      <c r="AW396" s="1086"/>
      <c r="AX396" s="1086"/>
      <c r="AY396" s="1086"/>
      <c r="AZ396" s="1086"/>
      <c r="BA396" s="1086"/>
      <c r="BB396" s="1086"/>
      <c r="BC396" s="1086">
        <v>751636</v>
      </c>
      <c r="BD396" s="1086"/>
      <c r="BE396" s="1086"/>
      <c r="BF396" s="1086"/>
      <c r="BG396" s="1086">
        <v>670425</v>
      </c>
      <c r="BH396" s="1086"/>
      <c r="BI396" s="1086"/>
      <c r="BJ396" s="1086"/>
      <c r="BK396" s="1086">
        <v>364746</v>
      </c>
      <c r="BL396" s="1086"/>
      <c r="BM396" s="1086"/>
      <c r="BN396" s="1086"/>
      <c r="BO396" s="1086"/>
    </row>
    <row r="397" spans="1:67" ht="13.5" customHeight="1" x14ac:dyDescent="0.2">
      <c r="A397" s="1102"/>
      <c r="B397" s="1102"/>
      <c r="C397" s="1102"/>
      <c r="D397" s="1102"/>
      <c r="E397" s="1102"/>
      <c r="F397" s="1102"/>
      <c r="G397" s="1102"/>
      <c r="H397" s="1102"/>
      <c r="I397" s="1102"/>
      <c r="J397" s="1102"/>
      <c r="K397" s="1102"/>
      <c r="L397" s="1102"/>
      <c r="M397" s="1102"/>
      <c r="N397" s="1102"/>
      <c r="O397" s="1102"/>
      <c r="P397" s="1102"/>
      <c r="Q397" s="1102"/>
      <c r="R397" s="1102"/>
      <c r="S397" s="1083"/>
      <c r="T397" s="1083"/>
      <c r="U397" s="1083"/>
      <c r="V397" s="1083"/>
      <c r="W397" s="1083"/>
      <c r="X397" s="1083"/>
      <c r="Y397" s="1083"/>
      <c r="Z397" s="1083"/>
      <c r="AA397" s="1083"/>
      <c r="AB397" s="1083"/>
      <c r="AC397" s="1083"/>
      <c r="AD397" s="1083"/>
      <c r="AE397" s="1083"/>
      <c r="AF397" s="1083"/>
      <c r="AG397" s="1083"/>
      <c r="AH397" s="1083"/>
      <c r="AI397" s="1083"/>
      <c r="AJ397" s="1083"/>
      <c r="AK397" s="1083"/>
      <c r="AL397" s="1083"/>
      <c r="AM397" s="1083"/>
      <c r="AN397" s="1083"/>
      <c r="AO397" s="1083"/>
      <c r="AP397" s="1083"/>
      <c r="AQ397" s="1083"/>
      <c r="AR397" s="1083"/>
      <c r="AS397" s="1083"/>
      <c r="AT397" s="1083"/>
      <c r="AU397" s="1083"/>
      <c r="AV397" s="1083"/>
      <c r="AW397" s="1083"/>
      <c r="AX397" s="1083"/>
      <c r="AY397" s="1083"/>
      <c r="AZ397" s="1083"/>
      <c r="BA397" s="1083"/>
      <c r="BB397" s="1083"/>
      <c r="BC397" s="1083"/>
      <c r="BD397" s="1083"/>
      <c r="BE397" s="1083"/>
      <c r="BF397" s="1083"/>
      <c r="BG397" s="1083"/>
      <c r="BH397" s="1083"/>
      <c r="BI397" s="1083"/>
      <c r="BJ397" s="1083"/>
      <c r="BK397" s="1083"/>
      <c r="BL397" s="1083"/>
      <c r="BM397" s="1083"/>
      <c r="BN397" s="1083"/>
      <c r="BO397" s="1083"/>
    </row>
    <row r="398" spans="1:67" ht="13.5" customHeight="1" x14ac:dyDescent="0.2">
      <c r="A398" s="1087" t="s">
        <v>767</v>
      </c>
      <c r="B398" s="1087"/>
      <c r="C398" s="1087"/>
      <c r="D398" s="1087"/>
      <c r="E398" s="1087"/>
      <c r="F398" s="1087"/>
      <c r="G398" s="1087"/>
      <c r="H398" s="1087"/>
      <c r="I398" s="1087"/>
      <c r="J398" s="1087"/>
      <c r="K398" s="1087"/>
      <c r="L398" s="1087"/>
      <c r="M398" s="1087"/>
      <c r="N398" s="1087"/>
      <c r="O398" s="1087"/>
      <c r="P398" s="1087"/>
      <c r="Q398" s="1087"/>
      <c r="R398" s="1087"/>
      <c r="S398" s="1091">
        <v>30</v>
      </c>
      <c r="T398" s="1091"/>
      <c r="U398" s="1091"/>
      <c r="V398" s="1091"/>
      <c r="W398" s="1091"/>
      <c r="X398" s="1091">
        <v>32</v>
      </c>
      <c r="Y398" s="1091"/>
      <c r="Z398" s="1091"/>
      <c r="AA398" s="1091"/>
      <c r="AB398" s="1091"/>
      <c r="AC398" s="1091"/>
      <c r="AD398" s="1091">
        <v>31</v>
      </c>
      <c r="AE398" s="1091"/>
      <c r="AF398" s="1091"/>
      <c r="AG398" s="1091"/>
      <c r="AH398" s="1091"/>
      <c r="AI398" s="1091"/>
      <c r="AJ398" s="1091">
        <v>27</v>
      </c>
      <c r="AK398" s="1091"/>
      <c r="AL398" s="1091"/>
      <c r="AM398" s="1091"/>
      <c r="AN398" s="1091"/>
      <c r="AO398" s="1091"/>
      <c r="AP398" s="1091"/>
      <c r="AQ398" s="1091"/>
      <c r="AR398" s="1091"/>
      <c r="AS398" s="1091"/>
      <c r="AT398" s="1091"/>
      <c r="AU398" s="1091">
        <v>24</v>
      </c>
      <c r="AV398" s="1091"/>
      <c r="AW398" s="1091"/>
      <c r="AX398" s="1091"/>
      <c r="AY398" s="1091"/>
      <c r="AZ398" s="1091"/>
      <c r="BA398" s="1091"/>
      <c r="BB398" s="1091"/>
      <c r="BC398" s="1091">
        <v>25</v>
      </c>
      <c r="BD398" s="1091"/>
      <c r="BE398" s="1091"/>
      <c r="BF398" s="1091"/>
      <c r="BG398" s="1091">
        <v>25</v>
      </c>
      <c r="BH398" s="1091"/>
      <c r="BI398" s="1091"/>
      <c r="BJ398" s="1091"/>
      <c r="BK398" s="1091">
        <v>27</v>
      </c>
      <c r="BL398" s="1091"/>
      <c r="BM398" s="1091"/>
      <c r="BN398" s="1091"/>
      <c r="BO398" s="1091"/>
    </row>
    <row r="399" spans="1:67" ht="13.5" customHeight="1" x14ac:dyDescent="0.2">
      <c r="A399" s="1083"/>
      <c r="B399" s="1083"/>
      <c r="C399" s="1083"/>
      <c r="D399" s="1083"/>
      <c r="E399" s="1083"/>
      <c r="F399" s="1083"/>
      <c r="G399" s="1083"/>
      <c r="H399" s="1083"/>
      <c r="I399" s="1083"/>
      <c r="J399" s="1083"/>
      <c r="K399" s="1083"/>
      <c r="L399" s="1083"/>
      <c r="M399" s="1083"/>
      <c r="N399" s="1083"/>
      <c r="O399" s="1083"/>
      <c r="P399" s="1083"/>
      <c r="Q399" s="1083"/>
      <c r="R399" s="1083"/>
      <c r="S399" s="1083"/>
      <c r="T399" s="1083"/>
      <c r="U399" s="1083"/>
      <c r="V399" s="1083"/>
      <c r="W399" s="1083"/>
      <c r="X399" s="1083"/>
      <c r="Y399" s="1083"/>
      <c r="Z399" s="1083"/>
      <c r="AA399" s="1083"/>
      <c r="AB399" s="1083"/>
      <c r="AC399" s="1083"/>
      <c r="AD399" s="1083"/>
      <c r="AE399" s="1083"/>
      <c r="AF399" s="1083"/>
      <c r="AG399" s="1083"/>
      <c r="AH399" s="1083"/>
      <c r="AI399" s="1083"/>
      <c r="AJ399" s="1083"/>
      <c r="AK399" s="1083"/>
      <c r="AL399" s="1083"/>
      <c r="AM399" s="1083"/>
      <c r="AN399" s="1083"/>
      <c r="AO399" s="1083"/>
      <c r="AP399" s="1083"/>
      <c r="AQ399" s="1083"/>
      <c r="AR399" s="1083"/>
      <c r="AS399" s="1083"/>
      <c r="AT399" s="1083"/>
      <c r="AU399" s="1083"/>
      <c r="AV399" s="1083"/>
      <c r="AW399" s="1083"/>
      <c r="AX399" s="1083"/>
      <c r="AY399" s="1083"/>
      <c r="AZ399" s="1083"/>
      <c r="BA399" s="1083"/>
      <c r="BB399" s="1083"/>
      <c r="BC399" s="1083"/>
      <c r="BD399" s="1083"/>
      <c r="BE399" s="1083"/>
      <c r="BF399" s="1083"/>
      <c r="BG399" s="1083"/>
      <c r="BH399" s="1083"/>
      <c r="BI399" s="1083"/>
      <c r="BJ399" s="1083"/>
      <c r="BK399" s="1083"/>
      <c r="BL399" s="1083"/>
      <c r="BM399" s="1083"/>
      <c r="BN399" s="1083"/>
      <c r="BO399" s="1083"/>
    </row>
    <row r="400" spans="1:67" ht="12.5" customHeight="1" x14ac:dyDescent="0.2">
      <c r="A400" s="1084"/>
      <c r="B400" s="1085"/>
      <c r="C400" s="1085"/>
      <c r="D400" s="1085"/>
      <c r="E400" s="1085"/>
      <c r="F400" s="1085"/>
      <c r="G400" s="1085"/>
      <c r="H400" s="1085"/>
      <c r="I400" s="1085"/>
      <c r="J400" s="1085"/>
      <c r="K400" s="1085"/>
      <c r="L400" s="1085"/>
      <c r="M400" s="1085"/>
      <c r="N400" s="1085"/>
      <c r="O400" s="1085"/>
      <c r="P400" s="1085"/>
      <c r="Q400" s="1085"/>
      <c r="R400" s="1085"/>
      <c r="S400" s="1085"/>
      <c r="T400" s="1085"/>
      <c r="U400" s="1085"/>
      <c r="V400" s="1085"/>
      <c r="W400" s="1085"/>
      <c r="X400" s="1085"/>
      <c r="Y400" s="1085"/>
      <c r="Z400" s="1085"/>
      <c r="AA400" s="1085"/>
      <c r="AB400" s="1085"/>
      <c r="AC400" s="1085"/>
      <c r="AD400" s="1085"/>
      <c r="AE400" s="1085"/>
      <c r="AF400" s="1085"/>
      <c r="AG400" s="1085"/>
      <c r="AH400" s="1085"/>
      <c r="AI400" s="1085"/>
      <c r="AJ400" s="1085"/>
      <c r="AK400" s="1085"/>
      <c r="AL400" s="1085"/>
      <c r="AM400" s="1085"/>
      <c r="AN400" s="1085"/>
      <c r="AO400" s="1085"/>
      <c r="AP400" s="1085"/>
      <c r="AQ400" s="1085"/>
      <c r="AR400" s="1085"/>
      <c r="AS400" s="1085"/>
      <c r="AT400" s="1085"/>
      <c r="AU400" s="1085"/>
      <c r="AV400" s="1085"/>
      <c r="AW400" s="1085"/>
      <c r="AX400" s="1085"/>
    </row>
    <row r="401" spans="1:67" ht="18.25" customHeight="1" x14ac:dyDescent="0.2">
      <c r="A401" s="1020" t="s">
        <v>768</v>
      </c>
      <c r="B401" s="1021"/>
      <c r="C401" s="1021"/>
      <c r="D401" s="1021"/>
      <c r="E401" s="1021"/>
      <c r="F401" s="1021"/>
      <c r="G401" s="1021"/>
      <c r="H401" s="1021"/>
      <c r="I401" s="1021"/>
      <c r="J401" s="1021"/>
      <c r="K401" s="1021"/>
      <c r="L401" s="1021"/>
      <c r="M401" s="1021"/>
      <c r="N401" s="1021"/>
      <c r="O401" s="1021"/>
      <c r="P401" s="1021"/>
      <c r="Q401" s="1021"/>
      <c r="R401" s="1021"/>
      <c r="S401" s="1021"/>
      <c r="T401" s="1021"/>
      <c r="U401" s="1021"/>
      <c r="V401" s="1021"/>
      <c r="W401" s="1021"/>
      <c r="X401" s="1021"/>
      <c r="Y401" s="1021"/>
      <c r="Z401" s="1021"/>
      <c r="AA401" s="1021"/>
      <c r="AB401" s="1021"/>
      <c r="AC401" s="1021"/>
      <c r="AD401" s="1021"/>
      <c r="AE401" s="1021"/>
      <c r="AF401" s="1021"/>
      <c r="AG401" s="1021"/>
      <c r="AH401" s="1021"/>
      <c r="AI401" s="1021"/>
      <c r="AJ401" s="1021"/>
      <c r="AK401" s="1021"/>
      <c r="AL401" s="1021"/>
      <c r="AM401" s="1021"/>
      <c r="AN401" s="1021"/>
      <c r="AO401" s="1021"/>
      <c r="AP401" s="1021"/>
      <c r="AQ401" s="1021"/>
      <c r="AR401" s="1021"/>
      <c r="AS401" s="1021"/>
      <c r="AT401" s="1021"/>
      <c r="AU401" s="1021"/>
      <c r="AV401" s="1021"/>
      <c r="AW401" s="1021"/>
      <c r="AX401" s="1021"/>
      <c r="AY401" s="1021"/>
      <c r="AZ401" s="1021"/>
      <c r="BA401" s="1021"/>
      <c r="BB401" s="1021"/>
      <c r="BC401" s="1021"/>
      <c r="BD401" s="1021"/>
      <c r="BE401" s="1021"/>
      <c r="BF401" s="1021"/>
      <c r="BG401" s="1021"/>
      <c r="BH401" s="1021"/>
      <c r="BI401" s="1021"/>
      <c r="BJ401" s="1021"/>
      <c r="BK401" s="1021"/>
      <c r="BL401" s="1021"/>
      <c r="BM401" s="1021"/>
      <c r="BN401" s="1021"/>
    </row>
    <row r="402" spans="1:67" ht="12.5" customHeight="1" x14ac:dyDescent="0.2">
      <c r="A402" s="1022"/>
      <c r="B402" s="1023"/>
      <c r="C402" s="1023"/>
      <c r="D402" s="1023"/>
      <c r="E402" s="1023"/>
      <c r="F402" s="1023"/>
      <c r="G402" s="1023"/>
      <c r="H402" s="1023"/>
      <c r="I402" s="1023"/>
      <c r="J402" s="1023"/>
      <c r="K402" s="1023"/>
      <c r="L402" s="1023"/>
      <c r="M402" s="1023"/>
      <c r="N402" s="1023"/>
      <c r="O402" s="1023"/>
      <c r="P402" s="1023"/>
      <c r="Q402" s="1023"/>
      <c r="R402" s="1023"/>
      <c r="S402" s="1023"/>
      <c r="T402" s="1023"/>
      <c r="U402" s="1023"/>
      <c r="V402" s="1023"/>
      <c r="W402" s="1023"/>
      <c r="X402" s="1023"/>
      <c r="Y402" s="1023"/>
      <c r="Z402" s="1023"/>
      <c r="AA402" s="1023"/>
      <c r="AB402" s="1023"/>
      <c r="AC402" s="1023"/>
      <c r="AD402" s="1023"/>
      <c r="AE402" s="1023"/>
      <c r="AF402" s="1023"/>
      <c r="AG402" s="1023"/>
      <c r="AH402" s="1023"/>
      <c r="AI402" s="1023"/>
      <c r="AJ402" s="1023"/>
      <c r="AK402" s="1023"/>
      <c r="AL402" s="1023"/>
      <c r="AM402" s="1023"/>
      <c r="AN402" s="1023"/>
      <c r="AO402" s="1023"/>
      <c r="AP402" s="1023"/>
      <c r="AQ402" s="1023"/>
      <c r="AR402" s="1023"/>
      <c r="AS402" s="1023"/>
      <c r="AT402" s="1023"/>
      <c r="AU402" s="1023"/>
      <c r="AV402" s="1023"/>
      <c r="AW402" s="1023"/>
      <c r="AX402" s="1023"/>
    </row>
    <row r="403" spans="1:67" ht="13.5" customHeight="1" x14ac:dyDescent="0.2">
      <c r="A403" s="1100" t="s">
        <v>456</v>
      </c>
      <c r="B403" s="1100"/>
      <c r="C403" s="1100"/>
      <c r="D403" s="1100"/>
      <c r="E403" s="1100"/>
      <c r="F403" s="1100"/>
      <c r="G403" s="1100"/>
      <c r="H403" s="1100"/>
      <c r="I403" s="1100"/>
      <c r="J403" s="1100"/>
      <c r="K403" s="1100"/>
      <c r="L403" s="1100"/>
      <c r="M403" s="1100"/>
      <c r="N403" s="1100"/>
      <c r="O403" s="1100"/>
      <c r="P403" s="1100"/>
      <c r="Q403" s="1100"/>
      <c r="R403" s="1100"/>
      <c r="S403" s="1070"/>
      <c r="T403" s="1099" t="s">
        <v>450</v>
      </c>
      <c r="U403" s="1099"/>
      <c r="V403" s="1099"/>
      <c r="W403" s="1099"/>
      <c r="X403" s="1070"/>
      <c r="Y403" s="1099" t="s">
        <v>495</v>
      </c>
      <c r="Z403" s="1099"/>
      <c r="AA403" s="1099"/>
      <c r="AB403" s="1099"/>
      <c r="AC403" s="1099"/>
      <c r="AD403" s="1070"/>
      <c r="AE403" s="1099" t="s">
        <v>496</v>
      </c>
      <c r="AF403" s="1099"/>
      <c r="AG403" s="1099"/>
      <c r="AH403" s="1099"/>
      <c r="AI403" s="1099"/>
      <c r="AJ403" s="1070"/>
      <c r="AK403" s="1070"/>
      <c r="AL403" s="1099" t="s">
        <v>497</v>
      </c>
      <c r="AM403" s="1099"/>
      <c r="AN403" s="1099"/>
      <c r="AO403" s="1099"/>
      <c r="AP403" s="1099"/>
      <c r="AQ403" s="1099"/>
      <c r="AR403" s="1099"/>
      <c r="AS403" s="1099"/>
      <c r="AT403" s="1099"/>
      <c r="AU403" s="1070"/>
      <c r="AV403" s="1099" t="s">
        <v>498</v>
      </c>
      <c r="AW403" s="1099"/>
      <c r="AX403" s="1099"/>
      <c r="AY403" s="1099"/>
      <c r="AZ403" s="1099"/>
      <c r="BA403" s="1099"/>
      <c r="BB403" s="1099"/>
      <c r="BC403" s="1070"/>
      <c r="BD403" s="1099" t="s">
        <v>499</v>
      </c>
      <c r="BE403" s="1099"/>
      <c r="BF403" s="1099"/>
      <c r="BG403" s="1070"/>
      <c r="BH403" s="1099" t="s">
        <v>500</v>
      </c>
      <c r="BI403" s="1099"/>
      <c r="BJ403" s="1099"/>
      <c r="BK403" s="1070"/>
      <c r="BL403" s="1099" t="s">
        <v>501</v>
      </c>
      <c r="BM403" s="1099"/>
      <c r="BN403" s="1099"/>
      <c r="BO403" s="1099"/>
    </row>
    <row r="404" spans="1:67" ht="13.5" customHeight="1" x14ac:dyDescent="0.2">
      <c r="A404" s="1101"/>
      <c r="B404" s="1101"/>
      <c r="C404" s="1101"/>
      <c r="D404" s="1101"/>
      <c r="E404" s="1101"/>
      <c r="F404" s="1101"/>
      <c r="G404" s="1101"/>
      <c r="H404" s="1101"/>
      <c r="I404" s="1101"/>
      <c r="J404" s="1101"/>
      <c r="K404" s="1101"/>
      <c r="L404" s="1101"/>
      <c r="M404" s="1101"/>
      <c r="N404" s="1101"/>
      <c r="O404" s="1101"/>
      <c r="P404" s="1101"/>
      <c r="Q404" s="1101"/>
      <c r="R404" s="1101"/>
      <c r="S404" s="1098"/>
      <c r="T404" s="1096" t="s">
        <v>502</v>
      </c>
      <c r="U404" s="1096"/>
      <c r="V404" s="1096"/>
      <c r="W404" s="1096"/>
      <c r="X404" s="1098"/>
      <c r="Y404" s="1096" t="s">
        <v>502</v>
      </c>
      <c r="Z404" s="1096"/>
      <c r="AA404" s="1096"/>
      <c r="AB404" s="1096"/>
      <c r="AC404" s="1096"/>
      <c r="AD404" s="1098"/>
      <c r="AE404" s="1096" t="s">
        <v>502</v>
      </c>
      <c r="AF404" s="1096"/>
      <c r="AG404" s="1096"/>
      <c r="AH404" s="1096"/>
      <c r="AI404" s="1096"/>
      <c r="AJ404" s="1098"/>
      <c r="AK404" s="1098"/>
      <c r="AL404" s="1096" t="s">
        <v>502</v>
      </c>
      <c r="AM404" s="1096"/>
      <c r="AN404" s="1096"/>
      <c r="AO404" s="1096"/>
      <c r="AP404" s="1096"/>
      <c r="AQ404" s="1096"/>
      <c r="AR404" s="1096"/>
      <c r="AS404" s="1096"/>
      <c r="AT404" s="1096"/>
      <c r="AU404" s="1098"/>
      <c r="AV404" s="1096" t="s">
        <v>502</v>
      </c>
      <c r="AW404" s="1096"/>
      <c r="AX404" s="1096"/>
      <c r="AY404" s="1096"/>
      <c r="AZ404" s="1096"/>
      <c r="BA404" s="1096"/>
      <c r="BB404" s="1096"/>
      <c r="BC404" s="1098"/>
      <c r="BD404" s="1096" t="s">
        <v>502</v>
      </c>
      <c r="BE404" s="1096"/>
      <c r="BF404" s="1096"/>
      <c r="BG404" s="1098"/>
      <c r="BH404" s="1096" t="s">
        <v>502</v>
      </c>
      <c r="BI404" s="1096"/>
      <c r="BJ404" s="1096"/>
      <c r="BK404" s="1098"/>
      <c r="BL404" s="1096" t="s">
        <v>502</v>
      </c>
      <c r="BM404" s="1096"/>
      <c r="BN404" s="1096"/>
      <c r="BO404" s="1096"/>
    </row>
    <row r="405" spans="1:67" ht="13.5" customHeight="1" x14ac:dyDescent="0.2">
      <c r="U405" s="1097" t="s">
        <v>503</v>
      </c>
      <c r="V405" s="1097"/>
      <c r="W405" s="1097"/>
      <c r="Z405" s="1097" t="s">
        <v>503</v>
      </c>
      <c r="AA405" s="1097"/>
      <c r="AB405" s="1097"/>
      <c r="AC405" s="1097"/>
      <c r="AF405" s="1097" t="s">
        <v>503</v>
      </c>
      <c r="AG405" s="1097"/>
      <c r="AH405" s="1097"/>
      <c r="AI405" s="1097"/>
      <c r="AM405" s="1097" t="s">
        <v>503</v>
      </c>
      <c r="AN405" s="1097"/>
      <c r="AO405" s="1097"/>
      <c r="AP405" s="1097"/>
      <c r="AQ405" s="1097"/>
      <c r="AR405" s="1097"/>
      <c r="AS405" s="1097"/>
      <c r="AT405" s="1097"/>
      <c r="AX405" s="1097" t="s">
        <v>503</v>
      </c>
      <c r="AY405" s="1097"/>
      <c r="AZ405" s="1097"/>
      <c r="BA405" s="1097"/>
      <c r="BB405" s="1097"/>
      <c r="BE405" s="1097" t="s">
        <v>503</v>
      </c>
      <c r="BF405" s="1097"/>
      <c r="BI405" s="1097" t="s">
        <v>503</v>
      </c>
      <c r="BJ405" s="1097"/>
      <c r="BM405" s="1097" t="s">
        <v>503</v>
      </c>
      <c r="BN405" s="1097"/>
      <c r="BO405" s="1097"/>
    </row>
    <row r="406" spans="1:67" ht="13.5" customHeight="1" x14ac:dyDescent="0.2">
      <c r="U406" s="1030" t="s">
        <v>458</v>
      </c>
      <c r="V406" s="1030"/>
      <c r="W406" s="1030"/>
      <c r="Z406" s="1030" t="s">
        <v>458</v>
      </c>
      <c r="AA406" s="1030"/>
      <c r="AB406" s="1030"/>
      <c r="AC406" s="1030"/>
      <c r="AF406" s="1030" t="s">
        <v>458</v>
      </c>
      <c r="AG406" s="1030"/>
      <c r="AH406" s="1030"/>
      <c r="AI406" s="1030"/>
      <c r="AM406" s="1030" t="s">
        <v>458</v>
      </c>
      <c r="AN406" s="1030"/>
      <c r="AO406" s="1030"/>
      <c r="AP406" s="1030"/>
      <c r="AQ406" s="1030"/>
      <c r="AR406" s="1030"/>
      <c r="AS406" s="1030"/>
      <c r="AT406" s="1030"/>
      <c r="AX406" s="1030" t="s">
        <v>458</v>
      </c>
      <c r="AY406" s="1030"/>
      <c r="AZ406" s="1030"/>
      <c r="BA406" s="1030"/>
      <c r="BB406" s="1030"/>
      <c r="BE406" s="1030" t="s">
        <v>458</v>
      </c>
      <c r="BF406" s="1030"/>
      <c r="BI406" s="1030" t="s">
        <v>458</v>
      </c>
      <c r="BJ406" s="1030"/>
      <c r="BM406" s="1030" t="s">
        <v>458</v>
      </c>
      <c r="BN406" s="1030"/>
      <c r="BO406" s="1030"/>
    </row>
    <row r="407" spans="1:67" ht="13.5" customHeight="1" x14ac:dyDescent="0.2">
      <c r="U407" s="1095" t="s">
        <v>504</v>
      </c>
      <c r="V407" s="1095"/>
      <c r="W407" s="1095"/>
      <c r="Z407" s="1095" t="s">
        <v>504</v>
      </c>
      <c r="AA407" s="1095"/>
      <c r="AB407" s="1095"/>
      <c r="AC407" s="1095"/>
      <c r="AF407" s="1095" t="s">
        <v>504</v>
      </c>
      <c r="AG407" s="1095"/>
      <c r="AH407" s="1095"/>
      <c r="AI407" s="1095"/>
      <c r="AM407" s="1095" t="s">
        <v>504</v>
      </c>
      <c r="AN407" s="1095"/>
      <c r="AO407" s="1095"/>
      <c r="AP407" s="1095"/>
      <c r="AQ407" s="1095"/>
      <c r="AR407" s="1095"/>
      <c r="AS407" s="1095"/>
      <c r="AT407" s="1095"/>
      <c r="AX407" s="1095" t="s">
        <v>504</v>
      </c>
      <c r="AY407" s="1095"/>
      <c r="AZ407" s="1095"/>
      <c r="BA407" s="1095"/>
      <c r="BB407" s="1095"/>
      <c r="BE407" s="1095" t="s">
        <v>504</v>
      </c>
      <c r="BF407" s="1095"/>
      <c r="BI407" s="1095" t="s">
        <v>504</v>
      </c>
      <c r="BJ407" s="1095"/>
      <c r="BM407" s="1095" t="s">
        <v>504</v>
      </c>
      <c r="BN407" s="1095"/>
      <c r="BO407" s="1095"/>
    </row>
    <row r="408" spans="1:67" ht="40.75" customHeight="1" x14ac:dyDescent="0.2">
      <c r="S408" s="1093"/>
      <c r="T408" s="1093"/>
      <c r="U408" s="1083"/>
      <c r="V408" s="1083"/>
      <c r="W408" s="1083"/>
      <c r="X408" s="1093"/>
      <c r="Y408" s="1093"/>
      <c r="Z408" s="1083"/>
      <c r="AA408" s="1083"/>
      <c r="AB408" s="1083"/>
      <c r="AC408" s="1083"/>
      <c r="AD408" s="1093"/>
      <c r="AE408" s="1093"/>
      <c r="AF408" s="1083"/>
      <c r="AG408" s="1083"/>
      <c r="AH408" s="1083"/>
      <c r="AI408" s="1083"/>
      <c r="AJ408" s="1093"/>
      <c r="AK408" s="1093"/>
      <c r="AL408" s="1093"/>
      <c r="AM408" s="1083"/>
      <c r="AN408" s="1083"/>
      <c r="AO408" s="1083"/>
      <c r="AP408" s="1083"/>
      <c r="AQ408" s="1083"/>
      <c r="AR408" s="1083"/>
      <c r="AS408" s="1083"/>
      <c r="AT408" s="1083"/>
      <c r="AU408" s="1093"/>
      <c r="AV408" s="1093"/>
      <c r="AW408" s="1093"/>
      <c r="AX408" s="1083"/>
      <c r="AY408" s="1083"/>
      <c r="AZ408" s="1083"/>
      <c r="BA408" s="1083"/>
      <c r="BB408" s="1083"/>
      <c r="BC408" s="1093"/>
      <c r="BD408" s="1093"/>
      <c r="BE408" s="1083"/>
      <c r="BF408" s="1083"/>
      <c r="BG408" s="1093"/>
      <c r="BH408" s="1093"/>
      <c r="BI408" s="1083"/>
      <c r="BJ408" s="1083"/>
      <c r="BK408" s="1093"/>
      <c r="BL408" s="1093"/>
      <c r="BM408" s="1083"/>
      <c r="BN408" s="1083"/>
      <c r="BO408" s="1083"/>
    </row>
    <row r="409" spans="1:67" ht="13.5" customHeight="1" x14ac:dyDescent="0.2">
      <c r="A409" s="1094" t="s">
        <v>769</v>
      </c>
      <c r="B409" s="1094"/>
      <c r="C409" s="1094"/>
      <c r="D409" s="1094"/>
      <c r="E409" s="1094"/>
      <c r="F409" s="1094"/>
      <c r="G409" s="1094"/>
      <c r="H409" s="1094"/>
      <c r="I409" s="1094"/>
      <c r="J409" s="1094"/>
      <c r="K409" s="1094"/>
      <c r="L409" s="1094"/>
      <c r="M409" s="1094"/>
      <c r="N409" s="1094"/>
      <c r="O409" s="1094"/>
      <c r="P409" s="1094"/>
      <c r="Q409" s="1094"/>
      <c r="R409" s="1094"/>
      <c r="S409" s="1089"/>
      <c r="T409" s="1089"/>
      <c r="U409" s="1089"/>
      <c r="V409" s="1089"/>
      <c r="W409" s="1089"/>
      <c r="X409" s="1089"/>
      <c r="Y409" s="1089"/>
      <c r="Z409" s="1089"/>
      <c r="AA409" s="1089"/>
      <c r="AB409" s="1089"/>
      <c r="AC409" s="1089"/>
      <c r="AD409" s="1089"/>
      <c r="AE409" s="1089"/>
      <c r="AF409" s="1089"/>
      <c r="AG409" s="1089"/>
      <c r="AH409" s="1089"/>
      <c r="AI409" s="1089"/>
      <c r="AJ409" s="1089"/>
      <c r="AK409" s="1089"/>
      <c r="AL409" s="1089"/>
      <c r="AM409" s="1089"/>
      <c r="AN409" s="1089"/>
      <c r="AO409" s="1089"/>
      <c r="AP409" s="1089"/>
      <c r="AQ409" s="1089"/>
      <c r="AR409" s="1089"/>
      <c r="AS409" s="1089"/>
      <c r="AT409" s="1089"/>
      <c r="AU409" s="1089"/>
      <c r="AV409" s="1089"/>
      <c r="AW409" s="1089"/>
      <c r="AX409" s="1089"/>
      <c r="AY409" s="1089"/>
      <c r="AZ409" s="1089"/>
      <c r="BA409" s="1089"/>
      <c r="BB409" s="1089"/>
      <c r="BC409" s="1089"/>
      <c r="BD409" s="1089"/>
      <c r="BE409" s="1089"/>
      <c r="BF409" s="1089"/>
      <c r="BG409" s="1089"/>
      <c r="BH409" s="1089"/>
      <c r="BI409" s="1089"/>
      <c r="BJ409" s="1089"/>
      <c r="BK409" s="1089"/>
      <c r="BL409" s="1089"/>
      <c r="BM409" s="1089"/>
      <c r="BN409" s="1089"/>
      <c r="BO409" s="1089"/>
    </row>
    <row r="410" spans="1:67" ht="13.5" customHeight="1" x14ac:dyDescent="0.2">
      <c r="A410" s="1083"/>
      <c r="B410" s="1083"/>
      <c r="C410" s="1083"/>
      <c r="D410" s="1083"/>
      <c r="E410" s="1083"/>
      <c r="F410" s="1083"/>
      <c r="G410" s="1083"/>
      <c r="H410" s="1083"/>
      <c r="I410" s="1083"/>
      <c r="J410" s="1083"/>
      <c r="K410" s="1083"/>
      <c r="L410" s="1083"/>
      <c r="M410" s="1083"/>
      <c r="N410" s="1083"/>
      <c r="O410" s="1083"/>
      <c r="P410" s="1083"/>
      <c r="Q410" s="1083"/>
      <c r="R410" s="1083"/>
      <c r="S410" s="1083"/>
      <c r="T410" s="1083"/>
      <c r="U410" s="1083"/>
      <c r="V410" s="1083"/>
      <c r="W410" s="1083"/>
      <c r="X410" s="1083"/>
      <c r="Y410" s="1083"/>
      <c r="Z410" s="1083"/>
      <c r="AA410" s="1083"/>
      <c r="AB410" s="1083"/>
      <c r="AC410" s="1083"/>
      <c r="AD410" s="1083"/>
      <c r="AE410" s="1083"/>
      <c r="AF410" s="1083"/>
      <c r="AG410" s="1083"/>
      <c r="AH410" s="1083"/>
      <c r="AI410" s="1083"/>
      <c r="AJ410" s="1083"/>
      <c r="AK410" s="1083"/>
      <c r="AL410" s="1083"/>
      <c r="AM410" s="1083"/>
      <c r="AN410" s="1083"/>
      <c r="AO410" s="1083"/>
      <c r="AP410" s="1083"/>
      <c r="AQ410" s="1083"/>
      <c r="AR410" s="1083"/>
      <c r="AS410" s="1083"/>
      <c r="AT410" s="1083"/>
      <c r="AU410" s="1083"/>
      <c r="AV410" s="1083"/>
      <c r="AW410" s="1083"/>
      <c r="AX410" s="1083"/>
      <c r="AY410" s="1083"/>
      <c r="AZ410" s="1083"/>
      <c r="BA410" s="1083"/>
      <c r="BB410" s="1083"/>
      <c r="BC410" s="1083"/>
      <c r="BD410" s="1083"/>
      <c r="BE410" s="1083"/>
      <c r="BF410" s="1083"/>
      <c r="BG410" s="1083"/>
      <c r="BH410" s="1083"/>
      <c r="BI410" s="1083"/>
      <c r="BJ410" s="1083"/>
      <c r="BK410" s="1083"/>
      <c r="BL410" s="1083"/>
      <c r="BM410" s="1083"/>
      <c r="BN410" s="1083"/>
      <c r="BO410" s="1083"/>
    </row>
    <row r="411" spans="1:67" ht="13.5" customHeight="1" x14ac:dyDescent="0.2">
      <c r="A411" s="1087" t="s">
        <v>770</v>
      </c>
      <c r="B411" s="1087"/>
      <c r="C411" s="1087"/>
      <c r="D411" s="1087"/>
      <c r="E411" s="1087"/>
      <c r="F411" s="1087"/>
      <c r="G411" s="1087"/>
      <c r="H411" s="1087"/>
      <c r="I411" s="1087"/>
      <c r="J411" s="1087"/>
      <c r="K411" s="1087"/>
      <c r="L411" s="1087"/>
      <c r="M411" s="1087"/>
      <c r="N411" s="1087"/>
      <c r="O411" s="1087"/>
      <c r="P411" s="1087"/>
      <c r="Q411" s="1087"/>
      <c r="R411" s="1087"/>
      <c r="S411" s="1088">
        <v>0.77</v>
      </c>
      <c r="T411" s="1088"/>
      <c r="U411" s="1088"/>
      <c r="V411" s="1088"/>
      <c r="W411" s="1088"/>
      <c r="X411" s="1088">
        <v>0.8600000000000001</v>
      </c>
      <c r="Y411" s="1088"/>
      <c r="Z411" s="1088"/>
      <c r="AA411" s="1088"/>
      <c r="AB411" s="1088"/>
      <c r="AC411" s="1088"/>
      <c r="AD411" s="1088">
        <v>0.73000000000000009</v>
      </c>
      <c r="AE411" s="1088"/>
      <c r="AF411" s="1088"/>
      <c r="AG411" s="1088"/>
      <c r="AH411" s="1088"/>
      <c r="AI411" s="1088"/>
      <c r="AJ411" s="1088">
        <v>0.88</v>
      </c>
      <c r="AK411" s="1088"/>
      <c r="AL411" s="1088"/>
      <c r="AM411" s="1088"/>
      <c r="AN411" s="1088"/>
      <c r="AO411" s="1088"/>
      <c r="AP411" s="1088"/>
      <c r="AQ411" s="1088"/>
      <c r="AR411" s="1088"/>
      <c r="AS411" s="1088"/>
      <c r="AT411" s="1088"/>
      <c r="AU411" s="1088">
        <v>1.01</v>
      </c>
      <c r="AV411" s="1088"/>
      <c r="AW411" s="1088"/>
      <c r="AX411" s="1088"/>
      <c r="AY411" s="1088"/>
      <c r="AZ411" s="1088"/>
      <c r="BA411" s="1088"/>
      <c r="BB411" s="1088"/>
      <c r="BC411" s="1088">
        <v>0.60000000000000009</v>
      </c>
      <c r="BD411" s="1088"/>
      <c r="BE411" s="1088"/>
      <c r="BF411" s="1088"/>
      <c r="BG411" s="1088">
        <v>0.76</v>
      </c>
      <c r="BH411" s="1088"/>
      <c r="BI411" s="1088"/>
      <c r="BJ411" s="1088"/>
      <c r="BK411" s="1088">
        <v>0.8</v>
      </c>
      <c r="BL411" s="1088"/>
      <c r="BM411" s="1088"/>
      <c r="BN411" s="1088"/>
      <c r="BO411" s="1088"/>
    </row>
    <row r="412" spans="1:67" ht="13.5" customHeight="1" x14ac:dyDescent="0.2">
      <c r="A412" s="1087" t="s">
        <v>771</v>
      </c>
      <c r="B412" s="1087"/>
      <c r="C412" s="1087"/>
      <c r="D412" s="1087"/>
      <c r="E412" s="1087"/>
      <c r="F412" s="1087"/>
      <c r="G412" s="1087"/>
      <c r="H412" s="1087"/>
      <c r="I412" s="1087"/>
      <c r="J412" s="1087"/>
      <c r="K412" s="1087"/>
      <c r="L412" s="1087"/>
      <c r="M412" s="1087"/>
      <c r="N412" s="1087"/>
      <c r="O412" s="1087"/>
      <c r="P412" s="1087"/>
      <c r="Q412" s="1087"/>
      <c r="R412" s="1087"/>
      <c r="S412" s="1088">
        <v>1.45</v>
      </c>
      <c r="T412" s="1088"/>
      <c r="U412" s="1088"/>
      <c r="V412" s="1088"/>
      <c r="W412" s="1088"/>
      <c r="X412" s="1088">
        <v>1.57</v>
      </c>
      <c r="Y412" s="1088"/>
      <c r="Z412" s="1088"/>
      <c r="AA412" s="1088"/>
      <c r="AB412" s="1088"/>
      <c r="AC412" s="1088"/>
      <c r="AD412" s="1088">
        <v>1.4</v>
      </c>
      <c r="AE412" s="1088"/>
      <c r="AF412" s="1088"/>
      <c r="AG412" s="1088"/>
      <c r="AH412" s="1088"/>
      <c r="AI412" s="1088"/>
      <c r="AJ412" s="1088">
        <v>1.33</v>
      </c>
      <c r="AK412" s="1088"/>
      <c r="AL412" s="1088"/>
      <c r="AM412" s="1088"/>
      <c r="AN412" s="1088"/>
      <c r="AO412" s="1088"/>
      <c r="AP412" s="1088"/>
      <c r="AQ412" s="1088"/>
      <c r="AR412" s="1088"/>
      <c r="AS412" s="1088"/>
      <c r="AT412" s="1088"/>
      <c r="AU412" s="1088">
        <v>1.52</v>
      </c>
      <c r="AV412" s="1088"/>
      <c r="AW412" s="1088"/>
      <c r="AX412" s="1088"/>
      <c r="AY412" s="1088"/>
      <c r="AZ412" s="1088"/>
      <c r="BA412" s="1088"/>
      <c r="BB412" s="1088"/>
      <c r="BC412" s="1088">
        <v>1.1000000000000001</v>
      </c>
      <c r="BD412" s="1088"/>
      <c r="BE412" s="1088"/>
      <c r="BF412" s="1088"/>
      <c r="BG412" s="1088">
        <v>1.43</v>
      </c>
      <c r="BH412" s="1088"/>
      <c r="BI412" s="1088"/>
      <c r="BJ412" s="1088"/>
      <c r="BK412" s="1088">
        <v>1.33</v>
      </c>
      <c r="BL412" s="1088"/>
      <c r="BM412" s="1088"/>
      <c r="BN412" s="1088"/>
      <c r="BO412" s="1088"/>
    </row>
    <row r="413" spans="1:67" ht="13.5" customHeight="1" x14ac:dyDescent="0.2">
      <c r="A413" s="1087" t="s">
        <v>772</v>
      </c>
      <c r="B413" s="1087"/>
      <c r="C413" s="1087"/>
      <c r="D413" s="1087"/>
      <c r="E413" s="1087"/>
      <c r="F413" s="1087"/>
      <c r="G413" s="1087"/>
      <c r="H413" s="1087"/>
      <c r="I413" s="1087"/>
      <c r="J413" s="1087"/>
      <c r="K413" s="1087"/>
      <c r="L413" s="1087"/>
      <c r="M413" s="1087"/>
      <c r="N413" s="1087"/>
      <c r="O413" s="1087"/>
      <c r="P413" s="1087"/>
      <c r="Q413" s="1087"/>
      <c r="R413" s="1087"/>
      <c r="S413" s="1088">
        <v>0.57000000000000006</v>
      </c>
      <c r="T413" s="1088"/>
      <c r="U413" s="1088"/>
      <c r="V413" s="1088"/>
      <c r="W413" s="1088"/>
      <c r="X413" s="1088">
        <v>0.52</v>
      </c>
      <c r="Y413" s="1088"/>
      <c r="Z413" s="1088"/>
      <c r="AA413" s="1088"/>
      <c r="AB413" s="1088"/>
      <c r="AC413" s="1088"/>
      <c r="AD413" s="1088">
        <v>0.54</v>
      </c>
      <c r="AE413" s="1088"/>
      <c r="AF413" s="1088"/>
      <c r="AG413" s="1088"/>
      <c r="AH413" s="1088"/>
      <c r="AI413" s="1088"/>
      <c r="AJ413" s="1088">
        <v>0.47000000000000003</v>
      </c>
      <c r="AK413" s="1088"/>
      <c r="AL413" s="1088"/>
      <c r="AM413" s="1088"/>
      <c r="AN413" s="1088"/>
      <c r="AO413" s="1088"/>
      <c r="AP413" s="1088"/>
      <c r="AQ413" s="1088"/>
      <c r="AR413" s="1088"/>
      <c r="AS413" s="1088"/>
      <c r="AT413" s="1088"/>
      <c r="AU413" s="1088">
        <v>0.44</v>
      </c>
      <c r="AV413" s="1088"/>
      <c r="AW413" s="1088"/>
      <c r="AX413" s="1088"/>
      <c r="AY413" s="1088"/>
      <c r="AZ413" s="1088"/>
      <c r="BA413" s="1088"/>
      <c r="BB413" s="1088"/>
      <c r="BC413" s="1088">
        <v>0.91</v>
      </c>
      <c r="BD413" s="1088"/>
      <c r="BE413" s="1088"/>
      <c r="BF413" s="1088"/>
      <c r="BG413" s="1088">
        <v>0.82000000000000006</v>
      </c>
      <c r="BH413" s="1088"/>
      <c r="BI413" s="1088"/>
      <c r="BJ413" s="1088"/>
      <c r="BK413" s="1088">
        <v>0.8</v>
      </c>
      <c r="BL413" s="1088"/>
      <c r="BM413" s="1088"/>
      <c r="BN413" s="1088"/>
      <c r="BO413" s="1088"/>
    </row>
    <row r="414" spans="1:67" ht="13.5" customHeight="1" x14ac:dyDescent="0.2">
      <c r="A414" s="1087" t="s">
        <v>773</v>
      </c>
      <c r="B414" s="1087"/>
      <c r="C414" s="1087"/>
      <c r="D414" s="1087"/>
      <c r="E414" s="1087"/>
      <c r="F414" s="1087"/>
      <c r="G414" s="1087"/>
      <c r="H414" s="1087"/>
      <c r="I414" s="1087"/>
      <c r="J414" s="1087"/>
      <c r="K414" s="1087"/>
      <c r="L414" s="1087"/>
      <c r="M414" s="1087"/>
      <c r="N414" s="1087"/>
      <c r="O414" s="1087"/>
      <c r="P414" s="1087"/>
      <c r="Q414" s="1087"/>
      <c r="R414" s="1087"/>
      <c r="S414" s="1088">
        <v>0.43000000000000005</v>
      </c>
      <c r="T414" s="1088"/>
      <c r="U414" s="1088"/>
      <c r="V414" s="1088"/>
      <c r="W414" s="1088"/>
      <c r="X414" s="1088">
        <v>0.48000000000000004</v>
      </c>
      <c r="Y414" s="1088"/>
      <c r="Z414" s="1088"/>
      <c r="AA414" s="1088"/>
      <c r="AB414" s="1088"/>
      <c r="AC414" s="1088"/>
      <c r="AD414" s="1088">
        <v>0.46</v>
      </c>
      <c r="AE414" s="1088"/>
      <c r="AF414" s="1088"/>
      <c r="AG414" s="1088"/>
      <c r="AH414" s="1088"/>
      <c r="AI414" s="1088"/>
      <c r="AJ414" s="1088">
        <v>0.53</v>
      </c>
      <c r="AK414" s="1088"/>
      <c r="AL414" s="1088"/>
      <c r="AM414" s="1088"/>
      <c r="AN414" s="1088"/>
      <c r="AO414" s="1088"/>
      <c r="AP414" s="1088"/>
      <c r="AQ414" s="1088"/>
      <c r="AR414" s="1088"/>
      <c r="AS414" s="1088"/>
      <c r="AT414" s="1088"/>
      <c r="AU414" s="1088">
        <v>0.56000000000000005</v>
      </c>
      <c r="AV414" s="1088"/>
      <c r="AW414" s="1088"/>
      <c r="AX414" s="1088"/>
      <c r="AY414" s="1088"/>
      <c r="AZ414" s="1088"/>
      <c r="BA414" s="1088"/>
      <c r="BB414" s="1088"/>
      <c r="BC414" s="1088">
        <v>0.09</v>
      </c>
      <c r="BD414" s="1088"/>
      <c r="BE414" s="1088"/>
      <c r="BF414" s="1088"/>
      <c r="BG414" s="1088">
        <v>0.18</v>
      </c>
      <c r="BH414" s="1088"/>
      <c r="BI414" s="1088"/>
      <c r="BJ414" s="1088"/>
      <c r="BK414" s="1088">
        <v>0.2</v>
      </c>
      <c r="BL414" s="1088"/>
      <c r="BM414" s="1088"/>
      <c r="BN414" s="1088"/>
      <c r="BO414" s="1088"/>
    </row>
    <row r="415" spans="1:67" ht="26" customHeight="1" x14ac:dyDescent="0.2">
      <c r="A415" s="1087" t="s">
        <v>774</v>
      </c>
      <c r="B415" s="1087"/>
      <c r="C415" s="1087"/>
      <c r="D415" s="1087"/>
      <c r="E415" s="1087"/>
      <c r="F415" s="1087"/>
      <c r="G415" s="1087"/>
      <c r="H415" s="1087"/>
      <c r="I415" s="1087"/>
      <c r="J415" s="1087"/>
      <c r="K415" s="1087"/>
      <c r="L415" s="1087"/>
      <c r="M415" s="1087"/>
      <c r="N415" s="1087"/>
      <c r="O415" s="1087"/>
      <c r="P415" s="1087"/>
      <c r="Q415" s="1087"/>
      <c r="R415" s="1087"/>
      <c r="S415" s="1088">
        <v>1.51</v>
      </c>
      <c r="T415" s="1088"/>
      <c r="U415" s="1088"/>
      <c r="V415" s="1088"/>
      <c r="W415" s="1088"/>
      <c r="X415" s="1088">
        <v>1.7300000000000002</v>
      </c>
      <c r="Y415" s="1088"/>
      <c r="Z415" s="1088"/>
      <c r="AA415" s="1088"/>
      <c r="AB415" s="1088"/>
      <c r="AC415" s="1088"/>
      <c r="AD415" s="1088">
        <v>2.02</v>
      </c>
      <c r="AE415" s="1088"/>
      <c r="AF415" s="1088"/>
      <c r="AG415" s="1088"/>
      <c r="AH415" s="1088"/>
      <c r="AI415" s="1088"/>
      <c r="AJ415" s="1088">
        <v>2.3099999999999996</v>
      </c>
      <c r="AK415" s="1088"/>
      <c r="AL415" s="1088"/>
      <c r="AM415" s="1088"/>
      <c r="AN415" s="1088"/>
      <c r="AO415" s="1088"/>
      <c r="AP415" s="1088"/>
      <c r="AQ415" s="1088"/>
      <c r="AR415" s="1088"/>
      <c r="AS415" s="1088"/>
      <c r="AT415" s="1088"/>
      <c r="AU415" s="1088">
        <v>2.19</v>
      </c>
      <c r="AV415" s="1088"/>
      <c r="AW415" s="1088"/>
      <c r="AX415" s="1088"/>
      <c r="AY415" s="1088"/>
      <c r="AZ415" s="1088"/>
      <c r="BA415" s="1088"/>
      <c r="BB415" s="1088"/>
      <c r="BC415" s="1088">
        <v>1.0900000000000001</v>
      </c>
      <c r="BD415" s="1088"/>
      <c r="BE415" s="1088"/>
      <c r="BF415" s="1088"/>
      <c r="BG415" s="1088">
        <v>0.68</v>
      </c>
      <c r="BH415" s="1088"/>
      <c r="BI415" s="1088"/>
      <c r="BJ415" s="1088"/>
      <c r="BK415" s="1088">
        <v>0.84000000000000008</v>
      </c>
      <c r="BL415" s="1088"/>
      <c r="BM415" s="1088"/>
      <c r="BN415" s="1088"/>
      <c r="BO415" s="1088"/>
    </row>
    <row r="416" spans="1:67" ht="13.5" customHeight="1" x14ac:dyDescent="0.2">
      <c r="A416" s="1087" t="s">
        <v>775</v>
      </c>
      <c r="B416" s="1087"/>
      <c r="C416" s="1087"/>
      <c r="D416" s="1087"/>
      <c r="E416" s="1087"/>
      <c r="F416" s="1087"/>
      <c r="G416" s="1087"/>
      <c r="H416" s="1087"/>
      <c r="I416" s="1087"/>
      <c r="J416" s="1087"/>
      <c r="K416" s="1087"/>
      <c r="L416" s="1087"/>
      <c r="M416" s="1087"/>
      <c r="N416" s="1087"/>
      <c r="O416" s="1087"/>
      <c r="P416" s="1087"/>
      <c r="Q416" s="1087"/>
      <c r="R416" s="1087"/>
      <c r="S416" s="1092" t="s">
        <v>535</v>
      </c>
      <c r="T416" s="1092"/>
      <c r="U416" s="1092"/>
      <c r="V416" s="1092"/>
      <c r="W416" s="1092"/>
      <c r="X416" s="1092" t="s">
        <v>535</v>
      </c>
      <c r="Y416" s="1092"/>
      <c r="Z416" s="1092"/>
      <c r="AA416" s="1092"/>
      <c r="AB416" s="1092"/>
      <c r="AC416" s="1092"/>
      <c r="AD416" s="1092" t="s">
        <v>535</v>
      </c>
      <c r="AE416" s="1092"/>
      <c r="AF416" s="1092"/>
      <c r="AG416" s="1092"/>
      <c r="AH416" s="1092"/>
      <c r="AI416" s="1092"/>
      <c r="AJ416" s="1092" t="s">
        <v>535</v>
      </c>
      <c r="AK416" s="1092"/>
      <c r="AL416" s="1092"/>
      <c r="AM416" s="1092"/>
      <c r="AN416" s="1092"/>
      <c r="AO416" s="1092"/>
      <c r="AP416" s="1092"/>
      <c r="AQ416" s="1092"/>
      <c r="AR416" s="1092"/>
      <c r="AS416" s="1092"/>
      <c r="AT416" s="1092"/>
      <c r="AU416" s="1092" t="s">
        <v>535</v>
      </c>
      <c r="AV416" s="1092"/>
      <c r="AW416" s="1092"/>
      <c r="AX416" s="1092"/>
      <c r="AY416" s="1092"/>
      <c r="AZ416" s="1092"/>
      <c r="BA416" s="1092"/>
      <c r="BB416" s="1092"/>
      <c r="BC416" s="1092" t="s">
        <v>535</v>
      </c>
      <c r="BD416" s="1092"/>
      <c r="BE416" s="1092"/>
      <c r="BF416" s="1092"/>
      <c r="BG416" s="1092" t="s">
        <v>535</v>
      </c>
      <c r="BH416" s="1092"/>
      <c r="BI416" s="1092"/>
      <c r="BJ416" s="1092"/>
      <c r="BK416" s="1092" t="s">
        <v>535</v>
      </c>
      <c r="BL416" s="1092"/>
      <c r="BM416" s="1092"/>
      <c r="BN416" s="1092"/>
      <c r="BO416" s="1092"/>
    </row>
    <row r="417" spans="1:67" ht="13.5" customHeight="1" x14ac:dyDescent="0.2">
      <c r="A417" s="1087" t="s">
        <v>776</v>
      </c>
      <c r="B417" s="1087"/>
      <c r="C417" s="1087"/>
      <c r="D417" s="1087"/>
      <c r="E417" s="1087"/>
      <c r="F417" s="1087"/>
      <c r="G417" s="1087"/>
      <c r="H417" s="1087"/>
      <c r="I417" s="1087"/>
      <c r="J417" s="1087"/>
      <c r="K417" s="1087"/>
      <c r="L417" s="1087"/>
      <c r="M417" s="1087"/>
      <c r="N417" s="1087"/>
      <c r="O417" s="1087"/>
      <c r="P417" s="1087"/>
      <c r="Q417" s="1087"/>
      <c r="R417" s="1087"/>
      <c r="S417" s="1088">
        <v>3.2600000000000002</v>
      </c>
      <c r="T417" s="1088"/>
      <c r="U417" s="1088"/>
      <c r="V417" s="1088"/>
      <c r="W417" s="1088"/>
      <c r="X417" s="1088">
        <v>3.9299999999999997</v>
      </c>
      <c r="Y417" s="1088"/>
      <c r="Z417" s="1088"/>
      <c r="AA417" s="1088"/>
      <c r="AB417" s="1088"/>
      <c r="AC417" s="1088"/>
      <c r="AD417" s="1088">
        <v>4.45</v>
      </c>
      <c r="AE417" s="1088"/>
      <c r="AF417" s="1088"/>
      <c r="AG417" s="1088"/>
      <c r="AH417" s="1088"/>
      <c r="AI417" s="1088"/>
      <c r="AJ417" s="1088">
        <v>4.46</v>
      </c>
      <c r="AK417" s="1088"/>
      <c r="AL417" s="1088"/>
      <c r="AM417" s="1088"/>
      <c r="AN417" s="1088"/>
      <c r="AO417" s="1088"/>
      <c r="AP417" s="1088"/>
      <c r="AQ417" s="1088"/>
      <c r="AR417" s="1088"/>
      <c r="AS417" s="1088"/>
      <c r="AT417" s="1088"/>
      <c r="AU417" s="1088">
        <v>4.6099999999999994</v>
      </c>
      <c r="AV417" s="1088"/>
      <c r="AW417" s="1088"/>
      <c r="AX417" s="1088"/>
      <c r="AY417" s="1088"/>
      <c r="AZ417" s="1088"/>
      <c r="BA417" s="1088"/>
      <c r="BB417" s="1088"/>
      <c r="BC417" s="1088">
        <v>3.9</v>
      </c>
      <c r="BD417" s="1088"/>
      <c r="BE417" s="1088"/>
      <c r="BF417" s="1088"/>
      <c r="BG417" s="1088">
        <v>3.72</v>
      </c>
      <c r="BH417" s="1088"/>
      <c r="BI417" s="1088"/>
      <c r="BJ417" s="1088"/>
      <c r="BK417" s="1088">
        <v>5.79</v>
      </c>
      <c r="BL417" s="1088"/>
      <c r="BM417" s="1088"/>
      <c r="BN417" s="1088"/>
      <c r="BO417" s="1088"/>
    </row>
    <row r="418" spans="1:67" ht="13.5" customHeight="1" x14ac:dyDescent="0.2">
      <c r="A418" s="1087" t="s">
        <v>777</v>
      </c>
      <c r="B418" s="1087"/>
      <c r="C418" s="1087"/>
      <c r="D418" s="1087"/>
      <c r="E418" s="1087"/>
      <c r="F418" s="1087"/>
      <c r="G418" s="1087"/>
      <c r="H418" s="1087"/>
      <c r="I418" s="1087"/>
      <c r="J418" s="1087"/>
      <c r="K418" s="1087"/>
      <c r="L418" s="1087"/>
      <c r="M418" s="1087"/>
      <c r="N418" s="1087"/>
      <c r="O418" s="1087"/>
      <c r="P418" s="1087"/>
      <c r="Q418" s="1087"/>
      <c r="R418" s="1087"/>
      <c r="S418" s="1088">
        <v>1.23</v>
      </c>
      <c r="T418" s="1088"/>
      <c r="U418" s="1088"/>
      <c r="V418" s="1088"/>
      <c r="W418" s="1088"/>
      <c r="X418" s="1088">
        <v>1.3</v>
      </c>
      <c r="Y418" s="1088"/>
      <c r="Z418" s="1088"/>
      <c r="AA418" s="1088"/>
      <c r="AB418" s="1088"/>
      <c r="AC418" s="1088"/>
      <c r="AD418" s="1088">
        <v>1.1800000000000002</v>
      </c>
      <c r="AE418" s="1088"/>
      <c r="AF418" s="1088"/>
      <c r="AG418" s="1088"/>
      <c r="AH418" s="1088"/>
      <c r="AI418" s="1088"/>
      <c r="AJ418" s="1088">
        <v>1.2</v>
      </c>
      <c r="AK418" s="1088"/>
      <c r="AL418" s="1088"/>
      <c r="AM418" s="1088"/>
      <c r="AN418" s="1088"/>
      <c r="AO418" s="1088"/>
      <c r="AP418" s="1088"/>
      <c r="AQ418" s="1088"/>
      <c r="AR418" s="1088"/>
      <c r="AS418" s="1088"/>
      <c r="AT418" s="1088"/>
      <c r="AU418" s="1088">
        <v>1.34</v>
      </c>
      <c r="AV418" s="1088"/>
      <c r="AW418" s="1088"/>
      <c r="AX418" s="1088"/>
      <c r="AY418" s="1088"/>
      <c r="AZ418" s="1088"/>
      <c r="BA418" s="1088"/>
      <c r="BB418" s="1088"/>
      <c r="BC418" s="1088">
        <v>1.1400000000000001</v>
      </c>
      <c r="BD418" s="1088"/>
      <c r="BE418" s="1088"/>
      <c r="BF418" s="1088"/>
      <c r="BG418" s="1088">
        <v>2.12</v>
      </c>
      <c r="BH418" s="1088"/>
      <c r="BI418" s="1088"/>
      <c r="BJ418" s="1088"/>
      <c r="BK418" s="1088">
        <v>2.2200000000000002</v>
      </c>
      <c r="BL418" s="1088"/>
      <c r="BM418" s="1088"/>
      <c r="BN418" s="1088"/>
      <c r="BO418" s="1088"/>
    </row>
    <row r="419" spans="1:67" ht="13.5" customHeight="1" x14ac:dyDescent="0.2">
      <c r="A419" s="1087" t="s">
        <v>778</v>
      </c>
      <c r="B419" s="1087"/>
      <c r="C419" s="1087"/>
      <c r="D419" s="1087"/>
      <c r="E419" s="1087"/>
      <c r="F419" s="1087"/>
      <c r="G419" s="1087"/>
      <c r="H419" s="1087"/>
      <c r="I419" s="1087"/>
      <c r="J419" s="1087"/>
      <c r="K419" s="1087"/>
      <c r="L419" s="1087"/>
      <c r="M419" s="1087"/>
      <c r="N419" s="1087"/>
      <c r="O419" s="1087"/>
      <c r="P419" s="1087"/>
      <c r="Q419" s="1087"/>
      <c r="R419" s="1087"/>
      <c r="S419" s="1088">
        <v>39.11</v>
      </c>
      <c r="T419" s="1088"/>
      <c r="U419" s="1088"/>
      <c r="V419" s="1088"/>
      <c r="W419" s="1088"/>
      <c r="X419" s="1088">
        <v>49.879999999999995</v>
      </c>
      <c r="Y419" s="1088"/>
      <c r="Z419" s="1088"/>
      <c r="AA419" s="1088"/>
      <c r="AB419" s="1088"/>
      <c r="AC419" s="1088"/>
      <c r="AD419" s="1088">
        <v>62.25</v>
      </c>
      <c r="AE419" s="1088"/>
      <c r="AF419" s="1088"/>
      <c r="AG419" s="1088"/>
      <c r="AH419" s="1088"/>
      <c r="AI419" s="1088"/>
      <c r="AJ419" s="1088">
        <v>69.169999999999987</v>
      </c>
      <c r="AK419" s="1088"/>
      <c r="AL419" s="1088"/>
      <c r="AM419" s="1088"/>
      <c r="AN419" s="1088"/>
      <c r="AO419" s="1088"/>
      <c r="AP419" s="1088"/>
      <c r="AQ419" s="1088"/>
      <c r="AR419" s="1088"/>
      <c r="AS419" s="1088"/>
      <c r="AT419" s="1088"/>
      <c r="AU419" s="1088">
        <v>64.210000000000008</v>
      </c>
      <c r="AV419" s="1088"/>
      <c r="AW419" s="1088"/>
      <c r="AX419" s="1088"/>
      <c r="AY419" s="1088"/>
      <c r="AZ419" s="1088"/>
      <c r="BA419" s="1088"/>
      <c r="BB419" s="1088"/>
      <c r="BC419" s="1088">
        <v>29.25</v>
      </c>
      <c r="BD419" s="1088"/>
      <c r="BE419" s="1088"/>
      <c r="BF419" s="1088"/>
      <c r="BG419" s="1088">
        <v>22.82</v>
      </c>
      <c r="BH419" s="1088"/>
      <c r="BI419" s="1088"/>
      <c r="BJ419" s="1088"/>
      <c r="BK419" s="1088">
        <v>29.3</v>
      </c>
      <c r="BL419" s="1088"/>
      <c r="BM419" s="1088"/>
      <c r="BN419" s="1088"/>
      <c r="BO419" s="1088"/>
    </row>
    <row r="420" spans="1:67" ht="13.5" customHeight="1" x14ac:dyDescent="0.2">
      <c r="A420" s="1087" t="s">
        <v>779</v>
      </c>
      <c r="B420" s="1087"/>
      <c r="C420" s="1087"/>
      <c r="D420" s="1087"/>
      <c r="E420" s="1087"/>
      <c r="F420" s="1087"/>
      <c r="G420" s="1087"/>
      <c r="H420" s="1087"/>
      <c r="I420" s="1087"/>
      <c r="J420" s="1087"/>
      <c r="K420" s="1087"/>
      <c r="L420" s="1087"/>
      <c r="M420" s="1087"/>
      <c r="N420" s="1087"/>
      <c r="O420" s="1087"/>
      <c r="P420" s="1087"/>
      <c r="Q420" s="1087"/>
      <c r="R420" s="1087"/>
      <c r="S420" s="1088">
        <v>5.92</v>
      </c>
      <c r="T420" s="1088"/>
      <c r="U420" s="1088"/>
      <c r="V420" s="1088"/>
      <c r="W420" s="1088"/>
      <c r="X420" s="1088">
        <v>4.95</v>
      </c>
      <c r="Y420" s="1088"/>
      <c r="Z420" s="1088"/>
      <c r="AA420" s="1088"/>
      <c r="AB420" s="1088"/>
      <c r="AC420" s="1088"/>
      <c r="AD420" s="1088">
        <v>2.2600000000000002</v>
      </c>
      <c r="AE420" s="1088"/>
      <c r="AF420" s="1088"/>
      <c r="AG420" s="1088"/>
      <c r="AH420" s="1088"/>
      <c r="AI420" s="1088"/>
      <c r="AJ420" s="1088">
        <v>1.92</v>
      </c>
      <c r="AK420" s="1088"/>
      <c r="AL420" s="1088"/>
      <c r="AM420" s="1088"/>
      <c r="AN420" s="1088"/>
      <c r="AO420" s="1088"/>
      <c r="AP420" s="1088"/>
      <c r="AQ420" s="1088"/>
      <c r="AR420" s="1088"/>
      <c r="AS420" s="1088"/>
      <c r="AT420" s="1088"/>
      <c r="AU420" s="1088">
        <v>1.7200000000000002</v>
      </c>
      <c r="AV420" s="1088"/>
      <c r="AW420" s="1088"/>
      <c r="AX420" s="1088"/>
      <c r="AY420" s="1088"/>
      <c r="AZ420" s="1088"/>
      <c r="BA420" s="1088"/>
      <c r="BB420" s="1088"/>
      <c r="BC420" s="1088">
        <v>2.59</v>
      </c>
      <c r="BD420" s="1088"/>
      <c r="BE420" s="1088"/>
      <c r="BF420" s="1088"/>
      <c r="BG420" s="1088">
        <v>3.8699999999999997</v>
      </c>
      <c r="BH420" s="1088"/>
      <c r="BI420" s="1088"/>
      <c r="BJ420" s="1088"/>
      <c r="BK420" s="1088">
        <v>3.53</v>
      </c>
      <c r="BL420" s="1088"/>
      <c r="BM420" s="1088"/>
      <c r="BN420" s="1088"/>
      <c r="BO420" s="1088"/>
    </row>
    <row r="421" spans="1:67" ht="13.5" customHeight="1" x14ac:dyDescent="0.2">
      <c r="A421" s="1087" t="s">
        <v>780</v>
      </c>
      <c r="B421" s="1087"/>
      <c r="C421" s="1087"/>
      <c r="D421" s="1087"/>
      <c r="E421" s="1087"/>
      <c r="F421" s="1087"/>
      <c r="G421" s="1087"/>
      <c r="H421" s="1087"/>
      <c r="I421" s="1087"/>
      <c r="J421" s="1087"/>
      <c r="K421" s="1087"/>
      <c r="L421" s="1087"/>
      <c r="M421" s="1087"/>
      <c r="N421" s="1087"/>
      <c r="O421" s="1087"/>
      <c r="P421" s="1087"/>
      <c r="Q421" s="1087"/>
      <c r="R421" s="1087"/>
      <c r="S421" s="1088">
        <v>5.0199999999999996</v>
      </c>
      <c r="T421" s="1088"/>
      <c r="U421" s="1088"/>
      <c r="V421" s="1088"/>
      <c r="W421" s="1088"/>
      <c r="X421" s="1088">
        <v>3.86</v>
      </c>
      <c r="Y421" s="1088"/>
      <c r="Z421" s="1088"/>
      <c r="AA421" s="1088"/>
      <c r="AB421" s="1088"/>
      <c r="AC421" s="1088"/>
      <c r="AD421" s="1088">
        <v>7.23</v>
      </c>
      <c r="AE421" s="1088"/>
      <c r="AF421" s="1088"/>
      <c r="AG421" s="1088"/>
      <c r="AH421" s="1088"/>
      <c r="AI421" s="1088"/>
      <c r="AJ421" s="1088">
        <v>9.15</v>
      </c>
      <c r="AK421" s="1088"/>
      <c r="AL421" s="1088"/>
      <c r="AM421" s="1088"/>
      <c r="AN421" s="1088"/>
      <c r="AO421" s="1088"/>
      <c r="AP421" s="1088"/>
      <c r="AQ421" s="1088"/>
      <c r="AR421" s="1088"/>
      <c r="AS421" s="1088"/>
      <c r="AT421" s="1088"/>
      <c r="AU421" s="1088">
        <v>9.66</v>
      </c>
      <c r="AV421" s="1088"/>
      <c r="AW421" s="1088"/>
      <c r="AX421" s="1088"/>
      <c r="AY421" s="1088"/>
      <c r="AZ421" s="1088"/>
      <c r="BA421" s="1088"/>
      <c r="BB421" s="1088"/>
      <c r="BC421" s="1088">
        <v>12.28</v>
      </c>
      <c r="BD421" s="1088"/>
      <c r="BE421" s="1088"/>
      <c r="BF421" s="1088"/>
      <c r="BG421" s="1088">
        <v>12.25</v>
      </c>
      <c r="BH421" s="1088"/>
      <c r="BI421" s="1088"/>
      <c r="BJ421" s="1088"/>
      <c r="BK421" s="1088">
        <v>7.98</v>
      </c>
      <c r="BL421" s="1088"/>
      <c r="BM421" s="1088"/>
      <c r="BN421" s="1088"/>
      <c r="BO421" s="1088"/>
    </row>
    <row r="422" spans="1:67" ht="13.5" customHeight="1" x14ac:dyDescent="0.2">
      <c r="A422" s="1087" t="s">
        <v>781</v>
      </c>
      <c r="B422" s="1087"/>
      <c r="C422" s="1087"/>
      <c r="D422" s="1087"/>
      <c r="E422" s="1087"/>
      <c r="F422" s="1087"/>
      <c r="G422" s="1087"/>
      <c r="H422" s="1087"/>
      <c r="I422" s="1087"/>
      <c r="J422" s="1087"/>
      <c r="K422" s="1087"/>
      <c r="L422" s="1087"/>
      <c r="M422" s="1087"/>
      <c r="N422" s="1087"/>
      <c r="O422" s="1087"/>
      <c r="P422" s="1087"/>
      <c r="Q422" s="1087"/>
      <c r="R422" s="1087"/>
      <c r="S422" s="1088">
        <v>2.3099999999999996</v>
      </c>
      <c r="T422" s="1088"/>
      <c r="U422" s="1088"/>
      <c r="V422" s="1088"/>
      <c r="W422" s="1088"/>
      <c r="X422" s="1088">
        <v>2.4699999999999998</v>
      </c>
      <c r="Y422" s="1088"/>
      <c r="Z422" s="1088"/>
      <c r="AA422" s="1088"/>
      <c r="AB422" s="1088"/>
      <c r="AC422" s="1088"/>
      <c r="AD422" s="1088">
        <v>1.41</v>
      </c>
      <c r="AE422" s="1088"/>
      <c r="AF422" s="1088"/>
      <c r="AG422" s="1088"/>
      <c r="AH422" s="1088"/>
      <c r="AI422" s="1088"/>
      <c r="AJ422" s="1088">
        <v>1.32</v>
      </c>
      <c r="AK422" s="1088"/>
      <c r="AL422" s="1088"/>
      <c r="AM422" s="1088"/>
      <c r="AN422" s="1088"/>
      <c r="AO422" s="1088"/>
      <c r="AP422" s="1088"/>
      <c r="AQ422" s="1088"/>
      <c r="AR422" s="1088"/>
      <c r="AS422" s="1088"/>
      <c r="AT422" s="1088"/>
      <c r="AU422" s="1088">
        <v>1.1100000000000001</v>
      </c>
      <c r="AV422" s="1088"/>
      <c r="AW422" s="1088"/>
      <c r="AX422" s="1088"/>
      <c r="AY422" s="1088"/>
      <c r="AZ422" s="1088"/>
      <c r="BA422" s="1088"/>
      <c r="BB422" s="1088"/>
      <c r="BC422" s="1088">
        <v>0.76</v>
      </c>
      <c r="BD422" s="1088"/>
      <c r="BE422" s="1088"/>
      <c r="BF422" s="1088"/>
      <c r="BG422" s="1088">
        <v>0.88</v>
      </c>
      <c r="BH422" s="1088"/>
      <c r="BI422" s="1088"/>
      <c r="BJ422" s="1088"/>
      <c r="BK422" s="1088">
        <v>1.03</v>
      </c>
      <c r="BL422" s="1088"/>
      <c r="BM422" s="1088"/>
      <c r="BN422" s="1088"/>
      <c r="BO422" s="1088"/>
    </row>
    <row r="423" spans="1:67" ht="13.5" customHeight="1" x14ac:dyDescent="0.2">
      <c r="A423" s="1087" t="s">
        <v>782</v>
      </c>
      <c r="B423" s="1087"/>
      <c r="C423" s="1087"/>
      <c r="D423" s="1087"/>
      <c r="E423" s="1087"/>
      <c r="F423" s="1087"/>
      <c r="G423" s="1087"/>
      <c r="H423" s="1087"/>
      <c r="I423" s="1087"/>
      <c r="J423" s="1087"/>
      <c r="K423" s="1087"/>
      <c r="L423" s="1087"/>
      <c r="M423" s="1087"/>
      <c r="N423" s="1087"/>
      <c r="O423" s="1087"/>
      <c r="P423" s="1087"/>
      <c r="Q423" s="1087"/>
      <c r="R423" s="1087"/>
      <c r="S423" s="1088">
        <v>30.64</v>
      </c>
      <c r="T423" s="1088"/>
      <c r="U423" s="1088"/>
      <c r="V423" s="1088"/>
      <c r="W423" s="1088"/>
      <c r="X423" s="1088">
        <v>25.43</v>
      </c>
      <c r="Y423" s="1088"/>
      <c r="Z423" s="1088"/>
      <c r="AA423" s="1088"/>
      <c r="AB423" s="1088"/>
      <c r="AC423" s="1088"/>
      <c r="AD423" s="1088">
        <v>22.49</v>
      </c>
      <c r="AE423" s="1088"/>
      <c r="AF423" s="1088"/>
      <c r="AG423" s="1088"/>
      <c r="AH423" s="1088"/>
      <c r="AI423" s="1088"/>
      <c r="AJ423" s="1088">
        <v>22.419999999999998</v>
      </c>
      <c r="AK423" s="1088"/>
      <c r="AL423" s="1088"/>
      <c r="AM423" s="1088"/>
      <c r="AN423" s="1088"/>
      <c r="AO423" s="1088"/>
      <c r="AP423" s="1088"/>
      <c r="AQ423" s="1088"/>
      <c r="AR423" s="1088"/>
      <c r="AS423" s="1088"/>
      <c r="AT423" s="1088"/>
      <c r="AU423" s="1088">
        <v>21.67</v>
      </c>
      <c r="AV423" s="1088"/>
      <c r="AW423" s="1088"/>
      <c r="AX423" s="1088"/>
      <c r="AY423" s="1088"/>
      <c r="AZ423" s="1088"/>
      <c r="BA423" s="1088"/>
      <c r="BB423" s="1088"/>
      <c r="BC423" s="1088">
        <v>25.610000000000003</v>
      </c>
      <c r="BD423" s="1088"/>
      <c r="BE423" s="1088"/>
      <c r="BF423" s="1088"/>
      <c r="BG423" s="1088">
        <v>26.85</v>
      </c>
      <c r="BH423" s="1088"/>
      <c r="BI423" s="1088"/>
      <c r="BJ423" s="1088"/>
      <c r="BK423" s="1088">
        <v>17.27</v>
      </c>
      <c r="BL423" s="1088"/>
      <c r="BM423" s="1088"/>
      <c r="BN423" s="1088"/>
      <c r="BO423" s="1088"/>
    </row>
    <row r="424" spans="1:67" ht="13.5" customHeight="1" x14ac:dyDescent="0.2">
      <c r="A424" s="1087" t="s">
        <v>783</v>
      </c>
      <c r="B424" s="1087"/>
      <c r="C424" s="1087"/>
      <c r="D424" s="1087"/>
      <c r="E424" s="1087"/>
      <c r="F424" s="1087"/>
      <c r="G424" s="1087"/>
      <c r="H424" s="1087"/>
      <c r="I424" s="1087"/>
      <c r="J424" s="1087"/>
      <c r="K424" s="1087"/>
      <c r="L424" s="1087"/>
      <c r="M424" s="1087"/>
      <c r="N424" s="1087"/>
      <c r="O424" s="1087"/>
      <c r="P424" s="1087"/>
      <c r="Q424" s="1087"/>
      <c r="R424" s="1087"/>
      <c r="S424" s="1088">
        <v>0.48000000000000004</v>
      </c>
      <c r="T424" s="1088"/>
      <c r="U424" s="1088"/>
      <c r="V424" s="1088"/>
      <c r="W424" s="1088"/>
      <c r="X424" s="1088">
        <v>0.38000000000000006</v>
      </c>
      <c r="Y424" s="1088"/>
      <c r="Z424" s="1088"/>
      <c r="AA424" s="1088"/>
      <c r="AB424" s="1088"/>
      <c r="AC424" s="1088"/>
      <c r="AD424" s="1088">
        <v>0.32000000000000006</v>
      </c>
      <c r="AE424" s="1088"/>
      <c r="AF424" s="1088"/>
      <c r="AG424" s="1088"/>
      <c r="AH424" s="1088"/>
      <c r="AI424" s="1088"/>
      <c r="AJ424" s="1088">
        <v>0.30000000000000004</v>
      </c>
      <c r="AK424" s="1088"/>
      <c r="AL424" s="1088"/>
      <c r="AM424" s="1088"/>
      <c r="AN424" s="1088"/>
      <c r="AO424" s="1088"/>
      <c r="AP424" s="1088"/>
      <c r="AQ424" s="1088"/>
      <c r="AR424" s="1088"/>
      <c r="AS424" s="1088"/>
      <c r="AT424" s="1088"/>
      <c r="AU424" s="1088">
        <v>0.28000000000000003</v>
      </c>
      <c r="AV424" s="1088"/>
      <c r="AW424" s="1088"/>
      <c r="AX424" s="1088"/>
      <c r="AY424" s="1088"/>
      <c r="AZ424" s="1088"/>
      <c r="BA424" s="1088"/>
      <c r="BB424" s="1088"/>
      <c r="BC424" s="1088">
        <v>0.36000000000000004</v>
      </c>
      <c r="BD424" s="1088"/>
      <c r="BE424" s="1088"/>
      <c r="BF424" s="1088"/>
      <c r="BG424" s="1088">
        <v>0.39</v>
      </c>
      <c r="BH424" s="1088"/>
      <c r="BI424" s="1088"/>
      <c r="BJ424" s="1088"/>
      <c r="BK424" s="1088">
        <v>0.22</v>
      </c>
      <c r="BL424" s="1088"/>
      <c r="BM424" s="1088"/>
      <c r="BN424" s="1088"/>
      <c r="BO424" s="1088"/>
    </row>
    <row r="425" spans="1:67" ht="13.5" customHeight="1" x14ac:dyDescent="0.2">
      <c r="A425" s="1087" t="s">
        <v>784</v>
      </c>
      <c r="B425" s="1087"/>
      <c r="C425" s="1087"/>
      <c r="D425" s="1087"/>
      <c r="E425" s="1087"/>
      <c r="F425" s="1087"/>
      <c r="G425" s="1087"/>
      <c r="H425" s="1087"/>
      <c r="I425" s="1087"/>
      <c r="J425" s="1087"/>
      <c r="K425" s="1087"/>
      <c r="L425" s="1087"/>
      <c r="M425" s="1087"/>
      <c r="N425" s="1087"/>
      <c r="O425" s="1087"/>
      <c r="P425" s="1087"/>
      <c r="Q425" s="1087"/>
      <c r="R425" s="1087"/>
      <c r="S425" s="1088">
        <v>8263503</v>
      </c>
      <c r="T425" s="1088"/>
      <c r="U425" s="1088"/>
      <c r="V425" s="1088"/>
      <c r="W425" s="1088"/>
      <c r="X425" s="1088">
        <v>9788289</v>
      </c>
      <c r="Y425" s="1088"/>
      <c r="Z425" s="1088"/>
      <c r="AA425" s="1088"/>
      <c r="AB425" s="1088"/>
      <c r="AC425" s="1088"/>
      <c r="AD425" s="1088">
        <v>10079836</v>
      </c>
      <c r="AE425" s="1088"/>
      <c r="AF425" s="1088"/>
      <c r="AG425" s="1088"/>
      <c r="AH425" s="1088"/>
      <c r="AI425" s="1088"/>
      <c r="AJ425" s="1088">
        <v>8598021</v>
      </c>
      <c r="AK425" s="1088"/>
      <c r="AL425" s="1088"/>
      <c r="AM425" s="1088"/>
      <c r="AN425" s="1088"/>
      <c r="AO425" s="1088"/>
      <c r="AP425" s="1088"/>
      <c r="AQ425" s="1088"/>
      <c r="AR425" s="1088"/>
      <c r="AS425" s="1088"/>
      <c r="AT425" s="1088"/>
      <c r="AU425" s="1088">
        <v>7239662</v>
      </c>
      <c r="AV425" s="1088"/>
      <c r="AW425" s="1088"/>
      <c r="AX425" s="1088"/>
      <c r="AY425" s="1088"/>
      <c r="AZ425" s="1088"/>
      <c r="BA425" s="1088"/>
      <c r="BB425" s="1088"/>
      <c r="BC425" s="1088">
        <v>3375102</v>
      </c>
      <c r="BD425" s="1088"/>
      <c r="BE425" s="1088"/>
      <c r="BF425" s="1088"/>
      <c r="BG425" s="1088">
        <v>2296704</v>
      </c>
      <c r="BH425" s="1088"/>
      <c r="BI425" s="1088"/>
      <c r="BJ425" s="1088"/>
      <c r="BK425" s="1088">
        <v>2193786</v>
      </c>
      <c r="BL425" s="1088"/>
      <c r="BM425" s="1088"/>
      <c r="BN425" s="1088"/>
      <c r="BO425" s="1088"/>
    </row>
    <row r="426" spans="1:67" ht="13.5" customHeight="1" x14ac:dyDescent="0.2">
      <c r="A426" s="1087" t="s">
        <v>785</v>
      </c>
      <c r="B426" s="1087"/>
      <c r="C426" s="1087"/>
      <c r="D426" s="1087"/>
      <c r="E426" s="1087"/>
      <c r="F426" s="1087"/>
      <c r="G426" s="1087"/>
      <c r="H426" s="1087"/>
      <c r="I426" s="1087"/>
      <c r="J426" s="1087"/>
      <c r="K426" s="1087"/>
      <c r="L426" s="1087"/>
      <c r="M426" s="1087"/>
      <c r="N426" s="1087"/>
      <c r="O426" s="1087"/>
      <c r="P426" s="1087"/>
      <c r="Q426" s="1087"/>
      <c r="R426" s="1087"/>
      <c r="S426" s="1088">
        <v>1.48</v>
      </c>
      <c r="T426" s="1088"/>
      <c r="U426" s="1088"/>
      <c r="V426" s="1088"/>
      <c r="W426" s="1088"/>
      <c r="X426" s="1088">
        <v>2.04</v>
      </c>
      <c r="Y426" s="1088"/>
      <c r="Z426" s="1088"/>
      <c r="AA426" s="1088"/>
      <c r="AB426" s="1088"/>
      <c r="AC426" s="1088"/>
      <c r="AD426" s="1088">
        <v>2.4099999999999997</v>
      </c>
      <c r="AE426" s="1088"/>
      <c r="AF426" s="1088"/>
      <c r="AG426" s="1088"/>
      <c r="AH426" s="1088"/>
      <c r="AI426" s="1088"/>
      <c r="AJ426" s="1088">
        <v>2.66</v>
      </c>
      <c r="AK426" s="1088"/>
      <c r="AL426" s="1088"/>
      <c r="AM426" s="1088"/>
      <c r="AN426" s="1088"/>
      <c r="AO426" s="1088"/>
      <c r="AP426" s="1088"/>
      <c r="AQ426" s="1088"/>
      <c r="AR426" s="1088"/>
      <c r="AS426" s="1088"/>
      <c r="AT426" s="1088"/>
      <c r="AU426" s="1088">
        <v>2.88</v>
      </c>
      <c r="AV426" s="1088"/>
      <c r="AW426" s="1088"/>
      <c r="AX426" s="1088"/>
      <c r="AY426" s="1088"/>
      <c r="AZ426" s="1088"/>
      <c r="BA426" s="1088"/>
      <c r="BB426" s="1088"/>
      <c r="BC426" s="1088">
        <v>1.6700000000000002</v>
      </c>
      <c r="BD426" s="1088"/>
      <c r="BE426" s="1088"/>
      <c r="BF426" s="1088"/>
      <c r="BG426" s="1088">
        <v>1.52</v>
      </c>
      <c r="BH426" s="1088"/>
      <c r="BI426" s="1088"/>
      <c r="BJ426" s="1088"/>
      <c r="BK426" s="1088">
        <v>2.74</v>
      </c>
      <c r="BL426" s="1088"/>
      <c r="BM426" s="1088"/>
      <c r="BN426" s="1088"/>
      <c r="BO426" s="1088"/>
    </row>
    <row r="427" spans="1:67" ht="13.5" customHeight="1" x14ac:dyDescent="0.2">
      <c r="A427" s="1087" t="s">
        <v>786</v>
      </c>
      <c r="B427" s="1087"/>
      <c r="C427" s="1087"/>
      <c r="D427" s="1087"/>
      <c r="E427" s="1087"/>
      <c r="F427" s="1087"/>
      <c r="G427" s="1087"/>
      <c r="H427" s="1087"/>
      <c r="I427" s="1087"/>
      <c r="J427" s="1087"/>
      <c r="K427" s="1087"/>
      <c r="L427" s="1087"/>
      <c r="M427" s="1087"/>
      <c r="N427" s="1087"/>
      <c r="O427" s="1087"/>
      <c r="P427" s="1087"/>
      <c r="Q427" s="1087"/>
      <c r="R427" s="1087"/>
      <c r="S427" s="1088">
        <v>3.3699999999999997</v>
      </c>
      <c r="T427" s="1088"/>
      <c r="U427" s="1088"/>
      <c r="V427" s="1088"/>
      <c r="W427" s="1088"/>
      <c r="X427" s="1088">
        <v>5.24</v>
      </c>
      <c r="Y427" s="1088"/>
      <c r="Z427" s="1088"/>
      <c r="AA427" s="1088"/>
      <c r="AB427" s="1088"/>
      <c r="AC427" s="1088"/>
      <c r="AD427" s="1088">
        <v>6.1199999999999992</v>
      </c>
      <c r="AE427" s="1088"/>
      <c r="AF427" s="1088"/>
      <c r="AG427" s="1088"/>
      <c r="AH427" s="1088"/>
      <c r="AI427" s="1088"/>
      <c r="AJ427" s="1088">
        <v>5.73</v>
      </c>
      <c r="AK427" s="1088"/>
      <c r="AL427" s="1088"/>
      <c r="AM427" s="1088"/>
      <c r="AN427" s="1088"/>
      <c r="AO427" s="1088"/>
      <c r="AP427" s="1088"/>
      <c r="AQ427" s="1088"/>
      <c r="AR427" s="1088"/>
      <c r="AS427" s="1088"/>
      <c r="AT427" s="1088"/>
      <c r="AU427" s="1088">
        <v>6</v>
      </c>
      <c r="AV427" s="1088"/>
      <c r="AW427" s="1088"/>
      <c r="AX427" s="1088"/>
      <c r="AY427" s="1088"/>
      <c r="AZ427" s="1088"/>
      <c r="BA427" s="1088"/>
      <c r="BB427" s="1088"/>
      <c r="BC427" s="1088">
        <v>3.15</v>
      </c>
      <c r="BD427" s="1088"/>
      <c r="BE427" s="1088"/>
      <c r="BF427" s="1088"/>
      <c r="BG427" s="1088">
        <v>2.11</v>
      </c>
      <c r="BH427" s="1088"/>
      <c r="BI427" s="1088"/>
      <c r="BJ427" s="1088"/>
      <c r="BK427" s="1088">
        <v>3.55</v>
      </c>
      <c r="BL427" s="1088"/>
      <c r="BM427" s="1088"/>
      <c r="BN427" s="1088"/>
      <c r="BO427" s="1088"/>
    </row>
    <row r="428" spans="1:67" ht="13.5" customHeight="1" x14ac:dyDescent="0.2">
      <c r="A428" s="1083"/>
      <c r="B428" s="1083"/>
      <c r="C428" s="1083"/>
      <c r="D428" s="1083"/>
      <c r="E428" s="1083"/>
      <c r="F428" s="1083"/>
      <c r="G428" s="1083"/>
      <c r="H428" s="1083"/>
      <c r="I428" s="1083"/>
      <c r="J428" s="1083"/>
      <c r="K428" s="1083"/>
      <c r="L428" s="1083"/>
      <c r="M428" s="1083"/>
      <c r="N428" s="1083"/>
      <c r="O428" s="1083"/>
      <c r="P428" s="1083"/>
      <c r="Q428" s="1083"/>
      <c r="R428" s="1083"/>
      <c r="S428" s="1083"/>
      <c r="T428" s="1083"/>
      <c r="U428" s="1083"/>
      <c r="V428" s="1083"/>
      <c r="W428" s="1083"/>
      <c r="X428" s="1083"/>
      <c r="Y428" s="1083"/>
      <c r="Z428" s="1083"/>
      <c r="AA428" s="1083"/>
      <c r="AB428" s="1083"/>
      <c r="AC428" s="1083"/>
      <c r="AD428" s="1083"/>
      <c r="AE428" s="1083"/>
      <c r="AF428" s="1083"/>
      <c r="AG428" s="1083"/>
      <c r="AH428" s="1083"/>
      <c r="AI428" s="1083"/>
      <c r="AJ428" s="1083"/>
      <c r="AK428" s="1083"/>
      <c r="AL428" s="1083"/>
      <c r="AM428" s="1083"/>
      <c r="AN428" s="1083"/>
      <c r="AO428" s="1083"/>
      <c r="AP428" s="1083"/>
      <c r="AQ428" s="1083"/>
      <c r="AR428" s="1083"/>
      <c r="AS428" s="1083"/>
      <c r="AT428" s="1083"/>
      <c r="AU428" s="1083"/>
      <c r="AV428" s="1083"/>
      <c r="AW428" s="1083"/>
      <c r="AX428" s="1083"/>
      <c r="AY428" s="1083"/>
      <c r="AZ428" s="1083"/>
      <c r="BA428" s="1083"/>
      <c r="BB428" s="1083"/>
      <c r="BC428" s="1083"/>
      <c r="BD428" s="1083"/>
      <c r="BE428" s="1083"/>
      <c r="BF428" s="1083"/>
      <c r="BG428" s="1083"/>
      <c r="BH428" s="1083"/>
      <c r="BI428" s="1083"/>
      <c r="BJ428" s="1083"/>
      <c r="BK428" s="1083"/>
      <c r="BL428" s="1083"/>
      <c r="BM428" s="1083"/>
      <c r="BN428" s="1083"/>
      <c r="BO428" s="1083"/>
    </row>
    <row r="429" spans="1:67" ht="13.5" customHeight="1" x14ac:dyDescent="0.2">
      <c r="A429" s="1090" t="s">
        <v>787</v>
      </c>
      <c r="B429" s="1090"/>
      <c r="C429" s="1090"/>
      <c r="D429" s="1090"/>
      <c r="E429" s="1090"/>
      <c r="F429" s="1090"/>
      <c r="G429" s="1090"/>
      <c r="H429" s="1090"/>
      <c r="I429" s="1090"/>
      <c r="J429" s="1090"/>
      <c r="K429" s="1090"/>
      <c r="L429" s="1090"/>
      <c r="M429" s="1090"/>
      <c r="N429" s="1090"/>
      <c r="O429" s="1090"/>
      <c r="P429" s="1090"/>
      <c r="Q429" s="1090"/>
      <c r="R429" s="1090"/>
      <c r="S429" s="1089"/>
      <c r="T429" s="1089"/>
      <c r="U429" s="1089"/>
      <c r="V429" s="1089"/>
      <c r="W429" s="1089"/>
      <c r="X429" s="1089"/>
      <c r="Y429" s="1089"/>
      <c r="Z429" s="1089"/>
      <c r="AA429" s="1089"/>
      <c r="AB429" s="1089"/>
      <c r="AC429" s="1089"/>
      <c r="AD429" s="1089"/>
      <c r="AE429" s="1089"/>
      <c r="AF429" s="1089"/>
      <c r="AG429" s="1089"/>
      <c r="AH429" s="1089"/>
      <c r="AI429" s="1089"/>
      <c r="AJ429" s="1089"/>
      <c r="AK429" s="1089"/>
      <c r="AL429" s="1089"/>
      <c r="AM429" s="1089"/>
      <c r="AN429" s="1089"/>
      <c r="AO429" s="1089"/>
      <c r="AP429" s="1089"/>
      <c r="AQ429" s="1089"/>
      <c r="AR429" s="1089"/>
      <c r="AS429" s="1089"/>
      <c r="AT429" s="1089"/>
      <c r="AU429" s="1089"/>
      <c r="AV429" s="1089"/>
      <c r="AW429" s="1089"/>
      <c r="AX429" s="1089"/>
      <c r="AY429" s="1089"/>
      <c r="AZ429" s="1089"/>
      <c r="BA429" s="1089"/>
      <c r="BB429" s="1089"/>
      <c r="BC429" s="1089"/>
      <c r="BD429" s="1089"/>
      <c r="BE429" s="1089"/>
      <c r="BF429" s="1089"/>
      <c r="BG429" s="1089"/>
      <c r="BH429" s="1089"/>
      <c r="BI429" s="1089"/>
      <c r="BJ429" s="1089"/>
      <c r="BK429" s="1089"/>
      <c r="BL429" s="1089"/>
      <c r="BM429" s="1089"/>
      <c r="BN429" s="1089"/>
      <c r="BO429" s="1089"/>
    </row>
    <row r="430" spans="1:67" ht="13.5" customHeight="1" x14ac:dyDescent="0.2">
      <c r="A430" s="1083"/>
      <c r="B430" s="1083"/>
      <c r="C430" s="1083"/>
      <c r="D430" s="1083"/>
      <c r="E430" s="1083"/>
      <c r="F430" s="1083"/>
      <c r="G430" s="1083"/>
      <c r="H430" s="1083"/>
      <c r="I430" s="1083"/>
      <c r="J430" s="1083"/>
      <c r="K430" s="1083"/>
      <c r="L430" s="1083"/>
      <c r="M430" s="1083"/>
      <c r="N430" s="1083"/>
      <c r="O430" s="1083"/>
      <c r="P430" s="1083"/>
      <c r="Q430" s="1083"/>
      <c r="R430" s="1083"/>
      <c r="S430" s="1083"/>
      <c r="T430" s="1083"/>
      <c r="U430" s="1083"/>
      <c r="V430" s="1083"/>
      <c r="W430" s="1083"/>
      <c r="X430" s="1083"/>
      <c r="Y430" s="1083"/>
      <c r="Z430" s="1083"/>
      <c r="AA430" s="1083"/>
      <c r="AB430" s="1083"/>
      <c r="AC430" s="1083"/>
      <c r="AD430" s="1083"/>
      <c r="AE430" s="1083"/>
      <c r="AF430" s="1083"/>
      <c r="AG430" s="1083"/>
      <c r="AH430" s="1083"/>
      <c r="AI430" s="1083"/>
      <c r="AJ430" s="1083"/>
      <c r="AK430" s="1083"/>
      <c r="AL430" s="1083"/>
      <c r="AM430" s="1083"/>
      <c r="AN430" s="1083"/>
      <c r="AO430" s="1083"/>
      <c r="AP430" s="1083"/>
      <c r="AQ430" s="1083"/>
      <c r="AR430" s="1083"/>
      <c r="AS430" s="1083"/>
      <c r="AT430" s="1083"/>
      <c r="AU430" s="1083"/>
      <c r="AV430" s="1083"/>
      <c r="AW430" s="1083"/>
      <c r="AX430" s="1083"/>
      <c r="AY430" s="1083"/>
      <c r="AZ430" s="1083"/>
      <c r="BA430" s="1083"/>
      <c r="BB430" s="1083"/>
      <c r="BC430" s="1083"/>
      <c r="BD430" s="1083"/>
      <c r="BE430" s="1083"/>
      <c r="BF430" s="1083"/>
      <c r="BG430" s="1083"/>
      <c r="BH430" s="1083"/>
      <c r="BI430" s="1083"/>
      <c r="BJ430" s="1083"/>
      <c r="BK430" s="1083"/>
      <c r="BL430" s="1083"/>
      <c r="BM430" s="1083"/>
      <c r="BN430" s="1083"/>
      <c r="BO430" s="1083"/>
    </row>
    <row r="431" spans="1:67" ht="13.5" customHeight="1" x14ac:dyDescent="0.2">
      <c r="A431" s="1087" t="s">
        <v>788</v>
      </c>
      <c r="B431" s="1087"/>
      <c r="C431" s="1087"/>
      <c r="D431" s="1087"/>
      <c r="E431" s="1087"/>
      <c r="F431" s="1087"/>
      <c r="G431" s="1087"/>
      <c r="H431" s="1087"/>
      <c r="I431" s="1087"/>
      <c r="J431" s="1087"/>
      <c r="K431" s="1087"/>
      <c r="L431" s="1087"/>
      <c r="M431" s="1087"/>
      <c r="N431" s="1087"/>
      <c r="O431" s="1087"/>
      <c r="P431" s="1087"/>
      <c r="Q431" s="1087"/>
      <c r="R431" s="1087"/>
      <c r="S431" s="1088">
        <v>1.1400000000000001</v>
      </c>
      <c r="T431" s="1088"/>
      <c r="U431" s="1088"/>
      <c r="V431" s="1088"/>
      <c r="W431" s="1088"/>
      <c r="X431" s="1088">
        <v>1.02</v>
      </c>
      <c r="Y431" s="1088"/>
      <c r="Z431" s="1088"/>
      <c r="AA431" s="1088"/>
      <c r="AB431" s="1088"/>
      <c r="AC431" s="1088"/>
      <c r="AD431" s="1088">
        <v>0.85000000000000009</v>
      </c>
      <c r="AE431" s="1088"/>
      <c r="AF431" s="1088"/>
      <c r="AG431" s="1088"/>
      <c r="AH431" s="1088"/>
      <c r="AI431" s="1088"/>
      <c r="AJ431" s="1088">
        <v>0.85000000000000009</v>
      </c>
      <c r="AK431" s="1088"/>
      <c r="AL431" s="1088"/>
      <c r="AM431" s="1088"/>
      <c r="AN431" s="1088"/>
      <c r="AO431" s="1088"/>
      <c r="AP431" s="1088"/>
      <c r="AQ431" s="1088"/>
      <c r="AR431" s="1088"/>
      <c r="AS431" s="1088"/>
      <c r="AT431" s="1088"/>
      <c r="AU431" s="1088">
        <v>0.97</v>
      </c>
      <c r="AV431" s="1088"/>
      <c r="AW431" s="1088"/>
      <c r="AX431" s="1088"/>
      <c r="AY431" s="1088"/>
      <c r="AZ431" s="1088"/>
      <c r="BA431" s="1088"/>
      <c r="BB431" s="1088"/>
      <c r="BC431" s="1088">
        <v>1.45</v>
      </c>
      <c r="BD431" s="1088"/>
      <c r="BE431" s="1088"/>
      <c r="BF431" s="1088"/>
      <c r="BG431" s="1088">
        <v>1.7800000000000002</v>
      </c>
      <c r="BH431" s="1088"/>
      <c r="BI431" s="1088"/>
      <c r="BJ431" s="1088"/>
      <c r="BK431" s="1088">
        <v>1.61</v>
      </c>
      <c r="BL431" s="1088"/>
      <c r="BM431" s="1088"/>
      <c r="BN431" s="1088"/>
      <c r="BO431" s="1088"/>
    </row>
    <row r="432" spans="1:67" ht="13.5" customHeight="1" x14ac:dyDescent="0.2">
      <c r="A432" s="1087" t="s">
        <v>789</v>
      </c>
      <c r="B432" s="1087"/>
      <c r="C432" s="1087"/>
      <c r="D432" s="1087"/>
      <c r="E432" s="1087"/>
      <c r="F432" s="1087"/>
      <c r="G432" s="1087"/>
      <c r="H432" s="1087"/>
      <c r="I432" s="1087"/>
      <c r="J432" s="1087"/>
      <c r="K432" s="1087"/>
      <c r="L432" s="1087"/>
      <c r="M432" s="1087"/>
      <c r="N432" s="1087"/>
      <c r="O432" s="1087"/>
      <c r="P432" s="1087"/>
      <c r="Q432" s="1087"/>
      <c r="R432" s="1087"/>
      <c r="S432" s="1088">
        <v>2.1800000000000002</v>
      </c>
      <c r="T432" s="1088"/>
      <c r="U432" s="1088"/>
      <c r="V432" s="1088"/>
      <c r="W432" s="1088"/>
      <c r="X432" s="1088">
        <v>1.86</v>
      </c>
      <c r="Y432" s="1088"/>
      <c r="Z432" s="1088"/>
      <c r="AA432" s="1088"/>
      <c r="AB432" s="1088"/>
      <c r="AC432" s="1088"/>
      <c r="AD432" s="1088">
        <v>1.59</v>
      </c>
      <c r="AE432" s="1088"/>
      <c r="AF432" s="1088"/>
      <c r="AG432" s="1088"/>
      <c r="AH432" s="1088"/>
      <c r="AI432" s="1088"/>
      <c r="AJ432" s="1088">
        <v>1.82</v>
      </c>
      <c r="AK432" s="1088"/>
      <c r="AL432" s="1088"/>
      <c r="AM432" s="1088"/>
      <c r="AN432" s="1088"/>
      <c r="AO432" s="1088"/>
      <c r="AP432" s="1088"/>
      <c r="AQ432" s="1088"/>
      <c r="AR432" s="1088"/>
      <c r="AS432" s="1088"/>
      <c r="AT432" s="1088"/>
      <c r="AU432" s="1088">
        <v>1.87</v>
      </c>
      <c r="AV432" s="1088"/>
      <c r="AW432" s="1088"/>
      <c r="AX432" s="1088"/>
      <c r="AY432" s="1088"/>
      <c r="AZ432" s="1088"/>
      <c r="BA432" s="1088"/>
      <c r="BB432" s="1088"/>
      <c r="BC432" s="1088">
        <v>2.02</v>
      </c>
      <c r="BD432" s="1088"/>
      <c r="BE432" s="1088"/>
      <c r="BF432" s="1088"/>
      <c r="BG432" s="1088">
        <v>2.2000000000000002</v>
      </c>
      <c r="BH432" s="1088"/>
      <c r="BI432" s="1088"/>
      <c r="BJ432" s="1088"/>
      <c r="BK432" s="1088">
        <v>1.9</v>
      </c>
      <c r="BL432" s="1088"/>
      <c r="BM432" s="1088"/>
      <c r="BN432" s="1088"/>
      <c r="BO432" s="1088"/>
    </row>
    <row r="433" spans="1:67" ht="13.5" customHeight="1" x14ac:dyDescent="0.2">
      <c r="A433" s="1087" t="s">
        <v>790</v>
      </c>
      <c r="B433" s="1087"/>
      <c r="C433" s="1087"/>
      <c r="D433" s="1087"/>
      <c r="E433" s="1087"/>
      <c r="F433" s="1087"/>
      <c r="G433" s="1087"/>
      <c r="H433" s="1087"/>
      <c r="I433" s="1087"/>
      <c r="J433" s="1087"/>
      <c r="K433" s="1087"/>
      <c r="L433" s="1087"/>
      <c r="M433" s="1087"/>
      <c r="N433" s="1087"/>
      <c r="O433" s="1087"/>
      <c r="P433" s="1087"/>
      <c r="Q433" s="1087"/>
      <c r="R433" s="1087"/>
      <c r="S433" s="1088">
        <v>30.310000000000002</v>
      </c>
      <c r="T433" s="1088"/>
      <c r="U433" s="1088"/>
      <c r="V433" s="1088"/>
      <c r="W433" s="1088"/>
      <c r="X433" s="1088">
        <v>31.1</v>
      </c>
      <c r="Y433" s="1088"/>
      <c r="Z433" s="1088"/>
      <c r="AA433" s="1088"/>
      <c r="AB433" s="1088"/>
      <c r="AC433" s="1088"/>
      <c r="AD433" s="1088">
        <v>31.64</v>
      </c>
      <c r="AE433" s="1088"/>
      <c r="AF433" s="1088"/>
      <c r="AG433" s="1088"/>
      <c r="AH433" s="1088"/>
      <c r="AI433" s="1088"/>
      <c r="AJ433" s="1088">
        <v>25.310000000000002</v>
      </c>
      <c r="AK433" s="1088"/>
      <c r="AL433" s="1088"/>
      <c r="AM433" s="1088"/>
      <c r="AN433" s="1088"/>
      <c r="AO433" s="1088"/>
      <c r="AP433" s="1088"/>
      <c r="AQ433" s="1088"/>
      <c r="AR433" s="1088"/>
      <c r="AS433" s="1088"/>
      <c r="AT433" s="1088"/>
      <c r="AU433" s="1088">
        <v>27.54</v>
      </c>
      <c r="AV433" s="1088"/>
      <c r="AW433" s="1088"/>
      <c r="AX433" s="1088"/>
      <c r="AY433" s="1088"/>
      <c r="AZ433" s="1088"/>
      <c r="BA433" s="1088"/>
      <c r="BB433" s="1088"/>
      <c r="BC433" s="1088">
        <v>26.25</v>
      </c>
      <c r="BD433" s="1088"/>
      <c r="BE433" s="1088"/>
      <c r="BF433" s="1088"/>
      <c r="BG433" s="1088">
        <v>31.02</v>
      </c>
      <c r="BH433" s="1088"/>
      <c r="BI433" s="1088"/>
      <c r="BJ433" s="1088"/>
      <c r="BK433" s="1088">
        <v>32.130000000000003</v>
      </c>
      <c r="BL433" s="1088"/>
      <c r="BM433" s="1088"/>
      <c r="BN433" s="1088"/>
      <c r="BO433" s="1088"/>
    </row>
    <row r="434" spans="1:67" ht="13.5" customHeight="1" x14ac:dyDescent="0.2">
      <c r="A434" s="1087" t="s">
        <v>791</v>
      </c>
      <c r="B434" s="1087"/>
      <c r="C434" s="1087"/>
      <c r="D434" s="1087"/>
      <c r="E434" s="1087"/>
      <c r="F434" s="1087"/>
      <c r="G434" s="1087"/>
      <c r="H434" s="1087"/>
      <c r="I434" s="1087"/>
      <c r="J434" s="1087"/>
      <c r="K434" s="1087"/>
      <c r="L434" s="1087"/>
      <c r="M434" s="1087"/>
      <c r="N434" s="1087"/>
      <c r="O434" s="1087"/>
      <c r="P434" s="1087"/>
      <c r="Q434" s="1087"/>
      <c r="R434" s="1087"/>
      <c r="S434" s="1088">
        <v>77.349999999999994</v>
      </c>
      <c r="T434" s="1088"/>
      <c r="U434" s="1088"/>
      <c r="V434" s="1088"/>
      <c r="W434" s="1088"/>
      <c r="X434" s="1088">
        <v>85.940000000000012</v>
      </c>
      <c r="Y434" s="1088"/>
      <c r="Z434" s="1088"/>
      <c r="AA434" s="1088"/>
      <c r="AB434" s="1088"/>
      <c r="AC434" s="1088"/>
      <c r="AD434" s="1088">
        <v>106.4</v>
      </c>
      <c r="AE434" s="1088"/>
      <c r="AF434" s="1088"/>
      <c r="AG434" s="1088"/>
      <c r="AH434" s="1088"/>
      <c r="AI434" s="1088"/>
      <c r="AJ434" s="1088">
        <v>68.179999999999993</v>
      </c>
      <c r="AK434" s="1088"/>
      <c r="AL434" s="1088"/>
      <c r="AM434" s="1088"/>
      <c r="AN434" s="1088"/>
      <c r="AO434" s="1088"/>
      <c r="AP434" s="1088"/>
      <c r="AQ434" s="1088"/>
      <c r="AR434" s="1088"/>
      <c r="AS434" s="1088"/>
      <c r="AT434" s="1088"/>
      <c r="AU434" s="1088">
        <v>64.930000000000007</v>
      </c>
      <c r="AV434" s="1088"/>
      <c r="AW434" s="1088"/>
      <c r="AX434" s="1088"/>
      <c r="AY434" s="1088"/>
      <c r="AZ434" s="1088"/>
      <c r="BA434" s="1088"/>
      <c r="BB434" s="1088"/>
      <c r="BC434" s="1088">
        <v>80.790000000000006</v>
      </c>
      <c r="BD434" s="1088"/>
      <c r="BE434" s="1088"/>
      <c r="BF434" s="1088"/>
      <c r="BG434" s="1088">
        <v>76.61</v>
      </c>
      <c r="BH434" s="1088"/>
      <c r="BI434" s="1088"/>
      <c r="BJ434" s="1088"/>
      <c r="BK434" s="1088">
        <v>76.19</v>
      </c>
      <c r="BL434" s="1088"/>
      <c r="BM434" s="1088"/>
      <c r="BN434" s="1088"/>
      <c r="BO434" s="1088"/>
    </row>
    <row r="435" spans="1:67" ht="13.5" customHeight="1" x14ac:dyDescent="0.2">
      <c r="A435" s="1087" t="s">
        <v>792</v>
      </c>
      <c r="B435" s="1087"/>
      <c r="C435" s="1087"/>
      <c r="D435" s="1087"/>
      <c r="E435" s="1087"/>
      <c r="F435" s="1087"/>
      <c r="G435" s="1087"/>
      <c r="H435" s="1087"/>
      <c r="I435" s="1087"/>
      <c r="J435" s="1087"/>
      <c r="K435" s="1087"/>
      <c r="L435" s="1087"/>
      <c r="M435" s="1087"/>
      <c r="N435" s="1087"/>
      <c r="O435" s="1087"/>
      <c r="P435" s="1087"/>
      <c r="Q435" s="1087"/>
      <c r="R435" s="1087"/>
      <c r="S435" s="1088">
        <v>115.56</v>
      </c>
      <c r="T435" s="1088"/>
      <c r="U435" s="1088"/>
      <c r="V435" s="1088"/>
      <c r="W435" s="1088"/>
      <c r="X435" s="1088">
        <v>121.92</v>
      </c>
      <c r="Y435" s="1088"/>
      <c r="Z435" s="1088"/>
      <c r="AA435" s="1088"/>
      <c r="AB435" s="1088"/>
      <c r="AC435" s="1088"/>
      <c r="AD435" s="1088">
        <v>140.26</v>
      </c>
      <c r="AE435" s="1088"/>
      <c r="AF435" s="1088"/>
      <c r="AG435" s="1088"/>
      <c r="AH435" s="1088"/>
      <c r="AI435" s="1088"/>
      <c r="AJ435" s="1088">
        <v>102.32</v>
      </c>
      <c r="AK435" s="1088"/>
      <c r="AL435" s="1088"/>
      <c r="AM435" s="1088"/>
      <c r="AN435" s="1088"/>
      <c r="AO435" s="1088"/>
      <c r="AP435" s="1088"/>
      <c r="AQ435" s="1088"/>
      <c r="AR435" s="1088"/>
      <c r="AS435" s="1088"/>
      <c r="AT435" s="1088"/>
      <c r="AU435" s="1088">
        <v>102.14</v>
      </c>
      <c r="AV435" s="1088"/>
      <c r="AW435" s="1088"/>
      <c r="AX435" s="1088"/>
      <c r="AY435" s="1088"/>
      <c r="AZ435" s="1088"/>
      <c r="BA435" s="1088"/>
      <c r="BB435" s="1088"/>
      <c r="BC435" s="1088">
        <v>117.17999999999999</v>
      </c>
      <c r="BD435" s="1088"/>
      <c r="BE435" s="1088"/>
      <c r="BF435" s="1088"/>
      <c r="BG435" s="1088">
        <v>115.49000000000001</v>
      </c>
      <c r="BH435" s="1088"/>
      <c r="BI435" s="1088"/>
      <c r="BJ435" s="1088"/>
      <c r="BK435" s="1088">
        <v>117.22</v>
      </c>
      <c r="BL435" s="1088"/>
      <c r="BM435" s="1088"/>
      <c r="BN435" s="1088"/>
      <c r="BO435" s="1088"/>
    </row>
    <row r="436" spans="1:67" ht="13.5" customHeight="1" x14ac:dyDescent="0.2">
      <c r="A436" s="1087" t="s">
        <v>793</v>
      </c>
      <c r="B436" s="1087"/>
      <c r="C436" s="1087"/>
      <c r="D436" s="1087"/>
      <c r="E436" s="1087"/>
      <c r="F436" s="1087"/>
      <c r="G436" s="1087"/>
      <c r="H436" s="1087"/>
      <c r="I436" s="1087"/>
      <c r="J436" s="1087"/>
      <c r="K436" s="1087"/>
      <c r="L436" s="1087"/>
      <c r="M436" s="1087"/>
      <c r="N436" s="1087"/>
      <c r="O436" s="1087"/>
      <c r="P436" s="1087"/>
      <c r="Q436" s="1087"/>
      <c r="R436" s="1087"/>
      <c r="S436" s="1088">
        <v>71.430000000000007</v>
      </c>
      <c r="T436" s="1088"/>
      <c r="U436" s="1088"/>
      <c r="V436" s="1088"/>
      <c r="W436" s="1088"/>
      <c r="X436" s="1088">
        <v>66.440000000000012</v>
      </c>
      <c r="Y436" s="1088"/>
      <c r="Z436" s="1088"/>
      <c r="AA436" s="1088"/>
      <c r="AB436" s="1088"/>
      <c r="AC436" s="1088"/>
      <c r="AD436" s="1088">
        <v>60.11</v>
      </c>
      <c r="AE436" s="1088"/>
      <c r="AF436" s="1088"/>
      <c r="AG436" s="1088"/>
      <c r="AH436" s="1088"/>
      <c r="AI436" s="1088"/>
      <c r="AJ436" s="1088">
        <v>74.149999999999991</v>
      </c>
      <c r="AK436" s="1088"/>
      <c r="AL436" s="1088"/>
      <c r="AM436" s="1088"/>
      <c r="AN436" s="1088"/>
      <c r="AO436" s="1088"/>
      <c r="AP436" s="1088"/>
      <c r="AQ436" s="1088"/>
      <c r="AR436" s="1088"/>
      <c r="AS436" s="1088"/>
      <c r="AT436" s="1088"/>
      <c r="AU436" s="1088">
        <v>70.790000000000006</v>
      </c>
      <c r="AV436" s="1088"/>
      <c r="AW436" s="1088"/>
      <c r="AX436" s="1088"/>
      <c r="AY436" s="1088"/>
      <c r="AZ436" s="1088"/>
      <c r="BA436" s="1088"/>
      <c r="BB436" s="1088"/>
      <c r="BC436" s="1088">
        <v>70.92</v>
      </c>
      <c r="BD436" s="1088"/>
      <c r="BE436" s="1088"/>
      <c r="BF436" s="1088"/>
      <c r="BG436" s="1088">
        <v>74.430000000000007</v>
      </c>
      <c r="BH436" s="1088"/>
      <c r="BI436" s="1088"/>
      <c r="BJ436" s="1088"/>
      <c r="BK436" s="1088">
        <v>87.61999999999999</v>
      </c>
      <c r="BL436" s="1088"/>
      <c r="BM436" s="1088"/>
      <c r="BN436" s="1088"/>
      <c r="BO436" s="1088"/>
    </row>
    <row r="437" spans="1:67" ht="13.5" customHeight="1" x14ac:dyDescent="0.2">
      <c r="A437" s="1087" t="s">
        <v>794</v>
      </c>
      <c r="B437" s="1087"/>
      <c r="C437" s="1087"/>
      <c r="D437" s="1087"/>
      <c r="E437" s="1087"/>
      <c r="F437" s="1087"/>
      <c r="G437" s="1087"/>
      <c r="H437" s="1087"/>
      <c r="I437" s="1087"/>
      <c r="J437" s="1087"/>
      <c r="K437" s="1087"/>
      <c r="L437" s="1087"/>
      <c r="M437" s="1087"/>
      <c r="N437" s="1087"/>
      <c r="O437" s="1087"/>
      <c r="P437" s="1087"/>
      <c r="Q437" s="1087"/>
      <c r="R437" s="1087"/>
      <c r="S437" s="1088">
        <v>48.15</v>
      </c>
      <c r="T437" s="1088"/>
      <c r="U437" s="1088"/>
      <c r="V437" s="1088"/>
      <c r="W437" s="1088"/>
      <c r="X437" s="1088">
        <v>48.760000000000005</v>
      </c>
      <c r="Y437" s="1088"/>
      <c r="Z437" s="1088"/>
      <c r="AA437" s="1088"/>
      <c r="AB437" s="1088"/>
      <c r="AC437" s="1088"/>
      <c r="AD437" s="1088">
        <v>54.57</v>
      </c>
      <c r="AE437" s="1088"/>
      <c r="AF437" s="1088"/>
      <c r="AG437" s="1088"/>
      <c r="AH437" s="1088"/>
      <c r="AI437" s="1088"/>
      <c r="AJ437" s="1088">
        <v>62.06</v>
      </c>
      <c r="AK437" s="1088"/>
      <c r="AL437" s="1088"/>
      <c r="AM437" s="1088"/>
      <c r="AN437" s="1088"/>
      <c r="AO437" s="1088"/>
      <c r="AP437" s="1088"/>
      <c r="AQ437" s="1088"/>
      <c r="AR437" s="1088"/>
      <c r="AS437" s="1088"/>
      <c r="AT437" s="1088"/>
      <c r="AU437" s="1088">
        <v>45.77</v>
      </c>
      <c r="AV437" s="1088"/>
      <c r="AW437" s="1088"/>
      <c r="AX437" s="1088"/>
      <c r="AY437" s="1088"/>
      <c r="AZ437" s="1088"/>
      <c r="BA437" s="1088"/>
      <c r="BB437" s="1088"/>
      <c r="BC437" s="1088">
        <v>66.09</v>
      </c>
      <c r="BD437" s="1088"/>
      <c r="BE437" s="1088"/>
      <c r="BF437" s="1088"/>
      <c r="BG437" s="1088">
        <v>46.58</v>
      </c>
      <c r="BH437" s="1088"/>
      <c r="BI437" s="1088"/>
      <c r="BJ437" s="1088"/>
      <c r="BK437" s="1088">
        <v>58.3</v>
      </c>
      <c r="BL437" s="1088"/>
      <c r="BM437" s="1088"/>
      <c r="BN437" s="1088"/>
      <c r="BO437" s="1088"/>
    </row>
    <row r="438" spans="1:67" ht="13.5" customHeight="1" x14ac:dyDescent="0.2">
      <c r="A438" s="1087" t="s">
        <v>795</v>
      </c>
      <c r="B438" s="1087"/>
      <c r="C438" s="1087"/>
      <c r="D438" s="1087"/>
      <c r="E438" s="1087"/>
      <c r="F438" s="1087"/>
      <c r="G438" s="1087"/>
      <c r="H438" s="1087"/>
      <c r="I438" s="1087"/>
      <c r="J438" s="1087"/>
      <c r="K438" s="1087"/>
      <c r="L438" s="1087"/>
      <c r="M438" s="1087"/>
      <c r="N438" s="1087"/>
      <c r="O438" s="1087"/>
      <c r="P438" s="1087"/>
      <c r="Q438" s="1087"/>
      <c r="R438" s="1087"/>
      <c r="S438" s="1088">
        <v>138.84</v>
      </c>
      <c r="T438" s="1088"/>
      <c r="U438" s="1088"/>
      <c r="V438" s="1088"/>
      <c r="W438" s="1088"/>
      <c r="X438" s="1088">
        <v>139.6</v>
      </c>
      <c r="Y438" s="1088"/>
      <c r="Z438" s="1088"/>
      <c r="AA438" s="1088"/>
      <c r="AB438" s="1088"/>
      <c r="AC438" s="1088"/>
      <c r="AD438" s="1088">
        <v>145.79</v>
      </c>
      <c r="AE438" s="1088"/>
      <c r="AF438" s="1088"/>
      <c r="AG438" s="1088"/>
      <c r="AH438" s="1088"/>
      <c r="AI438" s="1088"/>
      <c r="AJ438" s="1088">
        <v>114.42</v>
      </c>
      <c r="AK438" s="1088"/>
      <c r="AL438" s="1088"/>
      <c r="AM438" s="1088"/>
      <c r="AN438" s="1088"/>
      <c r="AO438" s="1088"/>
      <c r="AP438" s="1088"/>
      <c r="AQ438" s="1088"/>
      <c r="AR438" s="1088"/>
      <c r="AS438" s="1088"/>
      <c r="AT438" s="1088"/>
      <c r="AU438" s="1088">
        <v>127.16</v>
      </c>
      <c r="AV438" s="1088"/>
      <c r="AW438" s="1088"/>
      <c r="AX438" s="1088"/>
      <c r="AY438" s="1088"/>
      <c r="AZ438" s="1088"/>
      <c r="BA438" s="1088"/>
      <c r="BB438" s="1088"/>
      <c r="BC438" s="1088">
        <v>122</v>
      </c>
      <c r="BD438" s="1088"/>
      <c r="BE438" s="1088"/>
      <c r="BF438" s="1088"/>
      <c r="BG438" s="1088">
        <v>143.34</v>
      </c>
      <c r="BH438" s="1088"/>
      <c r="BI438" s="1088"/>
      <c r="BJ438" s="1088"/>
      <c r="BK438" s="1088">
        <v>146.54</v>
      </c>
      <c r="BL438" s="1088"/>
      <c r="BM438" s="1088"/>
      <c r="BN438" s="1088"/>
      <c r="BO438" s="1088"/>
    </row>
    <row r="439" spans="1:67" ht="13.5" customHeight="1" x14ac:dyDescent="0.2">
      <c r="A439" s="1083"/>
      <c r="B439" s="1083"/>
      <c r="C439" s="1083"/>
      <c r="D439" s="1083"/>
      <c r="E439" s="1083"/>
      <c r="F439" s="1083"/>
      <c r="G439" s="1083"/>
      <c r="H439" s="1083"/>
      <c r="I439" s="1083"/>
      <c r="J439" s="1083"/>
      <c r="K439" s="1083"/>
      <c r="L439" s="1083"/>
      <c r="M439" s="1083"/>
      <c r="N439" s="1083"/>
      <c r="O439" s="1083"/>
      <c r="P439" s="1083"/>
      <c r="Q439" s="1083"/>
      <c r="R439" s="1083"/>
      <c r="S439" s="1083"/>
      <c r="T439" s="1083"/>
      <c r="U439" s="1083"/>
      <c r="V439" s="1083"/>
      <c r="W439" s="1083"/>
      <c r="X439" s="1083"/>
      <c r="Y439" s="1083"/>
      <c r="Z439" s="1083"/>
      <c r="AA439" s="1083"/>
      <c r="AB439" s="1083"/>
      <c r="AC439" s="1083"/>
      <c r="AD439" s="1083"/>
      <c r="AE439" s="1083"/>
      <c r="AF439" s="1083"/>
      <c r="AG439" s="1083"/>
      <c r="AH439" s="1083"/>
      <c r="AI439" s="1083"/>
      <c r="AJ439" s="1083"/>
      <c r="AK439" s="1083"/>
      <c r="AL439" s="1083"/>
      <c r="AM439" s="1083"/>
      <c r="AN439" s="1083"/>
      <c r="AO439" s="1083"/>
      <c r="AP439" s="1083"/>
      <c r="AQ439" s="1083"/>
      <c r="AR439" s="1083"/>
      <c r="AS439" s="1083"/>
      <c r="AT439" s="1083"/>
      <c r="AU439" s="1083"/>
      <c r="AV439" s="1083"/>
      <c r="AW439" s="1083"/>
      <c r="AX439" s="1083"/>
      <c r="AY439" s="1083"/>
      <c r="AZ439" s="1083"/>
      <c r="BA439" s="1083"/>
      <c r="BB439" s="1083"/>
      <c r="BC439" s="1083"/>
      <c r="BD439" s="1083"/>
      <c r="BE439" s="1083"/>
      <c r="BF439" s="1083"/>
      <c r="BG439" s="1083"/>
      <c r="BH439" s="1083"/>
      <c r="BI439" s="1083"/>
      <c r="BJ439" s="1083"/>
      <c r="BK439" s="1083"/>
      <c r="BL439" s="1083"/>
      <c r="BM439" s="1083"/>
      <c r="BN439" s="1083"/>
      <c r="BO439" s="1083"/>
    </row>
    <row r="440" spans="1:67" ht="13.5" customHeight="1" x14ac:dyDescent="0.2">
      <c r="A440" s="1090" t="s">
        <v>796</v>
      </c>
      <c r="B440" s="1090"/>
      <c r="C440" s="1090"/>
      <c r="D440" s="1090"/>
      <c r="E440" s="1090"/>
      <c r="F440" s="1090"/>
      <c r="G440" s="1090"/>
      <c r="H440" s="1090"/>
      <c r="I440" s="1090"/>
      <c r="J440" s="1090"/>
      <c r="K440" s="1090"/>
      <c r="L440" s="1090"/>
      <c r="M440" s="1090"/>
      <c r="N440" s="1090"/>
      <c r="O440" s="1090"/>
      <c r="P440" s="1090"/>
      <c r="Q440" s="1090"/>
      <c r="R440" s="1090"/>
      <c r="S440" s="1089"/>
      <c r="T440" s="1089"/>
      <c r="U440" s="1089"/>
      <c r="V440" s="1089"/>
      <c r="W440" s="1089"/>
      <c r="X440" s="1089"/>
      <c r="Y440" s="1089"/>
      <c r="Z440" s="1089"/>
      <c r="AA440" s="1089"/>
      <c r="AB440" s="1089"/>
      <c r="AC440" s="1089"/>
      <c r="AD440" s="1089"/>
      <c r="AE440" s="1089"/>
      <c r="AF440" s="1089"/>
      <c r="AG440" s="1089"/>
      <c r="AH440" s="1089"/>
      <c r="AI440" s="1089"/>
      <c r="AJ440" s="1089"/>
      <c r="AK440" s="1089"/>
      <c r="AL440" s="1089"/>
      <c r="AM440" s="1089"/>
      <c r="AN440" s="1089"/>
      <c r="AO440" s="1089"/>
      <c r="AP440" s="1089"/>
      <c r="AQ440" s="1089"/>
      <c r="AR440" s="1089"/>
      <c r="AS440" s="1089"/>
      <c r="AT440" s="1089"/>
      <c r="AU440" s="1089"/>
      <c r="AV440" s="1089"/>
      <c r="AW440" s="1089"/>
      <c r="AX440" s="1089"/>
      <c r="AY440" s="1089"/>
      <c r="AZ440" s="1089"/>
      <c r="BA440" s="1089"/>
      <c r="BB440" s="1089"/>
      <c r="BC440" s="1089"/>
      <c r="BD440" s="1089"/>
      <c r="BE440" s="1089"/>
      <c r="BF440" s="1089"/>
      <c r="BG440" s="1089"/>
      <c r="BH440" s="1089"/>
      <c r="BI440" s="1089"/>
      <c r="BJ440" s="1089"/>
      <c r="BK440" s="1089"/>
      <c r="BL440" s="1089"/>
      <c r="BM440" s="1089"/>
      <c r="BN440" s="1089"/>
      <c r="BO440" s="1089"/>
    </row>
    <row r="441" spans="1:67" ht="13.5" customHeight="1" x14ac:dyDescent="0.2">
      <c r="A441" s="1083"/>
      <c r="B441" s="1083"/>
      <c r="C441" s="1083"/>
      <c r="D441" s="1083"/>
      <c r="E441" s="1083"/>
      <c r="F441" s="1083"/>
      <c r="G441" s="1083"/>
      <c r="H441" s="1083"/>
      <c r="I441" s="1083"/>
      <c r="J441" s="1083"/>
      <c r="K441" s="1083"/>
      <c r="L441" s="1083"/>
      <c r="M441" s="1083"/>
      <c r="N441" s="1083"/>
      <c r="O441" s="1083"/>
      <c r="P441" s="1083"/>
      <c r="Q441" s="1083"/>
      <c r="R441" s="1083"/>
      <c r="S441" s="1083"/>
      <c r="T441" s="1083"/>
      <c r="U441" s="1083"/>
      <c r="V441" s="1083"/>
      <c r="W441" s="1083"/>
      <c r="X441" s="1083"/>
      <c r="Y441" s="1083"/>
      <c r="Z441" s="1083"/>
      <c r="AA441" s="1083"/>
      <c r="AB441" s="1083"/>
      <c r="AC441" s="1083"/>
      <c r="AD441" s="1083"/>
      <c r="AE441" s="1083"/>
      <c r="AF441" s="1083"/>
      <c r="AG441" s="1083"/>
      <c r="AH441" s="1083"/>
      <c r="AI441" s="1083"/>
      <c r="AJ441" s="1083"/>
      <c r="AK441" s="1083"/>
      <c r="AL441" s="1083"/>
      <c r="AM441" s="1083"/>
      <c r="AN441" s="1083"/>
      <c r="AO441" s="1083"/>
      <c r="AP441" s="1083"/>
      <c r="AQ441" s="1083"/>
      <c r="AR441" s="1083"/>
      <c r="AS441" s="1083"/>
      <c r="AT441" s="1083"/>
      <c r="AU441" s="1083"/>
      <c r="AV441" s="1083"/>
      <c r="AW441" s="1083"/>
      <c r="AX441" s="1083"/>
      <c r="AY441" s="1083"/>
      <c r="AZ441" s="1083"/>
      <c r="BA441" s="1083"/>
      <c r="BB441" s="1083"/>
      <c r="BC441" s="1083"/>
      <c r="BD441" s="1083"/>
      <c r="BE441" s="1083"/>
      <c r="BF441" s="1083"/>
      <c r="BG441" s="1083"/>
      <c r="BH441" s="1083"/>
      <c r="BI441" s="1083"/>
      <c r="BJ441" s="1083"/>
      <c r="BK441" s="1083"/>
      <c r="BL441" s="1083"/>
      <c r="BM441" s="1083"/>
      <c r="BN441" s="1083"/>
      <c r="BO441" s="1083"/>
    </row>
    <row r="442" spans="1:67" ht="13.5" customHeight="1" x14ac:dyDescent="0.2">
      <c r="A442" s="1087" t="s">
        <v>797</v>
      </c>
      <c r="B442" s="1087"/>
      <c r="C442" s="1087"/>
      <c r="D442" s="1087"/>
      <c r="E442" s="1087"/>
      <c r="F442" s="1087"/>
      <c r="G442" s="1087"/>
      <c r="H442" s="1087"/>
      <c r="I442" s="1087"/>
      <c r="J442" s="1087"/>
      <c r="K442" s="1087"/>
      <c r="L442" s="1087"/>
      <c r="M442" s="1087"/>
      <c r="N442" s="1087"/>
      <c r="O442" s="1087"/>
      <c r="P442" s="1087"/>
      <c r="Q442" s="1087"/>
      <c r="R442" s="1087"/>
      <c r="S442" s="1086">
        <v>2527307</v>
      </c>
      <c r="T442" s="1086"/>
      <c r="U442" s="1086"/>
      <c r="V442" s="1086"/>
      <c r="W442" s="1086"/>
      <c r="X442" s="1086">
        <v>2036923</v>
      </c>
      <c r="Y442" s="1086"/>
      <c r="Z442" s="1086"/>
      <c r="AA442" s="1086"/>
      <c r="AB442" s="1086"/>
      <c r="AC442" s="1086"/>
      <c r="AD442" s="1086">
        <v>1835077</v>
      </c>
      <c r="AE442" s="1086"/>
      <c r="AF442" s="1086"/>
      <c r="AG442" s="1086"/>
      <c r="AH442" s="1086"/>
      <c r="AI442" s="1086"/>
      <c r="AJ442" s="1086">
        <v>1897638</v>
      </c>
      <c r="AK442" s="1086"/>
      <c r="AL442" s="1086"/>
      <c r="AM442" s="1086"/>
      <c r="AN442" s="1086"/>
      <c r="AO442" s="1086"/>
      <c r="AP442" s="1086"/>
      <c r="AQ442" s="1086"/>
      <c r="AR442" s="1086"/>
      <c r="AS442" s="1086"/>
      <c r="AT442" s="1086"/>
      <c r="AU442" s="1086">
        <v>1536949</v>
      </c>
      <c r="AV442" s="1086"/>
      <c r="AW442" s="1086"/>
      <c r="AX442" s="1086"/>
      <c r="AY442" s="1086"/>
      <c r="AZ442" s="1086"/>
      <c r="BA442" s="1086"/>
      <c r="BB442" s="1086"/>
      <c r="BC442" s="1086">
        <v>1263505</v>
      </c>
      <c r="BD442" s="1086"/>
      <c r="BE442" s="1086"/>
      <c r="BF442" s="1086"/>
      <c r="BG442" s="1086">
        <v>1249873</v>
      </c>
      <c r="BH442" s="1086"/>
      <c r="BI442" s="1086"/>
      <c r="BJ442" s="1086"/>
      <c r="BK442" s="1086">
        <v>818309</v>
      </c>
      <c r="BL442" s="1086"/>
      <c r="BM442" s="1086"/>
      <c r="BN442" s="1086"/>
      <c r="BO442" s="1086"/>
    </row>
    <row r="443" spans="1:67" ht="13.5" customHeight="1" x14ac:dyDescent="0.2">
      <c r="A443" s="1087" t="s">
        <v>798</v>
      </c>
      <c r="B443" s="1087"/>
      <c r="C443" s="1087"/>
      <c r="D443" s="1087"/>
      <c r="E443" s="1087"/>
      <c r="F443" s="1087"/>
      <c r="G443" s="1087"/>
      <c r="H443" s="1087"/>
      <c r="I443" s="1087"/>
      <c r="J443" s="1087"/>
      <c r="K443" s="1087"/>
      <c r="L443" s="1087"/>
      <c r="M443" s="1087"/>
      <c r="N443" s="1087"/>
      <c r="O443" s="1087"/>
      <c r="P443" s="1087"/>
      <c r="Q443" s="1087"/>
      <c r="R443" s="1087"/>
      <c r="S443" s="1088">
        <v>11.62</v>
      </c>
      <c r="T443" s="1088"/>
      <c r="U443" s="1088"/>
      <c r="V443" s="1088"/>
      <c r="W443" s="1088"/>
      <c r="X443" s="1088">
        <v>9.51</v>
      </c>
      <c r="Y443" s="1088"/>
      <c r="Z443" s="1088"/>
      <c r="AA443" s="1088"/>
      <c r="AB443" s="1088"/>
      <c r="AC443" s="1088"/>
      <c r="AD443" s="1088">
        <v>10.19</v>
      </c>
      <c r="AE443" s="1088"/>
      <c r="AF443" s="1088"/>
      <c r="AG443" s="1088"/>
      <c r="AH443" s="1088"/>
      <c r="AI443" s="1088"/>
      <c r="AJ443" s="1088">
        <v>12.12</v>
      </c>
      <c r="AK443" s="1088"/>
      <c r="AL443" s="1088"/>
      <c r="AM443" s="1088"/>
      <c r="AN443" s="1088"/>
      <c r="AO443" s="1088"/>
      <c r="AP443" s="1088"/>
      <c r="AQ443" s="1088"/>
      <c r="AR443" s="1088"/>
      <c r="AS443" s="1088"/>
      <c r="AT443" s="1088"/>
      <c r="AU443" s="1088">
        <v>10.69</v>
      </c>
      <c r="AV443" s="1088"/>
      <c r="AW443" s="1088"/>
      <c r="AX443" s="1088"/>
      <c r="AY443" s="1088"/>
      <c r="AZ443" s="1088"/>
      <c r="BA443" s="1088"/>
      <c r="BB443" s="1088"/>
      <c r="BC443" s="1088">
        <v>9.2899999999999991</v>
      </c>
      <c r="BD443" s="1088"/>
      <c r="BE443" s="1088"/>
      <c r="BF443" s="1088"/>
      <c r="BG443" s="1088">
        <v>10.83</v>
      </c>
      <c r="BH443" s="1088"/>
      <c r="BI443" s="1088"/>
      <c r="BJ443" s="1088"/>
      <c r="BK443" s="1088">
        <v>8.25</v>
      </c>
      <c r="BL443" s="1088"/>
      <c r="BM443" s="1088"/>
      <c r="BN443" s="1088"/>
      <c r="BO443" s="1088"/>
    </row>
    <row r="444" spans="1:67" ht="13.5" customHeight="1" x14ac:dyDescent="0.2">
      <c r="A444" s="1087" t="s">
        <v>799</v>
      </c>
      <c r="B444" s="1087"/>
      <c r="C444" s="1087"/>
      <c r="D444" s="1087"/>
      <c r="E444" s="1087"/>
      <c r="F444" s="1087"/>
      <c r="G444" s="1087"/>
      <c r="H444" s="1087"/>
      <c r="I444" s="1087"/>
      <c r="J444" s="1087"/>
      <c r="K444" s="1087"/>
      <c r="L444" s="1087"/>
      <c r="M444" s="1087"/>
      <c r="N444" s="1087"/>
      <c r="O444" s="1087"/>
      <c r="P444" s="1087"/>
      <c r="Q444" s="1087"/>
      <c r="R444" s="1087"/>
      <c r="S444" s="1088">
        <v>8.4600000000000009</v>
      </c>
      <c r="T444" s="1088"/>
      <c r="U444" s="1088"/>
      <c r="V444" s="1088"/>
      <c r="W444" s="1088"/>
      <c r="X444" s="1088">
        <v>5.44</v>
      </c>
      <c r="Y444" s="1088"/>
      <c r="Z444" s="1088"/>
      <c r="AA444" s="1088"/>
      <c r="AB444" s="1088"/>
      <c r="AC444" s="1088"/>
      <c r="AD444" s="1088">
        <v>4.6499999999999995</v>
      </c>
      <c r="AE444" s="1088"/>
      <c r="AF444" s="1088"/>
      <c r="AG444" s="1088"/>
      <c r="AH444" s="1088"/>
      <c r="AI444" s="1088"/>
      <c r="AJ444" s="1088">
        <v>7.75</v>
      </c>
      <c r="AK444" s="1088"/>
      <c r="AL444" s="1088"/>
      <c r="AM444" s="1088"/>
      <c r="AN444" s="1088"/>
      <c r="AO444" s="1088"/>
      <c r="AP444" s="1088"/>
      <c r="AQ444" s="1088"/>
      <c r="AR444" s="1088"/>
      <c r="AS444" s="1088"/>
      <c r="AT444" s="1088"/>
      <c r="AU444" s="1088">
        <v>9.1399999999999988</v>
      </c>
      <c r="AV444" s="1088"/>
      <c r="AW444" s="1088"/>
      <c r="AX444" s="1088"/>
      <c r="AY444" s="1088"/>
      <c r="AZ444" s="1088"/>
      <c r="BA444" s="1088"/>
      <c r="BB444" s="1088"/>
      <c r="BC444" s="1088">
        <v>11.49</v>
      </c>
      <c r="BD444" s="1088"/>
      <c r="BE444" s="1088"/>
      <c r="BF444" s="1088"/>
      <c r="BG444" s="1088">
        <v>16.310000000000002</v>
      </c>
      <c r="BH444" s="1088"/>
      <c r="BI444" s="1088"/>
      <c r="BJ444" s="1088"/>
      <c r="BK444" s="1088">
        <v>10.34</v>
      </c>
      <c r="BL444" s="1088"/>
      <c r="BM444" s="1088"/>
      <c r="BN444" s="1088"/>
      <c r="BO444" s="1088"/>
    </row>
    <row r="445" spans="1:67" ht="13.5" customHeight="1" x14ac:dyDescent="0.2">
      <c r="A445" s="1087" t="s">
        <v>800</v>
      </c>
      <c r="B445" s="1087"/>
      <c r="C445" s="1087"/>
      <c r="D445" s="1087"/>
      <c r="E445" s="1087"/>
      <c r="F445" s="1087"/>
      <c r="G445" s="1087"/>
      <c r="H445" s="1087"/>
      <c r="I445" s="1087"/>
      <c r="J445" s="1087"/>
      <c r="K445" s="1087"/>
      <c r="L445" s="1087"/>
      <c r="M445" s="1087"/>
      <c r="N445" s="1087"/>
      <c r="O445" s="1087"/>
      <c r="P445" s="1087"/>
      <c r="Q445" s="1087"/>
      <c r="R445" s="1087"/>
      <c r="S445" s="1088">
        <v>11.139999999999999</v>
      </c>
      <c r="T445" s="1088"/>
      <c r="U445" s="1088"/>
      <c r="V445" s="1088"/>
      <c r="W445" s="1088"/>
      <c r="X445" s="1088">
        <v>7.02</v>
      </c>
      <c r="Y445" s="1088"/>
      <c r="Z445" s="1088"/>
      <c r="AA445" s="1088"/>
      <c r="AB445" s="1088"/>
      <c r="AC445" s="1088"/>
      <c r="AD445" s="1088">
        <v>6.06</v>
      </c>
      <c r="AE445" s="1088"/>
      <c r="AF445" s="1088"/>
      <c r="AG445" s="1088"/>
      <c r="AH445" s="1088"/>
      <c r="AI445" s="1088"/>
      <c r="AJ445" s="1088">
        <v>9.44</v>
      </c>
      <c r="AK445" s="1088"/>
      <c r="AL445" s="1088"/>
      <c r="AM445" s="1088"/>
      <c r="AN445" s="1088"/>
      <c r="AO445" s="1088"/>
      <c r="AP445" s="1088"/>
      <c r="AQ445" s="1088"/>
      <c r="AR445" s="1088"/>
      <c r="AS445" s="1088"/>
      <c r="AT445" s="1088"/>
      <c r="AU445" s="1088">
        <v>10.870000000000001</v>
      </c>
      <c r="AV445" s="1088"/>
      <c r="AW445" s="1088"/>
      <c r="AX445" s="1088"/>
      <c r="AY445" s="1088"/>
      <c r="AZ445" s="1088"/>
      <c r="BA445" s="1088"/>
      <c r="BB445" s="1088"/>
      <c r="BC445" s="1088">
        <v>16.810000000000002</v>
      </c>
      <c r="BD445" s="1088"/>
      <c r="BE445" s="1088"/>
      <c r="BF445" s="1088"/>
      <c r="BG445" s="1088">
        <v>24.110000000000003</v>
      </c>
      <c r="BH445" s="1088"/>
      <c r="BI445" s="1088"/>
      <c r="BJ445" s="1088"/>
      <c r="BK445" s="1088">
        <v>16.02</v>
      </c>
      <c r="BL445" s="1088"/>
      <c r="BM445" s="1088"/>
      <c r="BN445" s="1088"/>
      <c r="BO445" s="1088"/>
    </row>
    <row r="446" spans="1:67" ht="13.5" customHeight="1" x14ac:dyDescent="0.2">
      <c r="A446" s="1087" t="s">
        <v>801</v>
      </c>
      <c r="B446" s="1087"/>
      <c r="C446" s="1087"/>
      <c r="D446" s="1087"/>
      <c r="E446" s="1087"/>
      <c r="F446" s="1087"/>
      <c r="G446" s="1087"/>
      <c r="H446" s="1087"/>
      <c r="I446" s="1087"/>
      <c r="J446" s="1087"/>
      <c r="K446" s="1087"/>
      <c r="L446" s="1087"/>
      <c r="M446" s="1087"/>
      <c r="N446" s="1087"/>
      <c r="O446" s="1087"/>
      <c r="P446" s="1087"/>
      <c r="Q446" s="1087"/>
      <c r="R446" s="1087"/>
      <c r="S446" s="1088">
        <v>7.31</v>
      </c>
      <c r="T446" s="1088"/>
      <c r="U446" s="1088"/>
      <c r="V446" s="1088"/>
      <c r="W446" s="1088"/>
      <c r="X446" s="1088">
        <v>5.22</v>
      </c>
      <c r="Y446" s="1088"/>
      <c r="Z446" s="1088"/>
      <c r="AA446" s="1088"/>
      <c r="AB446" s="1088"/>
      <c r="AC446" s="1088"/>
      <c r="AD446" s="1088">
        <v>5.35</v>
      </c>
      <c r="AE446" s="1088"/>
      <c r="AF446" s="1088"/>
      <c r="AG446" s="1088"/>
      <c r="AH446" s="1088"/>
      <c r="AI446" s="1088"/>
      <c r="AJ446" s="1088">
        <v>9.01</v>
      </c>
      <c r="AK446" s="1088"/>
      <c r="AL446" s="1088"/>
      <c r="AM446" s="1088"/>
      <c r="AN446" s="1088"/>
      <c r="AO446" s="1088"/>
      <c r="AP446" s="1088"/>
      <c r="AQ446" s="1088"/>
      <c r="AR446" s="1088"/>
      <c r="AS446" s="1088"/>
      <c r="AT446" s="1088"/>
      <c r="AU446" s="1088">
        <v>9.41</v>
      </c>
      <c r="AV446" s="1088"/>
      <c r="AW446" s="1088"/>
      <c r="AX446" s="1088"/>
      <c r="AY446" s="1088"/>
      <c r="AZ446" s="1088"/>
      <c r="BA446" s="1088"/>
      <c r="BB446" s="1088"/>
      <c r="BC446" s="1088">
        <v>7.8599999999999994</v>
      </c>
      <c r="BD446" s="1088"/>
      <c r="BE446" s="1088"/>
      <c r="BF446" s="1088"/>
      <c r="BG446" s="1088">
        <v>9.1199999999999992</v>
      </c>
      <c r="BH446" s="1088"/>
      <c r="BI446" s="1088"/>
      <c r="BJ446" s="1088"/>
      <c r="BK446" s="1088">
        <v>6.41</v>
      </c>
      <c r="BL446" s="1088"/>
      <c r="BM446" s="1088"/>
      <c r="BN446" s="1088"/>
      <c r="BO446" s="1088"/>
    </row>
    <row r="447" spans="1:67" ht="13.5" customHeight="1" x14ac:dyDescent="0.2">
      <c r="A447" s="1087" t="s">
        <v>802</v>
      </c>
      <c r="B447" s="1087"/>
      <c r="C447" s="1087"/>
      <c r="D447" s="1087"/>
      <c r="E447" s="1087"/>
      <c r="F447" s="1087"/>
      <c r="G447" s="1087"/>
      <c r="H447" s="1087"/>
      <c r="I447" s="1087"/>
      <c r="J447" s="1087"/>
      <c r="K447" s="1087"/>
      <c r="L447" s="1087"/>
      <c r="M447" s="1087"/>
      <c r="N447" s="1087"/>
      <c r="O447" s="1087"/>
      <c r="P447" s="1087"/>
      <c r="Q447" s="1087"/>
      <c r="R447" s="1087"/>
      <c r="S447" s="1088">
        <v>15.629999999999999</v>
      </c>
      <c r="T447" s="1088"/>
      <c r="U447" s="1088"/>
      <c r="V447" s="1088"/>
      <c r="W447" s="1088"/>
      <c r="X447" s="1088">
        <v>10.84</v>
      </c>
      <c r="Y447" s="1088"/>
      <c r="Z447" s="1088"/>
      <c r="AA447" s="1088"/>
      <c r="AB447" s="1088"/>
      <c r="AC447" s="1088"/>
      <c r="AD447" s="1088">
        <v>14.56</v>
      </c>
      <c r="AE447" s="1088"/>
      <c r="AF447" s="1088"/>
      <c r="AG447" s="1088"/>
      <c r="AH447" s="1088"/>
      <c r="AI447" s="1088"/>
      <c r="AJ447" s="1088">
        <v>23.55</v>
      </c>
      <c r="AK447" s="1088"/>
      <c r="AL447" s="1088"/>
      <c r="AM447" s="1088"/>
      <c r="AN447" s="1088"/>
      <c r="AO447" s="1088"/>
      <c r="AP447" s="1088"/>
      <c r="AQ447" s="1088"/>
      <c r="AR447" s="1088"/>
      <c r="AS447" s="1088"/>
      <c r="AT447" s="1088"/>
      <c r="AU447" s="1088">
        <v>28.74</v>
      </c>
      <c r="AV447" s="1088"/>
      <c r="AW447" s="1088"/>
      <c r="AX447" s="1088"/>
      <c r="AY447" s="1088"/>
      <c r="AZ447" s="1088"/>
      <c r="BA447" s="1088"/>
      <c r="BB447" s="1088"/>
      <c r="BC447" s="1088">
        <v>31.52</v>
      </c>
      <c r="BD447" s="1088"/>
      <c r="BE447" s="1088"/>
      <c r="BF447" s="1088"/>
      <c r="BG447" s="1088">
        <v>38.68</v>
      </c>
      <c r="BH447" s="1088"/>
      <c r="BI447" s="1088"/>
      <c r="BJ447" s="1088"/>
      <c r="BK447" s="1088">
        <v>34.32</v>
      </c>
      <c r="BL447" s="1088"/>
      <c r="BM447" s="1088"/>
      <c r="BN447" s="1088"/>
      <c r="BO447" s="1088"/>
    </row>
    <row r="448" spans="1:67" ht="13.5" customHeight="1" x14ac:dyDescent="0.2">
      <c r="A448" s="1087" t="s">
        <v>803</v>
      </c>
      <c r="B448" s="1087"/>
      <c r="C448" s="1087"/>
      <c r="D448" s="1087"/>
      <c r="E448" s="1087"/>
      <c r="F448" s="1087"/>
      <c r="G448" s="1087"/>
      <c r="H448" s="1087"/>
      <c r="I448" s="1087"/>
      <c r="J448" s="1087"/>
      <c r="K448" s="1087"/>
      <c r="L448" s="1087"/>
      <c r="M448" s="1087"/>
      <c r="N448" s="1087"/>
      <c r="O448" s="1087"/>
      <c r="P448" s="1087"/>
      <c r="Q448" s="1087"/>
      <c r="R448" s="1087"/>
      <c r="S448" s="1088">
        <v>56.63</v>
      </c>
      <c r="T448" s="1088"/>
      <c r="U448" s="1088"/>
      <c r="V448" s="1088"/>
      <c r="W448" s="1088"/>
      <c r="X448" s="1088">
        <v>50.720000000000006</v>
      </c>
      <c r="Y448" s="1088"/>
      <c r="Z448" s="1088"/>
      <c r="AA448" s="1088"/>
      <c r="AB448" s="1088"/>
      <c r="AC448" s="1088"/>
      <c r="AD448" s="1088">
        <v>70.39</v>
      </c>
      <c r="AE448" s="1088"/>
      <c r="AF448" s="1088"/>
      <c r="AG448" s="1088"/>
      <c r="AH448" s="1088"/>
      <c r="AI448" s="1088"/>
      <c r="AJ448" s="1088">
        <v>68.11999999999999</v>
      </c>
      <c r="AK448" s="1088"/>
      <c r="AL448" s="1088"/>
      <c r="AM448" s="1088"/>
      <c r="AN448" s="1088"/>
      <c r="AO448" s="1088"/>
      <c r="AP448" s="1088"/>
      <c r="AQ448" s="1088"/>
      <c r="AR448" s="1088"/>
      <c r="AS448" s="1088"/>
      <c r="AT448" s="1088"/>
      <c r="AU448" s="1088">
        <v>68.16</v>
      </c>
      <c r="AV448" s="1088"/>
      <c r="AW448" s="1088"/>
      <c r="AX448" s="1088"/>
      <c r="AY448" s="1088"/>
      <c r="AZ448" s="1088"/>
      <c r="BA448" s="1088"/>
      <c r="BB448" s="1088"/>
      <c r="BC448" s="1088">
        <v>70.27</v>
      </c>
      <c r="BD448" s="1088"/>
      <c r="BE448" s="1088"/>
      <c r="BF448" s="1088"/>
      <c r="BG448" s="1088">
        <v>63.67</v>
      </c>
      <c r="BH448" s="1088"/>
      <c r="BI448" s="1088"/>
      <c r="BJ448" s="1088"/>
      <c r="BK448" s="1088">
        <v>57.36</v>
      </c>
      <c r="BL448" s="1088"/>
      <c r="BM448" s="1088"/>
      <c r="BN448" s="1088"/>
      <c r="BO448" s="1088"/>
    </row>
    <row r="449" spans="1:67" ht="13.5" customHeight="1" x14ac:dyDescent="0.2">
      <c r="A449" s="1083"/>
      <c r="B449" s="1083"/>
      <c r="C449" s="1083"/>
      <c r="D449" s="1083"/>
      <c r="E449" s="1083"/>
      <c r="F449" s="1083"/>
      <c r="G449" s="1083"/>
      <c r="H449" s="1083"/>
      <c r="I449" s="1083"/>
      <c r="J449" s="1083"/>
      <c r="K449" s="1083"/>
      <c r="L449" s="1083"/>
      <c r="M449" s="1083"/>
      <c r="N449" s="1083"/>
      <c r="O449" s="1083"/>
      <c r="P449" s="1083"/>
      <c r="Q449" s="1083"/>
      <c r="R449" s="1083"/>
      <c r="S449" s="1083"/>
      <c r="T449" s="1083"/>
      <c r="U449" s="1083"/>
      <c r="V449" s="1083"/>
      <c r="W449" s="1083"/>
      <c r="X449" s="1083"/>
      <c r="Y449" s="1083"/>
      <c r="Z449" s="1083"/>
      <c r="AA449" s="1083"/>
      <c r="AB449" s="1083"/>
      <c r="AC449" s="1083"/>
      <c r="AD449" s="1083"/>
      <c r="AE449" s="1083"/>
      <c r="AF449" s="1083"/>
      <c r="AG449" s="1083"/>
      <c r="AH449" s="1083"/>
      <c r="AI449" s="1083"/>
      <c r="AJ449" s="1083"/>
      <c r="AK449" s="1083"/>
      <c r="AL449" s="1083"/>
      <c r="AM449" s="1083"/>
      <c r="AN449" s="1083"/>
      <c r="AO449" s="1083"/>
      <c r="AP449" s="1083"/>
      <c r="AQ449" s="1083"/>
      <c r="AR449" s="1083"/>
      <c r="AS449" s="1083"/>
      <c r="AT449" s="1083"/>
      <c r="AU449" s="1083"/>
      <c r="AV449" s="1083"/>
      <c r="AW449" s="1083"/>
      <c r="AX449" s="1083"/>
      <c r="AY449" s="1083"/>
      <c r="AZ449" s="1083"/>
      <c r="BA449" s="1083"/>
      <c r="BB449" s="1083"/>
      <c r="BC449" s="1083"/>
      <c r="BD449" s="1083"/>
      <c r="BE449" s="1083"/>
      <c r="BF449" s="1083"/>
      <c r="BG449" s="1083"/>
      <c r="BH449" s="1083"/>
      <c r="BI449" s="1083"/>
      <c r="BJ449" s="1083"/>
      <c r="BK449" s="1083"/>
      <c r="BL449" s="1083"/>
      <c r="BM449" s="1083"/>
      <c r="BN449" s="1083"/>
      <c r="BO449" s="1083"/>
    </row>
    <row r="450" spans="1:67" ht="13.5" customHeight="1" x14ac:dyDescent="0.2">
      <c r="A450" s="1090" t="s">
        <v>804</v>
      </c>
      <c r="B450" s="1090"/>
      <c r="C450" s="1090"/>
      <c r="D450" s="1090"/>
      <c r="E450" s="1090"/>
      <c r="F450" s="1090"/>
      <c r="G450" s="1090"/>
      <c r="H450" s="1090"/>
      <c r="I450" s="1090"/>
      <c r="J450" s="1090"/>
      <c r="K450" s="1090"/>
      <c r="L450" s="1090"/>
      <c r="M450" s="1090"/>
      <c r="N450" s="1090"/>
      <c r="O450" s="1090"/>
      <c r="P450" s="1090"/>
      <c r="Q450" s="1090"/>
      <c r="R450" s="1090"/>
      <c r="S450" s="1089"/>
      <c r="T450" s="1089"/>
      <c r="U450" s="1089"/>
      <c r="V450" s="1089"/>
      <c r="W450" s="1089"/>
      <c r="X450" s="1089"/>
      <c r="Y450" s="1089"/>
      <c r="Z450" s="1089"/>
      <c r="AA450" s="1089"/>
      <c r="AB450" s="1089"/>
      <c r="AC450" s="1089"/>
      <c r="AD450" s="1089"/>
      <c r="AE450" s="1089"/>
      <c r="AF450" s="1089"/>
      <c r="AG450" s="1089"/>
      <c r="AH450" s="1089"/>
      <c r="AI450" s="1089"/>
      <c r="AJ450" s="1089"/>
      <c r="AK450" s="1089"/>
      <c r="AL450" s="1089"/>
      <c r="AM450" s="1089"/>
      <c r="AN450" s="1089"/>
      <c r="AO450" s="1089"/>
      <c r="AP450" s="1089"/>
      <c r="AQ450" s="1089"/>
      <c r="AR450" s="1089"/>
      <c r="AS450" s="1089"/>
      <c r="AT450" s="1089"/>
      <c r="AU450" s="1089"/>
      <c r="AV450" s="1089"/>
      <c r="AW450" s="1089"/>
      <c r="AX450" s="1089"/>
      <c r="AY450" s="1089"/>
      <c r="AZ450" s="1089"/>
      <c r="BA450" s="1089"/>
      <c r="BB450" s="1089"/>
      <c r="BC450" s="1089"/>
      <c r="BD450" s="1089"/>
      <c r="BE450" s="1089"/>
      <c r="BF450" s="1089"/>
      <c r="BG450" s="1089"/>
      <c r="BH450" s="1089"/>
      <c r="BI450" s="1089"/>
      <c r="BJ450" s="1089"/>
      <c r="BK450" s="1089"/>
      <c r="BL450" s="1089"/>
      <c r="BM450" s="1089"/>
      <c r="BN450" s="1089"/>
      <c r="BO450" s="1089"/>
    </row>
    <row r="451" spans="1:67" ht="13.5" customHeight="1" x14ac:dyDescent="0.2">
      <c r="A451" s="1083"/>
      <c r="B451" s="1083"/>
      <c r="C451" s="1083"/>
      <c r="D451" s="1083"/>
      <c r="E451" s="1083"/>
      <c r="F451" s="1083"/>
      <c r="G451" s="1083"/>
      <c r="H451" s="1083"/>
      <c r="I451" s="1083"/>
      <c r="J451" s="1083"/>
      <c r="K451" s="1083"/>
      <c r="L451" s="1083"/>
      <c r="M451" s="1083"/>
      <c r="N451" s="1083"/>
      <c r="O451" s="1083"/>
      <c r="P451" s="1083"/>
      <c r="Q451" s="1083"/>
      <c r="R451" s="1083"/>
      <c r="S451" s="1083"/>
      <c r="T451" s="1083"/>
      <c r="U451" s="1083"/>
      <c r="V451" s="1083"/>
      <c r="W451" s="1083"/>
      <c r="X451" s="1083"/>
      <c r="Y451" s="1083"/>
      <c r="Z451" s="1083"/>
      <c r="AA451" s="1083"/>
      <c r="AB451" s="1083"/>
      <c r="AC451" s="1083"/>
      <c r="AD451" s="1083"/>
      <c r="AE451" s="1083"/>
      <c r="AF451" s="1083"/>
      <c r="AG451" s="1083"/>
      <c r="AH451" s="1083"/>
      <c r="AI451" s="1083"/>
      <c r="AJ451" s="1083"/>
      <c r="AK451" s="1083"/>
      <c r="AL451" s="1083"/>
      <c r="AM451" s="1083"/>
      <c r="AN451" s="1083"/>
      <c r="AO451" s="1083"/>
      <c r="AP451" s="1083"/>
      <c r="AQ451" s="1083"/>
      <c r="AR451" s="1083"/>
      <c r="AS451" s="1083"/>
      <c r="AT451" s="1083"/>
      <c r="AU451" s="1083"/>
      <c r="AV451" s="1083"/>
      <c r="AW451" s="1083"/>
      <c r="AX451" s="1083"/>
      <c r="AY451" s="1083"/>
      <c r="AZ451" s="1083"/>
      <c r="BA451" s="1083"/>
      <c r="BB451" s="1083"/>
      <c r="BC451" s="1083"/>
      <c r="BD451" s="1083"/>
      <c r="BE451" s="1083"/>
      <c r="BF451" s="1083"/>
      <c r="BG451" s="1083"/>
      <c r="BH451" s="1083"/>
      <c r="BI451" s="1083"/>
      <c r="BJ451" s="1083"/>
      <c r="BK451" s="1083"/>
      <c r="BL451" s="1083"/>
      <c r="BM451" s="1083"/>
      <c r="BN451" s="1083"/>
      <c r="BO451" s="1083"/>
    </row>
    <row r="452" spans="1:67" ht="13.5" customHeight="1" x14ac:dyDescent="0.2">
      <c r="A452" s="1087" t="s">
        <v>805</v>
      </c>
      <c r="B452" s="1087"/>
      <c r="C452" s="1087"/>
      <c r="D452" s="1087"/>
      <c r="E452" s="1087"/>
      <c r="F452" s="1087"/>
      <c r="G452" s="1087"/>
      <c r="H452" s="1087"/>
      <c r="I452" s="1087"/>
      <c r="J452" s="1087"/>
      <c r="K452" s="1087"/>
      <c r="L452" s="1087"/>
      <c r="M452" s="1087"/>
      <c r="N452" s="1087"/>
      <c r="O452" s="1087"/>
      <c r="P452" s="1087"/>
      <c r="Q452" s="1087"/>
      <c r="R452" s="1087"/>
      <c r="S452" s="1091">
        <v>30</v>
      </c>
      <c r="T452" s="1091"/>
      <c r="U452" s="1091"/>
      <c r="V452" s="1091"/>
      <c r="W452" s="1091"/>
      <c r="X452" s="1091">
        <v>32</v>
      </c>
      <c r="Y452" s="1091"/>
      <c r="Z452" s="1091"/>
      <c r="AA452" s="1091"/>
      <c r="AB452" s="1091"/>
      <c r="AC452" s="1091"/>
      <c r="AD452" s="1091">
        <v>31</v>
      </c>
      <c r="AE452" s="1091"/>
      <c r="AF452" s="1091"/>
      <c r="AG452" s="1091"/>
      <c r="AH452" s="1091"/>
      <c r="AI452" s="1091"/>
      <c r="AJ452" s="1091">
        <v>27</v>
      </c>
      <c r="AK452" s="1091"/>
      <c r="AL452" s="1091"/>
      <c r="AM452" s="1091"/>
      <c r="AN452" s="1091"/>
      <c r="AO452" s="1091"/>
      <c r="AP452" s="1091"/>
      <c r="AQ452" s="1091"/>
      <c r="AR452" s="1091"/>
      <c r="AS452" s="1091"/>
      <c r="AT452" s="1091"/>
      <c r="AU452" s="1091">
        <v>24</v>
      </c>
      <c r="AV452" s="1091"/>
      <c r="AW452" s="1091"/>
      <c r="AX452" s="1091"/>
      <c r="AY452" s="1091"/>
      <c r="AZ452" s="1091"/>
      <c r="BA452" s="1091"/>
      <c r="BB452" s="1091"/>
      <c r="BC452" s="1091">
        <v>25</v>
      </c>
      <c r="BD452" s="1091"/>
      <c r="BE452" s="1091"/>
      <c r="BF452" s="1091"/>
      <c r="BG452" s="1091">
        <v>25</v>
      </c>
      <c r="BH452" s="1091"/>
      <c r="BI452" s="1091"/>
      <c r="BJ452" s="1091"/>
      <c r="BK452" s="1091">
        <v>27</v>
      </c>
      <c r="BL452" s="1091"/>
      <c r="BM452" s="1091"/>
      <c r="BN452" s="1091"/>
      <c r="BO452" s="1091"/>
    </row>
    <row r="453" spans="1:67" ht="13.5" customHeight="1" x14ac:dyDescent="0.2">
      <c r="A453" s="1087" t="s">
        <v>806</v>
      </c>
      <c r="B453" s="1087"/>
      <c r="C453" s="1087"/>
      <c r="D453" s="1087"/>
      <c r="E453" s="1087"/>
      <c r="F453" s="1087"/>
      <c r="G453" s="1087"/>
      <c r="H453" s="1087"/>
      <c r="I453" s="1087"/>
      <c r="J453" s="1087"/>
      <c r="K453" s="1087"/>
      <c r="L453" s="1087"/>
      <c r="M453" s="1087"/>
      <c r="N453" s="1087"/>
      <c r="O453" s="1087"/>
      <c r="P453" s="1087"/>
      <c r="Q453" s="1087"/>
      <c r="R453" s="1087"/>
      <c r="S453" s="1091">
        <v>724950</v>
      </c>
      <c r="T453" s="1091"/>
      <c r="U453" s="1091"/>
      <c r="V453" s="1091"/>
      <c r="W453" s="1091"/>
      <c r="X453" s="1091">
        <v>669010</v>
      </c>
      <c r="Y453" s="1091"/>
      <c r="Z453" s="1091"/>
      <c r="AA453" s="1091"/>
      <c r="AB453" s="1091"/>
      <c r="AC453" s="1091"/>
      <c r="AD453" s="1091">
        <v>581010</v>
      </c>
      <c r="AE453" s="1091"/>
      <c r="AF453" s="1091"/>
      <c r="AG453" s="1091"/>
      <c r="AH453" s="1091"/>
      <c r="AI453" s="1091"/>
      <c r="AJ453" s="1091">
        <v>579840</v>
      </c>
      <c r="AK453" s="1091"/>
      <c r="AL453" s="1091"/>
      <c r="AM453" s="1091"/>
      <c r="AN453" s="1091"/>
      <c r="AO453" s="1091"/>
      <c r="AP453" s="1091"/>
      <c r="AQ453" s="1091"/>
      <c r="AR453" s="1091"/>
      <c r="AS453" s="1091"/>
      <c r="AT453" s="1091"/>
      <c r="AU453" s="1091">
        <v>598840</v>
      </c>
      <c r="AV453" s="1091"/>
      <c r="AW453" s="1091"/>
      <c r="AX453" s="1091"/>
      <c r="AY453" s="1091"/>
      <c r="AZ453" s="1091"/>
      <c r="BA453" s="1091"/>
      <c r="BB453" s="1091"/>
      <c r="BC453" s="1091">
        <v>544100</v>
      </c>
      <c r="BD453" s="1091"/>
      <c r="BE453" s="1091"/>
      <c r="BF453" s="1091"/>
      <c r="BG453" s="1091">
        <v>461650</v>
      </c>
      <c r="BH453" s="1091"/>
      <c r="BI453" s="1091"/>
      <c r="BJ453" s="1091"/>
      <c r="BK453" s="1091">
        <v>367420</v>
      </c>
      <c r="BL453" s="1091"/>
      <c r="BM453" s="1091"/>
      <c r="BN453" s="1091"/>
      <c r="BO453" s="1091"/>
    </row>
    <row r="454" spans="1:67" ht="13.5" customHeight="1" x14ac:dyDescent="0.2">
      <c r="A454" s="1087" t="s">
        <v>807</v>
      </c>
      <c r="B454" s="1087"/>
      <c r="C454" s="1087"/>
      <c r="D454" s="1087"/>
      <c r="E454" s="1087"/>
      <c r="F454" s="1087"/>
      <c r="G454" s="1087"/>
      <c r="H454" s="1087"/>
      <c r="I454" s="1087"/>
      <c r="J454" s="1087"/>
      <c r="K454" s="1087"/>
      <c r="L454" s="1087"/>
      <c r="M454" s="1087"/>
      <c r="N454" s="1087"/>
      <c r="O454" s="1087"/>
      <c r="P454" s="1087"/>
      <c r="Q454" s="1087"/>
      <c r="R454" s="1087"/>
      <c r="S454" s="1091">
        <v>134190</v>
      </c>
      <c r="T454" s="1091"/>
      <c r="U454" s="1091"/>
      <c r="V454" s="1091"/>
      <c r="W454" s="1091"/>
      <c r="X454" s="1091">
        <v>112280</v>
      </c>
      <c r="Y454" s="1091"/>
      <c r="Z454" s="1091"/>
      <c r="AA454" s="1091"/>
      <c r="AB454" s="1091"/>
      <c r="AC454" s="1091"/>
      <c r="AD454" s="1091">
        <v>110890</v>
      </c>
      <c r="AE454" s="1091"/>
      <c r="AF454" s="1091"/>
      <c r="AG454" s="1091"/>
      <c r="AH454" s="1091"/>
      <c r="AI454" s="1091"/>
      <c r="AJ454" s="1091">
        <v>125070</v>
      </c>
      <c r="AK454" s="1091"/>
      <c r="AL454" s="1091"/>
      <c r="AM454" s="1091"/>
      <c r="AN454" s="1091"/>
      <c r="AO454" s="1091"/>
      <c r="AP454" s="1091"/>
      <c r="AQ454" s="1091"/>
      <c r="AR454" s="1091"/>
      <c r="AS454" s="1091"/>
      <c r="AT454" s="1091"/>
      <c r="AU454" s="1091">
        <v>117850</v>
      </c>
      <c r="AV454" s="1091"/>
      <c r="AW454" s="1091"/>
      <c r="AX454" s="1091"/>
      <c r="AY454" s="1091"/>
      <c r="AZ454" s="1091"/>
      <c r="BA454" s="1091"/>
      <c r="BB454" s="1091"/>
      <c r="BC454" s="1091">
        <v>101580</v>
      </c>
      <c r="BD454" s="1091"/>
      <c r="BE454" s="1091"/>
      <c r="BF454" s="1091"/>
      <c r="BG454" s="1091">
        <v>93840</v>
      </c>
      <c r="BH454" s="1091"/>
      <c r="BI454" s="1091"/>
      <c r="BJ454" s="1091"/>
      <c r="BK454" s="1091">
        <v>63810</v>
      </c>
      <c r="BL454" s="1091"/>
      <c r="BM454" s="1091"/>
      <c r="BN454" s="1091"/>
      <c r="BO454" s="1091"/>
    </row>
    <row r="455" spans="1:67" ht="13.5" customHeight="1" x14ac:dyDescent="0.2">
      <c r="A455" s="1087" t="s">
        <v>808</v>
      </c>
      <c r="B455" s="1087"/>
      <c r="C455" s="1087"/>
      <c r="D455" s="1087"/>
      <c r="E455" s="1087"/>
      <c r="F455" s="1087"/>
      <c r="G455" s="1087"/>
      <c r="H455" s="1087"/>
      <c r="I455" s="1087"/>
      <c r="J455" s="1087"/>
      <c r="K455" s="1087"/>
      <c r="L455" s="1087"/>
      <c r="M455" s="1087"/>
      <c r="N455" s="1087"/>
      <c r="O455" s="1087"/>
      <c r="P455" s="1087"/>
      <c r="Q455" s="1087"/>
      <c r="R455" s="1087"/>
      <c r="S455" s="1088">
        <v>49950</v>
      </c>
      <c r="T455" s="1088"/>
      <c r="U455" s="1088"/>
      <c r="V455" s="1088"/>
      <c r="W455" s="1088"/>
      <c r="X455" s="1088">
        <v>48630</v>
      </c>
      <c r="Y455" s="1088"/>
      <c r="Z455" s="1088"/>
      <c r="AA455" s="1088"/>
      <c r="AB455" s="1088"/>
      <c r="AC455" s="1088"/>
      <c r="AD455" s="1088">
        <v>51690</v>
      </c>
      <c r="AE455" s="1088"/>
      <c r="AF455" s="1088"/>
      <c r="AG455" s="1088"/>
      <c r="AH455" s="1088"/>
      <c r="AI455" s="1088"/>
      <c r="AJ455" s="1088">
        <v>54790</v>
      </c>
      <c r="AK455" s="1088"/>
      <c r="AL455" s="1088"/>
      <c r="AM455" s="1088"/>
      <c r="AN455" s="1088"/>
      <c r="AO455" s="1088"/>
      <c r="AP455" s="1088"/>
      <c r="AQ455" s="1088"/>
      <c r="AR455" s="1088"/>
      <c r="AS455" s="1088"/>
      <c r="AT455" s="1088"/>
      <c r="AU455" s="1088">
        <v>53810</v>
      </c>
      <c r="AV455" s="1088"/>
      <c r="AW455" s="1088"/>
      <c r="AX455" s="1088"/>
      <c r="AY455" s="1088"/>
      <c r="AZ455" s="1088"/>
      <c r="BA455" s="1088"/>
      <c r="BB455" s="1088"/>
      <c r="BC455" s="1088">
        <v>51040</v>
      </c>
      <c r="BD455" s="1088"/>
      <c r="BE455" s="1088"/>
      <c r="BF455" s="1088"/>
      <c r="BG455" s="1088">
        <v>43840</v>
      </c>
      <c r="BH455" s="1088"/>
      <c r="BI455" s="1088"/>
      <c r="BJ455" s="1088"/>
      <c r="BK455" s="1088">
        <v>31980</v>
      </c>
      <c r="BL455" s="1088"/>
      <c r="BM455" s="1088"/>
      <c r="BN455" s="1088"/>
      <c r="BO455" s="1088"/>
    </row>
    <row r="456" spans="1:67" ht="13.5" customHeight="1" x14ac:dyDescent="0.2">
      <c r="A456" s="1087" t="s">
        <v>809</v>
      </c>
      <c r="B456" s="1087"/>
      <c r="C456" s="1087"/>
      <c r="D456" s="1087"/>
      <c r="E456" s="1087"/>
      <c r="F456" s="1087"/>
      <c r="G456" s="1087"/>
      <c r="H456" s="1087"/>
      <c r="I456" s="1087"/>
      <c r="J456" s="1087"/>
      <c r="K456" s="1087"/>
      <c r="L456" s="1087"/>
      <c r="M456" s="1087"/>
      <c r="N456" s="1087"/>
      <c r="O456" s="1087"/>
      <c r="P456" s="1087"/>
      <c r="Q456" s="1087"/>
      <c r="R456" s="1087"/>
      <c r="S456" s="1088">
        <v>14.51</v>
      </c>
      <c r="T456" s="1088"/>
      <c r="U456" s="1088"/>
      <c r="V456" s="1088"/>
      <c r="W456" s="1088"/>
      <c r="X456" s="1088">
        <v>13.76</v>
      </c>
      <c r="Y456" s="1088"/>
      <c r="Z456" s="1088"/>
      <c r="AA456" s="1088"/>
      <c r="AB456" s="1088"/>
      <c r="AC456" s="1088"/>
      <c r="AD456" s="1088">
        <v>11.239999999999998</v>
      </c>
      <c r="AE456" s="1088"/>
      <c r="AF456" s="1088"/>
      <c r="AG456" s="1088"/>
      <c r="AH456" s="1088"/>
      <c r="AI456" s="1088"/>
      <c r="AJ456" s="1088">
        <v>10.58</v>
      </c>
      <c r="AK456" s="1088"/>
      <c r="AL456" s="1088"/>
      <c r="AM456" s="1088"/>
      <c r="AN456" s="1088"/>
      <c r="AO456" s="1088"/>
      <c r="AP456" s="1088"/>
      <c r="AQ456" s="1088"/>
      <c r="AR456" s="1088"/>
      <c r="AS456" s="1088"/>
      <c r="AT456" s="1088"/>
      <c r="AU456" s="1088">
        <v>11.129999999999999</v>
      </c>
      <c r="AV456" s="1088"/>
      <c r="AW456" s="1088"/>
      <c r="AX456" s="1088"/>
      <c r="AY456" s="1088"/>
      <c r="AZ456" s="1088"/>
      <c r="BA456" s="1088"/>
      <c r="BB456" s="1088"/>
      <c r="BC456" s="1088">
        <v>10.66</v>
      </c>
      <c r="BD456" s="1088"/>
      <c r="BE456" s="1088"/>
      <c r="BF456" s="1088"/>
      <c r="BG456" s="1088">
        <v>10.53</v>
      </c>
      <c r="BH456" s="1088"/>
      <c r="BI456" s="1088"/>
      <c r="BJ456" s="1088"/>
      <c r="BK456" s="1088">
        <v>11.49</v>
      </c>
      <c r="BL456" s="1088"/>
      <c r="BM456" s="1088"/>
      <c r="BN456" s="1088"/>
      <c r="BO456" s="1088"/>
    </row>
    <row r="457" spans="1:67" ht="13.5" customHeight="1" x14ac:dyDescent="0.2">
      <c r="A457" s="1083"/>
      <c r="B457" s="1083"/>
      <c r="C457" s="1083"/>
      <c r="D457" s="1083"/>
      <c r="E457" s="1083"/>
      <c r="F457" s="1083"/>
      <c r="G457" s="1083"/>
      <c r="H457" s="1083"/>
      <c r="I457" s="1083"/>
      <c r="J457" s="1083"/>
      <c r="K457" s="1083"/>
      <c r="L457" s="1083"/>
      <c r="M457" s="1083"/>
      <c r="N457" s="1083"/>
      <c r="O457" s="1083"/>
      <c r="P457" s="1083"/>
      <c r="Q457" s="1083"/>
      <c r="R457" s="1083"/>
      <c r="S457" s="1083"/>
      <c r="T457" s="1083"/>
      <c r="U457" s="1083"/>
      <c r="V457" s="1083"/>
      <c r="W457" s="1083"/>
      <c r="X457" s="1083"/>
      <c r="Y457" s="1083"/>
      <c r="Z457" s="1083"/>
      <c r="AA457" s="1083"/>
      <c r="AB457" s="1083"/>
      <c r="AC457" s="1083"/>
      <c r="AD457" s="1083"/>
      <c r="AE457" s="1083"/>
      <c r="AF457" s="1083"/>
      <c r="AG457" s="1083"/>
      <c r="AH457" s="1083"/>
      <c r="AI457" s="1083"/>
      <c r="AJ457" s="1083"/>
      <c r="AK457" s="1083"/>
      <c r="AL457" s="1083"/>
      <c r="AM457" s="1083"/>
      <c r="AN457" s="1083"/>
      <c r="AO457" s="1083"/>
      <c r="AP457" s="1083"/>
      <c r="AQ457" s="1083"/>
      <c r="AR457" s="1083"/>
      <c r="AS457" s="1083"/>
      <c r="AT457" s="1083"/>
      <c r="AU457" s="1083"/>
      <c r="AV457" s="1083"/>
      <c r="AW457" s="1083"/>
      <c r="AX457" s="1083"/>
      <c r="AY457" s="1083"/>
      <c r="AZ457" s="1083"/>
      <c r="BA457" s="1083"/>
      <c r="BB457" s="1083"/>
      <c r="BC457" s="1083"/>
      <c r="BD457" s="1083"/>
      <c r="BE457" s="1083"/>
      <c r="BF457" s="1083"/>
      <c r="BG457" s="1083"/>
      <c r="BH457" s="1083"/>
      <c r="BI457" s="1083"/>
      <c r="BJ457" s="1083"/>
      <c r="BK457" s="1083"/>
      <c r="BL457" s="1083"/>
      <c r="BM457" s="1083"/>
      <c r="BN457" s="1083"/>
      <c r="BO457" s="1083"/>
    </row>
    <row r="458" spans="1:67" ht="13.5" customHeight="1" x14ac:dyDescent="0.2">
      <c r="A458" s="1090" t="s">
        <v>810</v>
      </c>
      <c r="B458" s="1090"/>
      <c r="C458" s="1090"/>
      <c r="D458" s="1090"/>
      <c r="E458" s="1090"/>
      <c r="F458" s="1090"/>
      <c r="G458" s="1090"/>
      <c r="H458" s="1090"/>
      <c r="I458" s="1090"/>
      <c r="J458" s="1090"/>
      <c r="K458" s="1090"/>
      <c r="L458" s="1090"/>
      <c r="M458" s="1090"/>
      <c r="N458" s="1090"/>
      <c r="O458" s="1090"/>
      <c r="P458" s="1090"/>
      <c r="Q458" s="1090"/>
      <c r="R458" s="1090"/>
      <c r="S458" s="1089"/>
      <c r="T458" s="1089"/>
      <c r="U458" s="1089"/>
      <c r="V458" s="1089"/>
      <c r="W458" s="1089"/>
      <c r="X458" s="1089"/>
      <c r="Y458" s="1089"/>
      <c r="Z458" s="1089"/>
      <c r="AA458" s="1089"/>
      <c r="AB458" s="1089"/>
      <c r="AC458" s="1089"/>
      <c r="AD458" s="1089"/>
      <c r="AE458" s="1089"/>
      <c r="AF458" s="1089"/>
      <c r="AG458" s="1089"/>
      <c r="AH458" s="1089"/>
      <c r="AI458" s="1089"/>
      <c r="AJ458" s="1089"/>
      <c r="AK458" s="1089"/>
      <c r="AL458" s="1089"/>
      <c r="AM458" s="1089"/>
      <c r="AN458" s="1089"/>
      <c r="AO458" s="1089"/>
      <c r="AP458" s="1089"/>
      <c r="AQ458" s="1089"/>
      <c r="AR458" s="1089"/>
      <c r="AS458" s="1089"/>
      <c r="AT458" s="1089"/>
      <c r="AU458" s="1089"/>
      <c r="AV458" s="1089"/>
      <c r="AW458" s="1089"/>
      <c r="AX458" s="1089"/>
      <c r="AY458" s="1089"/>
      <c r="AZ458" s="1089"/>
      <c r="BA458" s="1089"/>
      <c r="BB458" s="1089"/>
      <c r="BC458" s="1089"/>
      <c r="BD458" s="1089"/>
      <c r="BE458" s="1089"/>
      <c r="BF458" s="1089"/>
      <c r="BG458" s="1089"/>
      <c r="BH458" s="1089"/>
      <c r="BI458" s="1089"/>
      <c r="BJ458" s="1089"/>
      <c r="BK458" s="1089"/>
      <c r="BL458" s="1089"/>
      <c r="BM458" s="1089"/>
      <c r="BN458" s="1089"/>
      <c r="BO458" s="1089"/>
    </row>
    <row r="459" spans="1:67" ht="13.5" customHeight="1" x14ac:dyDescent="0.2">
      <c r="A459" s="1083"/>
      <c r="B459" s="1083"/>
      <c r="C459" s="1083"/>
      <c r="D459" s="1083"/>
      <c r="E459" s="1083"/>
      <c r="F459" s="1083"/>
      <c r="G459" s="1083"/>
      <c r="H459" s="1083"/>
      <c r="I459" s="1083"/>
      <c r="J459" s="1083"/>
      <c r="K459" s="1083"/>
      <c r="L459" s="1083"/>
      <c r="M459" s="1083"/>
      <c r="N459" s="1083"/>
      <c r="O459" s="1083"/>
      <c r="P459" s="1083"/>
      <c r="Q459" s="1083"/>
      <c r="R459" s="1083"/>
      <c r="S459" s="1083"/>
      <c r="T459" s="1083"/>
      <c r="U459" s="1083"/>
      <c r="V459" s="1083"/>
      <c r="W459" s="1083"/>
      <c r="X459" s="1083"/>
      <c r="Y459" s="1083"/>
      <c r="Z459" s="1083"/>
      <c r="AA459" s="1083"/>
      <c r="AB459" s="1083"/>
      <c r="AC459" s="1083"/>
      <c r="AD459" s="1083"/>
      <c r="AE459" s="1083"/>
      <c r="AF459" s="1083"/>
      <c r="AG459" s="1083"/>
      <c r="AH459" s="1083"/>
      <c r="AI459" s="1083"/>
      <c r="AJ459" s="1083"/>
      <c r="AK459" s="1083"/>
      <c r="AL459" s="1083"/>
      <c r="AM459" s="1083"/>
      <c r="AN459" s="1083"/>
      <c r="AO459" s="1083"/>
      <c r="AP459" s="1083"/>
      <c r="AQ459" s="1083"/>
      <c r="AR459" s="1083"/>
      <c r="AS459" s="1083"/>
      <c r="AT459" s="1083"/>
      <c r="AU459" s="1083"/>
      <c r="AV459" s="1083"/>
      <c r="AW459" s="1083"/>
      <c r="AX459" s="1083"/>
      <c r="AY459" s="1083"/>
      <c r="AZ459" s="1083"/>
      <c r="BA459" s="1083"/>
      <c r="BB459" s="1083"/>
      <c r="BC459" s="1083"/>
      <c r="BD459" s="1083"/>
      <c r="BE459" s="1083"/>
      <c r="BF459" s="1083"/>
      <c r="BG459" s="1083"/>
      <c r="BH459" s="1083"/>
      <c r="BI459" s="1083"/>
      <c r="BJ459" s="1083"/>
      <c r="BK459" s="1083"/>
      <c r="BL459" s="1083"/>
      <c r="BM459" s="1083"/>
      <c r="BN459" s="1083"/>
      <c r="BO459" s="1083"/>
    </row>
    <row r="460" spans="1:67" ht="13.5" customHeight="1" x14ac:dyDescent="0.2">
      <c r="A460" s="1087" t="s">
        <v>811</v>
      </c>
      <c r="B460" s="1087"/>
      <c r="C460" s="1087"/>
      <c r="D460" s="1087"/>
      <c r="E460" s="1087"/>
      <c r="F460" s="1087"/>
      <c r="G460" s="1087"/>
      <c r="H460" s="1087"/>
      <c r="I460" s="1087"/>
      <c r="J460" s="1087"/>
      <c r="K460" s="1087"/>
      <c r="L460" s="1087"/>
      <c r="M460" s="1087"/>
      <c r="N460" s="1087"/>
      <c r="O460" s="1087"/>
      <c r="P460" s="1087"/>
      <c r="Q460" s="1087"/>
      <c r="R460" s="1087"/>
      <c r="S460" s="1086">
        <v>3069112</v>
      </c>
      <c r="T460" s="1086"/>
      <c r="U460" s="1086"/>
      <c r="V460" s="1086"/>
      <c r="W460" s="1086"/>
      <c r="X460" s="1086">
        <v>4082346</v>
      </c>
      <c r="Y460" s="1086"/>
      <c r="Z460" s="1086"/>
      <c r="AA460" s="1086"/>
      <c r="AB460" s="1086"/>
      <c r="AC460" s="1086"/>
      <c r="AD460" s="1086">
        <v>3139448</v>
      </c>
      <c r="AE460" s="1086"/>
      <c r="AF460" s="1086"/>
      <c r="AG460" s="1086"/>
      <c r="AH460" s="1086"/>
      <c r="AI460" s="1086"/>
      <c r="AJ460" s="1086">
        <v>2124992</v>
      </c>
      <c r="AK460" s="1086"/>
      <c r="AL460" s="1086"/>
      <c r="AM460" s="1086"/>
      <c r="AN460" s="1086"/>
      <c r="AO460" s="1086"/>
      <c r="AP460" s="1086"/>
      <c r="AQ460" s="1086"/>
      <c r="AR460" s="1086"/>
      <c r="AS460" s="1086"/>
      <c r="AT460" s="1086"/>
      <c r="AU460" s="1086">
        <v>2613189</v>
      </c>
      <c r="AV460" s="1086"/>
      <c r="AW460" s="1086"/>
      <c r="AX460" s="1086"/>
      <c r="AY460" s="1086"/>
      <c r="AZ460" s="1086"/>
      <c r="BA460" s="1086"/>
      <c r="BB460" s="1086"/>
      <c r="BC460" s="1086">
        <v>585405</v>
      </c>
      <c r="BD460" s="1086"/>
      <c r="BE460" s="1086"/>
      <c r="BF460" s="1086"/>
      <c r="BG460" s="1086">
        <v>1557549</v>
      </c>
      <c r="BH460" s="1086"/>
      <c r="BI460" s="1086"/>
      <c r="BJ460" s="1086"/>
      <c r="BK460" s="1086">
        <v>1302114</v>
      </c>
      <c r="BL460" s="1086"/>
      <c r="BM460" s="1086"/>
      <c r="BN460" s="1086"/>
      <c r="BO460" s="1086"/>
    </row>
    <row r="461" spans="1:67" ht="13.5" customHeight="1" x14ac:dyDescent="0.2">
      <c r="A461" s="1087" t="s">
        <v>812</v>
      </c>
      <c r="B461" s="1087"/>
      <c r="C461" s="1087"/>
      <c r="D461" s="1087"/>
      <c r="E461" s="1087"/>
      <c r="F461" s="1087"/>
      <c r="G461" s="1087"/>
      <c r="H461" s="1087"/>
      <c r="I461" s="1087"/>
      <c r="J461" s="1087"/>
      <c r="K461" s="1087"/>
      <c r="L461" s="1087"/>
      <c r="M461" s="1087"/>
      <c r="N461" s="1087"/>
      <c r="O461" s="1087"/>
      <c r="P461" s="1087"/>
      <c r="Q461" s="1087"/>
      <c r="R461" s="1087"/>
      <c r="S461" s="1086">
        <v>6332252</v>
      </c>
      <c r="T461" s="1086"/>
      <c r="U461" s="1086"/>
      <c r="V461" s="1086"/>
      <c r="W461" s="1086"/>
      <c r="X461" s="1086">
        <v>5824680</v>
      </c>
      <c r="Y461" s="1086"/>
      <c r="Z461" s="1086"/>
      <c r="AA461" s="1086"/>
      <c r="AB461" s="1086"/>
      <c r="AC461" s="1086"/>
      <c r="AD461" s="1086">
        <v>6089491</v>
      </c>
      <c r="AE461" s="1086"/>
      <c r="AF461" s="1086"/>
      <c r="AG461" s="1086"/>
      <c r="AH461" s="1086"/>
      <c r="AI461" s="1086"/>
      <c r="AJ461" s="1086">
        <v>5416286</v>
      </c>
      <c r="AK461" s="1086"/>
      <c r="AL461" s="1086"/>
      <c r="AM461" s="1086"/>
      <c r="AN461" s="1086"/>
      <c r="AO461" s="1086"/>
      <c r="AP461" s="1086"/>
      <c r="AQ461" s="1086"/>
      <c r="AR461" s="1086"/>
      <c r="AS461" s="1086"/>
      <c r="AT461" s="1086"/>
      <c r="AU461" s="1086">
        <v>4801838</v>
      </c>
      <c r="AV461" s="1086"/>
      <c r="AW461" s="1086"/>
      <c r="AX461" s="1086"/>
      <c r="AY461" s="1086"/>
      <c r="AZ461" s="1086"/>
      <c r="BA461" s="1086"/>
      <c r="BB461" s="1086"/>
      <c r="BC461" s="1086">
        <v>4589584</v>
      </c>
      <c r="BD461" s="1086"/>
      <c r="BE461" s="1086"/>
      <c r="BF461" s="1086"/>
      <c r="BG461" s="1086">
        <v>4225045</v>
      </c>
      <c r="BH461" s="1086"/>
      <c r="BI461" s="1086"/>
      <c r="BJ461" s="1086"/>
      <c r="BK461" s="1086">
        <v>3368454</v>
      </c>
      <c r="BL461" s="1086"/>
      <c r="BM461" s="1086"/>
      <c r="BN461" s="1086"/>
      <c r="BO461" s="1086"/>
    </row>
    <row r="462" spans="1:67" ht="13.5" customHeight="1" x14ac:dyDescent="0.2">
      <c r="A462" s="1087" t="s">
        <v>813</v>
      </c>
      <c r="B462" s="1087"/>
      <c r="C462" s="1087"/>
      <c r="D462" s="1087"/>
      <c r="E462" s="1087"/>
      <c r="F462" s="1087"/>
      <c r="G462" s="1087"/>
      <c r="H462" s="1087"/>
      <c r="I462" s="1087"/>
      <c r="J462" s="1087"/>
      <c r="K462" s="1087"/>
      <c r="L462" s="1087"/>
      <c r="M462" s="1087"/>
      <c r="N462" s="1087"/>
      <c r="O462" s="1087"/>
      <c r="P462" s="1087"/>
      <c r="Q462" s="1087"/>
      <c r="R462" s="1087"/>
      <c r="S462" s="1086">
        <v>-2176434</v>
      </c>
      <c r="T462" s="1086"/>
      <c r="U462" s="1086"/>
      <c r="V462" s="1086"/>
      <c r="W462" s="1086"/>
      <c r="X462" s="1086">
        <v>-2323349</v>
      </c>
      <c r="Y462" s="1086"/>
      <c r="Z462" s="1086"/>
      <c r="AA462" s="1086"/>
      <c r="AB462" s="1086"/>
      <c r="AC462" s="1086"/>
      <c r="AD462" s="1086">
        <v>-3725766</v>
      </c>
      <c r="AE462" s="1086"/>
      <c r="AF462" s="1086"/>
      <c r="AG462" s="1086"/>
      <c r="AH462" s="1086"/>
      <c r="AI462" s="1086"/>
      <c r="AJ462" s="1086">
        <v>-954943</v>
      </c>
      <c r="AK462" s="1086"/>
      <c r="AL462" s="1086"/>
      <c r="AM462" s="1086"/>
      <c r="AN462" s="1086"/>
      <c r="AO462" s="1086"/>
      <c r="AP462" s="1086"/>
      <c r="AQ462" s="1086"/>
      <c r="AR462" s="1086"/>
      <c r="AS462" s="1086"/>
      <c r="AT462" s="1086"/>
      <c r="AU462" s="1086">
        <v>-228189</v>
      </c>
      <c r="AV462" s="1086"/>
      <c r="AW462" s="1086"/>
      <c r="AX462" s="1086"/>
      <c r="AY462" s="1086"/>
      <c r="AZ462" s="1086"/>
      <c r="BA462" s="1086"/>
      <c r="BB462" s="1086"/>
      <c r="BC462" s="1086">
        <v>-2601107</v>
      </c>
      <c r="BD462" s="1086"/>
      <c r="BE462" s="1086"/>
      <c r="BF462" s="1086"/>
      <c r="BG462" s="1086">
        <v>-922646</v>
      </c>
      <c r="BH462" s="1086"/>
      <c r="BI462" s="1086"/>
      <c r="BJ462" s="1086"/>
      <c r="BK462" s="1086">
        <v>-773279</v>
      </c>
      <c r="BL462" s="1086"/>
      <c r="BM462" s="1086"/>
      <c r="BN462" s="1086"/>
      <c r="BO462" s="1086"/>
    </row>
    <row r="463" spans="1:67" ht="13.5" customHeight="1" x14ac:dyDescent="0.2">
      <c r="A463" s="1087" t="s">
        <v>814</v>
      </c>
      <c r="B463" s="1087"/>
      <c r="C463" s="1087"/>
      <c r="D463" s="1087"/>
      <c r="E463" s="1087"/>
      <c r="F463" s="1087"/>
      <c r="G463" s="1087"/>
      <c r="H463" s="1087"/>
      <c r="I463" s="1087"/>
      <c r="J463" s="1087"/>
      <c r="K463" s="1087"/>
      <c r="L463" s="1087"/>
      <c r="M463" s="1087"/>
      <c r="N463" s="1087"/>
      <c r="O463" s="1087"/>
      <c r="P463" s="1087"/>
      <c r="Q463" s="1087"/>
      <c r="R463" s="1087"/>
      <c r="S463" s="1086">
        <v>-3085663</v>
      </c>
      <c r="T463" s="1086"/>
      <c r="U463" s="1086"/>
      <c r="V463" s="1086"/>
      <c r="W463" s="1086"/>
      <c r="X463" s="1086">
        <v>-3955300</v>
      </c>
      <c r="Y463" s="1086"/>
      <c r="Z463" s="1086"/>
      <c r="AA463" s="1086"/>
      <c r="AB463" s="1086"/>
      <c r="AC463" s="1086"/>
      <c r="AD463" s="1086">
        <v>-4954060</v>
      </c>
      <c r="AE463" s="1086"/>
      <c r="AF463" s="1086"/>
      <c r="AG463" s="1086"/>
      <c r="AH463" s="1086"/>
      <c r="AI463" s="1086"/>
      <c r="AJ463" s="1086">
        <v>-5483399</v>
      </c>
      <c r="AK463" s="1086"/>
      <c r="AL463" s="1086"/>
      <c r="AM463" s="1086"/>
      <c r="AN463" s="1086"/>
      <c r="AO463" s="1086"/>
      <c r="AP463" s="1086"/>
      <c r="AQ463" s="1086"/>
      <c r="AR463" s="1086"/>
      <c r="AS463" s="1086"/>
      <c r="AT463" s="1086"/>
      <c r="AU463" s="1086">
        <v>-3867180</v>
      </c>
      <c r="AV463" s="1086"/>
      <c r="AW463" s="1086"/>
      <c r="AX463" s="1086"/>
      <c r="AY463" s="1086"/>
      <c r="AZ463" s="1086"/>
      <c r="BA463" s="1086"/>
      <c r="BB463" s="1086"/>
      <c r="BC463" s="1086">
        <v>-231571</v>
      </c>
      <c r="BD463" s="1086"/>
      <c r="BE463" s="1086"/>
      <c r="BF463" s="1086"/>
      <c r="BG463" s="1086">
        <v>531958</v>
      </c>
      <c r="BH463" s="1086"/>
      <c r="BI463" s="1086"/>
      <c r="BJ463" s="1086"/>
      <c r="BK463" s="1086">
        <v>154159</v>
      </c>
      <c r="BL463" s="1086"/>
      <c r="BM463" s="1086"/>
      <c r="BN463" s="1086"/>
      <c r="BO463" s="1086"/>
    </row>
    <row r="464" spans="1:67" ht="13.5" customHeight="1" x14ac:dyDescent="0.2">
      <c r="A464" s="1087" t="s">
        <v>815</v>
      </c>
      <c r="B464" s="1087"/>
      <c r="C464" s="1087"/>
      <c r="D464" s="1087"/>
      <c r="E464" s="1087"/>
      <c r="F464" s="1087"/>
      <c r="G464" s="1087"/>
      <c r="H464" s="1087"/>
      <c r="I464" s="1087"/>
      <c r="J464" s="1087"/>
      <c r="K464" s="1087"/>
      <c r="L464" s="1087"/>
      <c r="M464" s="1087"/>
      <c r="N464" s="1087"/>
      <c r="O464" s="1087"/>
      <c r="P464" s="1087"/>
      <c r="Q464" s="1087"/>
      <c r="R464" s="1087"/>
      <c r="S464" s="1088">
        <v>1838191</v>
      </c>
      <c r="T464" s="1088"/>
      <c r="U464" s="1088"/>
      <c r="V464" s="1088"/>
      <c r="W464" s="1088"/>
      <c r="X464" s="1088">
        <v>1486263</v>
      </c>
      <c r="Y464" s="1088"/>
      <c r="Z464" s="1088"/>
      <c r="AA464" s="1088"/>
      <c r="AB464" s="1088"/>
      <c r="AC464" s="1088"/>
      <c r="AD464" s="1088">
        <v>1549683</v>
      </c>
      <c r="AE464" s="1088"/>
      <c r="AF464" s="1088"/>
      <c r="AG464" s="1088"/>
      <c r="AH464" s="1088"/>
      <c r="AI464" s="1088"/>
      <c r="AJ464" s="1088">
        <v>1447684</v>
      </c>
      <c r="AK464" s="1088"/>
      <c r="AL464" s="1088"/>
      <c r="AM464" s="1088"/>
      <c r="AN464" s="1088"/>
      <c r="AO464" s="1088"/>
      <c r="AP464" s="1088"/>
      <c r="AQ464" s="1088"/>
      <c r="AR464" s="1088"/>
      <c r="AS464" s="1088"/>
      <c r="AT464" s="1088"/>
      <c r="AU464" s="1088">
        <v>1106505</v>
      </c>
      <c r="AV464" s="1088"/>
      <c r="AW464" s="1088"/>
      <c r="AX464" s="1088"/>
      <c r="AY464" s="1088"/>
      <c r="AZ464" s="1088"/>
      <c r="BA464" s="1088"/>
      <c r="BB464" s="1088"/>
      <c r="BC464" s="1088">
        <v>945514</v>
      </c>
      <c r="BD464" s="1088"/>
      <c r="BE464" s="1088"/>
      <c r="BF464" s="1088"/>
      <c r="BG464" s="1088">
        <v>867348</v>
      </c>
      <c r="BH464" s="1088"/>
      <c r="BI464" s="1088"/>
      <c r="BJ464" s="1088"/>
      <c r="BK464" s="1088">
        <v>547208</v>
      </c>
      <c r="BL464" s="1088"/>
      <c r="BM464" s="1088"/>
      <c r="BN464" s="1088"/>
      <c r="BO464" s="1088"/>
    </row>
    <row r="465" spans="1:67" ht="13.5" customHeight="1" x14ac:dyDescent="0.2">
      <c r="A465" s="1083"/>
      <c r="B465" s="1083"/>
      <c r="C465" s="1083"/>
      <c r="D465" s="1083"/>
      <c r="E465" s="1083"/>
      <c r="F465" s="1083"/>
      <c r="G465" s="1083"/>
      <c r="H465" s="1083"/>
      <c r="I465" s="1083"/>
      <c r="J465" s="1083"/>
      <c r="K465" s="1083"/>
      <c r="L465" s="1083"/>
      <c r="M465" s="1083"/>
      <c r="N465" s="1083"/>
      <c r="O465" s="1083"/>
      <c r="P465" s="1083"/>
      <c r="Q465" s="1083"/>
      <c r="R465" s="1083"/>
      <c r="S465" s="1083"/>
      <c r="T465" s="1083"/>
      <c r="U465" s="1083"/>
      <c r="V465" s="1083"/>
      <c r="W465" s="1083"/>
      <c r="X465" s="1083"/>
      <c r="Y465" s="1083"/>
      <c r="Z465" s="1083"/>
      <c r="AA465" s="1083"/>
      <c r="AB465" s="1083"/>
      <c r="AC465" s="1083"/>
      <c r="AD465" s="1083"/>
      <c r="AE465" s="1083"/>
      <c r="AF465" s="1083"/>
      <c r="AG465" s="1083"/>
      <c r="AH465" s="1083"/>
      <c r="AI465" s="1083"/>
      <c r="AJ465" s="1083"/>
      <c r="AK465" s="1083"/>
      <c r="AL465" s="1083"/>
      <c r="AM465" s="1083"/>
      <c r="AN465" s="1083"/>
      <c r="AO465" s="1083"/>
      <c r="AP465" s="1083"/>
      <c r="AQ465" s="1083"/>
      <c r="AR465" s="1083"/>
      <c r="AS465" s="1083"/>
      <c r="AT465" s="1083"/>
      <c r="AU465" s="1083"/>
      <c r="AV465" s="1083"/>
      <c r="AW465" s="1083"/>
      <c r="AX465" s="1083"/>
      <c r="AY465" s="1083"/>
      <c r="AZ465" s="1083"/>
      <c r="BA465" s="1083"/>
      <c r="BB465" s="1083"/>
      <c r="BC465" s="1083"/>
      <c r="BD465" s="1083"/>
      <c r="BE465" s="1083"/>
      <c r="BF465" s="1083"/>
      <c r="BG465" s="1083"/>
      <c r="BH465" s="1083"/>
      <c r="BI465" s="1083"/>
      <c r="BJ465" s="1083"/>
      <c r="BK465" s="1083"/>
      <c r="BL465" s="1083"/>
      <c r="BM465" s="1083"/>
      <c r="BN465" s="1083"/>
      <c r="BO465" s="1083"/>
    </row>
    <row r="466" spans="1:67" ht="12.5" customHeight="1" x14ac:dyDescent="0.2">
      <c r="A466" s="1084"/>
      <c r="B466" s="1085"/>
      <c r="C466" s="1085"/>
      <c r="D466" s="1085"/>
      <c r="E466" s="1085"/>
      <c r="F466" s="1085"/>
      <c r="G466" s="1085"/>
      <c r="H466" s="1085"/>
      <c r="I466" s="1085"/>
      <c r="J466" s="1085"/>
      <c r="K466" s="1085"/>
      <c r="L466" s="1085"/>
      <c r="M466" s="1085"/>
      <c r="N466" s="1085"/>
      <c r="O466" s="1085"/>
      <c r="P466" s="1085"/>
      <c r="Q466" s="1085"/>
      <c r="R466" s="1085"/>
      <c r="S466" s="1085"/>
      <c r="T466" s="1085"/>
      <c r="U466" s="1085"/>
      <c r="V466" s="1085"/>
      <c r="W466" s="1085"/>
      <c r="X466" s="1085"/>
      <c r="Y466" s="1085"/>
      <c r="Z466" s="1085"/>
      <c r="AA466" s="1085"/>
      <c r="AB466" s="1085"/>
      <c r="AC466" s="1085"/>
      <c r="AD466" s="1085"/>
      <c r="AE466" s="1085"/>
      <c r="AF466" s="1085"/>
      <c r="AG466" s="1085"/>
      <c r="AH466" s="1085"/>
      <c r="AI466" s="1085"/>
      <c r="AJ466" s="1085"/>
      <c r="AK466" s="1085"/>
      <c r="AL466" s="1085"/>
      <c r="AM466" s="1085"/>
      <c r="AN466" s="1085"/>
      <c r="AO466" s="1085"/>
      <c r="AP466" s="1085"/>
      <c r="AQ466" s="1085"/>
      <c r="AR466" s="1085"/>
      <c r="AS466" s="1085"/>
      <c r="AT466" s="1085"/>
      <c r="AU466" s="1085"/>
      <c r="AV466" s="1085"/>
      <c r="AW466" s="1085"/>
      <c r="AX466" s="1085"/>
    </row>
    <row r="467" spans="1:67" ht="18.25" customHeight="1" x14ac:dyDescent="0.2">
      <c r="A467" s="1020" t="s">
        <v>816</v>
      </c>
      <c r="B467" s="1021"/>
      <c r="C467" s="1021"/>
      <c r="D467" s="1021"/>
      <c r="E467" s="1021"/>
      <c r="F467" s="1021"/>
      <c r="G467" s="1021"/>
      <c r="H467" s="1021"/>
      <c r="I467" s="1021"/>
      <c r="J467" s="1021"/>
      <c r="K467" s="1021"/>
      <c r="L467" s="1021"/>
      <c r="M467" s="1021"/>
      <c r="N467" s="1021"/>
      <c r="O467" s="1021"/>
      <c r="P467" s="1021"/>
      <c r="Q467" s="1021"/>
      <c r="R467" s="1021"/>
      <c r="S467" s="1021"/>
      <c r="T467" s="1021"/>
      <c r="U467" s="1021"/>
      <c r="V467" s="1021"/>
      <c r="W467" s="1021"/>
      <c r="X467" s="1021"/>
      <c r="Y467" s="1021"/>
      <c r="Z467" s="1021"/>
      <c r="AA467" s="1021"/>
      <c r="AB467" s="1021"/>
      <c r="AC467" s="1021"/>
      <c r="AD467" s="1021"/>
      <c r="AE467" s="1021"/>
      <c r="AF467" s="1021"/>
      <c r="AG467" s="1021"/>
      <c r="AH467" s="1021"/>
      <c r="AI467" s="1021"/>
      <c r="AJ467" s="1021"/>
      <c r="AK467" s="1021"/>
      <c r="AL467" s="1021"/>
      <c r="AM467" s="1021"/>
      <c r="AN467" s="1021"/>
      <c r="AO467" s="1021"/>
      <c r="AP467" s="1021"/>
      <c r="AQ467" s="1021"/>
      <c r="AR467" s="1021"/>
      <c r="AS467" s="1021"/>
      <c r="AT467" s="1021"/>
      <c r="AU467" s="1021"/>
      <c r="AV467" s="1021"/>
      <c r="AW467" s="1021"/>
      <c r="AX467" s="1021"/>
    </row>
    <row r="468" spans="1:67" ht="12.5" customHeight="1" x14ac:dyDescent="0.2">
      <c r="A468" s="1022"/>
      <c r="B468" s="1023"/>
      <c r="C468" s="1023"/>
      <c r="D468" s="1023"/>
      <c r="E468" s="1023"/>
      <c r="F468" s="1023"/>
      <c r="G468" s="1023"/>
      <c r="H468" s="1023"/>
      <c r="I468" s="1023"/>
      <c r="J468" s="1023"/>
      <c r="K468" s="1023"/>
      <c r="L468" s="1023"/>
      <c r="M468" s="1023"/>
      <c r="N468" s="1023"/>
      <c r="O468" s="1023"/>
      <c r="P468" s="1023"/>
      <c r="Q468" s="1023"/>
      <c r="R468" s="1023"/>
      <c r="S468" s="1023"/>
      <c r="T468" s="1023"/>
      <c r="U468" s="1023"/>
      <c r="V468" s="1023"/>
      <c r="W468" s="1023"/>
      <c r="X468" s="1023"/>
      <c r="Y468" s="1023"/>
      <c r="Z468" s="1023"/>
      <c r="AA468" s="1023"/>
      <c r="AB468" s="1023"/>
      <c r="AC468" s="1023"/>
      <c r="AD468" s="1023"/>
      <c r="AE468" s="1023"/>
      <c r="AF468" s="1023"/>
      <c r="AG468" s="1023"/>
      <c r="AH468" s="1023"/>
      <c r="AI468" s="1023"/>
      <c r="AJ468" s="1023"/>
      <c r="AK468" s="1023"/>
      <c r="AL468" s="1023"/>
      <c r="AM468" s="1023"/>
      <c r="AN468" s="1023"/>
      <c r="AO468" s="1023"/>
      <c r="AP468" s="1023"/>
      <c r="AQ468" s="1023"/>
      <c r="AR468" s="1023"/>
      <c r="AS468" s="1023"/>
      <c r="AT468" s="1023"/>
      <c r="AU468" s="1023"/>
      <c r="AV468" s="1023"/>
      <c r="AW468" s="1023"/>
      <c r="AX468" s="1023"/>
    </row>
    <row r="469" spans="1:67" ht="12.5" customHeight="1" x14ac:dyDescent="0.2">
      <c r="A469" s="1009"/>
      <c r="B469" s="1010"/>
      <c r="C469" s="1010"/>
      <c r="D469" s="1010"/>
      <c r="E469" s="1010"/>
      <c r="F469" s="1010"/>
      <c r="G469" s="1010"/>
      <c r="H469" s="1010"/>
      <c r="I469" s="1010"/>
      <c r="J469" s="1010"/>
      <c r="K469" s="1010"/>
      <c r="L469" s="1010"/>
      <c r="M469" s="1010"/>
      <c r="N469" s="1010"/>
      <c r="O469" s="1010"/>
      <c r="P469" s="1010"/>
      <c r="Q469" s="1010"/>
      <c r="R469" s="1010"/>
      <c r="S469" s="1010"/>
      <c r="T469" s="1010"/>
      <c r="U469" s="1010"/>
      <c r="V469" s="1010"/>
      <c r="W469" s="1010"/>
      <c r="X469" s="1010"/>
      <c r="Y469" s="1010"/>
      <c r="Z469" s="1010"/>
      <c r="AA469" s="1010"/>
      <c r="AB469" s="1010"/>
      <c r="AC469" s="1010"/>
      <c r="AD469" s="1010"/>
      <c r="AE469" s="1010"/>
      <c r="AF469" s="1010"/>
      <c r="AG469" s="1010"/>
      <c r="AH469" s="1010"/>
      <c r="AI469" s="1010"/>
      <c r="AJ469" s="1010"/>
      <c r="AK469" s="1010"/>
      <c r="AL469" s="1010"/>
      <c r="AM469" s="1010"/>
      <c r="AN469" s="1010"/>
      <c r="AO469" s="1010"/>
      <c r="AP469" s="1010"/>
      <c r="AQ469" s="1010"/>
      <c r="AR469" s="1010"/>
      <c r="AS469" s="1010"/>
      <c r="AT469" s="1010"/>
      <c r="AU469" s="1010"/>
      <c r="AV469" s="1010"/>
      <c r="AW469" s="1010"/>
      <c r="AX469" s="1010"/>
    </row>
    <row r="470" spans="1:67" ht="13.5" customHeight="1" x14ac:dyDescent="0.2">
      <c r="A470" s="1011" t="s">
        <v>817</v>
      </c>
      <c r="B470" s="1012"/>
      <c r="C470" s="1012"/>
      <c r="D470" s="1012"/>
      <c r="E470" s="1012"/>
      <c r="F470" s="1012"/>
      <c r="G470" s="1012"/>
      <c r="H470" s="1012"/>
      <c r="I470" s="1012"/>
      <c r="J470" s="1012"/>
      <c r="K470" s="1012"/>
      <c r="L470" s="1012"/>
      <c r="M470" s="1012"/>
      <c r="N470" s="1012"/>
      <c r="O470" s="1012"/>
      <c r="P470" s="1012"/>
      <c r="Q470" s="1012"/>
      <c r="R470" s="1012"/>
      <c r="S470" s="1012"/>
      <c r="T470" s="1012"/>
      <c r="U470" s="1012"/>
      <c r="V470" s="1012"/>
      <c r="W470" s="1012"/>
      <c r="X470" s="1012"/>
      <c r="Y470" s="1012"/>
      <c r="Z470" s="1012"/>
      <c r="AA470" s="1012"/>
      <c r="AB470" s="1012"/>
      <c r="AC470" s="1012"/>
      <c r="AD470" s="1012"/>
      <c r="AE470" s="1012"/>
      <c r="AF470" s="1012"/>
      <c r="AG470" s="1012"/>
      <c r="AH470" s="1012"/>
      <c r="AI470" s="1012"/>
      <c r="AJ470" s="1012"/>
      <c r="AK470" s="1012"/>
      <c r="AL470" s="1012"/>
      <c r="AM470" s="1012"/>
      <c r="AN470" s="1012"/>
      <c r="AO470" s="1012"/>
      <c r="AP470" s="1012"/>
      <c r="AQ470" s="1012"/>
      <c r="AR470" s="1012"/>
      <c r="AS470" s="1012"/>
      <c r="AT470" s="1012"/>
      <c r="AU470" s="1012"/>
      <c r="AV470" s="1012"/>
      <c r="AW470" s="1012"/>
      <c r="AX470" s="1012"/>
    </row>
    <row r="471" spans="1:67" ht="12.5" customHeight="1" x14ac:dyDescent="0.2">
      <c r="A471" s="1009"/>
      <c r="B471" s="1010"/>
      <c r="C471" s="1010"/>
      <c r="D471" s="1010"/>
      <c r="E471" s="1010"/>
      <c r="F471" s="1010"/>
      <c r="G471" s="1010"/>
      <c r="H471" s="1010"/>
      <c r="I471" s="1010"/>
      <c r="J471" s="1010"/>
      <c r="K471" s="1010"/>
      <c r="L471" s="1010"/>
      <c r="M471" s="1010"/>
      <c r="N471" s="1010"/>
      <c r="O471" s="1010"/>
      <c r="P471" s="1010"/>
      <c r="Q471" s="1010"/>
      <c r="R471" s="1010"/>
      <c r="S471" s="1010"/>
      <c r="T471" s="1010"/>
      <c r="U471" s="1010"/>
      <c r="V471" s="1010"/>
      <c r="W471" s="1010"/>
      <c r="X471" s="1010"/>
      <c r="Y471" s="1010"/>
      <c r="Z471" s="1010"/>
      <c r="AA471" s="1010"/>
      <c r="AB471" s="1010"/>
      <c r="AC471" s="1010"/>
      <c r="AD471" s="1010"/>
      <c r="AE471" s="1010"/>
      <c r="AF471" s="1010"/>
      <c r="AG471" s="1010"/>
      <c r="AH471" s="1010"/>
      <c r="AI471" s="1010"/>
      <c r="AJ471" s="1010"/>
      <c r="AK471" s="1010"/>
      <c r="AL471" s="1010"/>
      <c r="AM471" s="1010"/>
      <c r="AN471" s="1010"/>
      <c r="AO471" s="1010"/>
      <c r="AP471" s="1010"/>
      <c r="AQ471" s="1010"/>
      <c r="AR471" s="1010"/>
      <c r="AS471" s="1010"/>
      <c r="AT471" s="1010"/>
      <c r="AU471" s="1010"/>
      <c r="AV471" s="1010"/>
      <c r="AW471" s="1010"/>
      <c r="AX471" s="1010"/>
    </row>
    <row r="472" spans="1:67" ht="12.5" customHeight="1" x14ac:dyDescent="0.2">
      <c r="A472" s="1018"/>
      <c r="B472" s="1019"/>
      <c r="C472" s="1019"/>
      <c r="D472" s="1019"/>
      <c r="E472" s="1019"/>
      <c r="F472" s="1019"/>
      <c r="G472" s="1019"/>
      <c r="H472" s="1019"/>
      <c r="I472" s="1019"/>
      <c r="J472" s="1019"/>
      <c r="K472" s="1019"/>
      <c r="L472" s="1019"/>
      <c r="M472" s="1019"/>
      <c r="N472" s="1019"/>
      <c r="O472" s="1019"/>
      <c r="P472" s="1019"/>
      <c r="Q472" s="1019"/>
      <c r="R472" s="1019"/>
      <c r="S472" s="1019"/>
      <c r="T472" s="1019"/>
      <c r="U472" s="1019"/>
      <c r="V472" s="1019"/>
      <c r="W472" s="1019"/>
      <c r="X472" s="1019"/>
      <c r="Y472" s="1019"/>
      <c r="Z472" s="1019"/>
      <c r="AA472" s="1019"/>
      <c r="AB472" s="1019"/>
      <c r="AC472" s="1019"/>
      <c r="AD472" s="1019"/>
      <c r="AE472" s="1019"/>
      <c r="AF472" s="1019"/>
      <c r="AG472" s="1019"/>
      <c r="AH472" s="1019"/>
      <c r="AI472" s="1019"/>
      <c r="AJ472" s="1019"/>
      <c r="AK472" s="1019"/>
      <c r="AL472" s="1019"/>
      <c r="AM472" s="1019"/>
      <c r="AN472" s="1019"/>
      <c r="AO472" s="1019"/>
      <c r="AP472" s="1019"/>
      <c r="AQ472" s="1019"/>
      <c r="AR472" s="1019"/>
      <c r="AS472" s="1019"/>
      <c r="AT472" s="1019"/>
      <c r="AU472" s="1019"/>
      <c r="AV472" s="1019"/>
      <c r="AW472" s="1019"/>
      <c r="AX472" s="1019"/>
    </row>
    <row r="473" spans="1:67" ht="18.25" customHeight="1" x14ac:dyDescent="0.2">
      <c r="A473" s="1020" t="s">
        <v>818</v>
      </c>
      <c r="B473" s="1021"/>
      <c r="C473" s="1021"/>
      <c r="D473" s="1021"/>
      <c r="E473" s="1021"/>
      <c r="F473" s="1021"/>
      <c r="G473" s="1021"/>
      <c r="H473" s="1021"/>
      <c r="I473" s="1021"/>
      <c r="J473" s="1021"/>
      <c r="K473" s="1021"/>
      <c r="L473" s="1021"/>
      <c r="M473" s="1021"/>
      <c r="N473" s="1021"/>
      <c r="O473" s="1021"/>
      <c r="P473" s="1021"/>
      <c r="Q473" s="1021"/>
      <c r="R473" s="1021"/>
      <c r="S473" s="1021"/>
      <c r="T473" s="1021"/>
      <c r="U473" s="1021"/>
      <c r="V473" s="1021"/>
      <c r="W473" s="1021"/>
      <c r="X473" s="1021"/>
      <c r="Y473" s="1021"/>
      <c r="Z473" s="1021"/>
      <c r="AA473" s="1021"/>
      <c r="AB473" s="1021"/>
      <c r="AC473" s="1021"/>
      <c r="AD473" s="1021"/>
      <c r="AE473" s="1021"/>
      <c r="AF473" s="1021"/>
      <c r="AG473" s="1021"/>
      <c r="AH473" s="1021"/>
      <c r="AI473" s="1021"/>
      <c r="AJ473" s="1021"/>
      <c r="AK473" s="1021"/>
      <c r="AL473" s="1021"/>
      <c r="AM473" s="1021"/>
      <c r="AN473" s="1021"/>
      <c r="AO473" s="1021"/>
      <c r="AP473" s="1021"/>
      <c r="AQ473" s="1021"/>
      <c r="AR473" s="1021"/>
      <c r="AS473" s="1021"/>
      <c r="AT473" s="1021"/>
      <c r="AU473" s="1021"/>
      <c r="AV473" s="1021"/>
      <c r="AW473" s="1021"/>
      <c r="AX473" s="1021"/>
      <c r="AY473" s="1021"/>
      <c r="AZ473" s="1021"/>
      <c r="BA473" s="1021"/>
      <c r="BB473" s="1021"/>
      <c r="BC473" s="1021"/>
      <c r="BD473" s="1021"/>
      <c r="BE473" s="1021"/>
      <c r="BF473" s="1021"/>
      <c r="BG473" s="1021"/>
      <c r="BH473" s="1021"/>
      <c r="BI473" s="1021"/>
      <c r="BJ473" s="1021"/>
      <c r="BK473" s="1021"/>
      <c r="BL473" s="1021"/>
      <c r="BM473" s="1021"/>
      <c r="BN473" s="1021"/>
    </row>
    <row r="474" spans="1:67" ht="12.5" customHeight="1" x14ac:dyDescent="0.2">
      <c r="A474" s="1022"/>
      <c r="B474" s="1023"/>
      <c r="C474" s="1023"/>
      <c r="D474" s="1023"/>
      <c r="E474" s="1023"/>
      <c r="F474" s="1023"/>
      <c r="G474" s="1023"/>
      <c r="H474" s="1023"/>
      <c r="I474" s="1023"/>
      <c r="J474" s="1023"/>
      <c r="K474" s="1023"/>
      <c r="L474" s="1023"/>
      <c r="M474" s="1023"/>
      <c r="N474" s="1023"/>
      <c r="O474" s="1023"/>
      <c r="P474" s="1023"/>
      <c r="Q474" s="1023"/>
      <c r="R474" s="1023"/>
      <c r="S474" s="1023"/>
      <c r="T474" s="1023"/>
      <c r="U474" s="1023"/>
      <c r="V474" s="1023"/>
      <c r="W474" s="1023"/>
      <c r="X474" s="1023"/>
      <c r="Y474" s="1023"/>
      <c r="Z474" s="1023"/>
      <c r="AA474" s="1023"/>
      <c r="AB474" s="1023"/>
      <c r="AC474" s="1023"/>
      <c r="AD474" s="1023"/>
      <c r="AE474" s="1023"/>
      <c r="AF474" s="1023"/>
      <c r="AG474" s="1023"/>
      <c r="AH474" s="1023"/>
      <c r="AI474" s="1023"/>
      <c r="AJ474" s="1023"/>
      <c r="AK474" s="1023"/>
      <c r="AL474" s="1023"/>
      <c r="AM474" s="1023"/>
      <c r="AN474" s="1023"/>
      <c r="AO474" s="1023"/>
      <c r="AP474" s="1023"/>
      <c r="AQ474" s="1023"/>
      <c r="AR474" s="1023"/>
      <c r="AS474" s="1023"/>
      <c r="AT474" s="1023"/>
      <c r="AU474" s="1023"/>
      <c r="AV474" s="1023"/>
      <c r="AW474" s="1023"/>
      <c r="AX474" s="1023"/>
    </row>
    <row r="475" spans="1:67" ht="12.5" customHeight="1" x14ac:dyDescent="0.2">
      <c r="A475" s="1009"/>
      <c r="B475" s="1010"/>
      <c r="C475" s="1010"/>
      <c r="D475" s="1010"/>
      <c r="E475" s="1010"/>
      <c r="F475" s="1010"/>
      <c r="G475" s="1010"/>
      <c r="H475" s="1010"/>
      <c r="I475" s="1010"/>
      <c r="J475" s="1010"/>
      <c r="K475" s="1010"/>
      <c r="L475" s="1010"/>
      <c r="M475" s="1010"/>
      <c r="N475" s="1010"/>
      <c r="O475" s="1010"/>
      <c r="P475" s="1010"/>
      <c r="Q475" s="1010"/>
      <c r="R475" s="1010"/>
      <c r="S475" s="1010"/>
      <c r="T475" s="1010"/>
      <c r="U475" s="1010"/>
      <c r="V475" s="1010"/>
      <c r="W475" s="1010"/>
      <c r="X475" s="1010"/>
      <c r="Y475" s="1010"/>
      <c r="Z475" s="1010"/>
      <c r="AA475" s="1010"/>
      <c r="AB475" s="1010"/>
      <c r="AC475" s="1010"/>
      <c r="AD475" s="1010"/>
      <c r="AE475" s="1010"/>
      <c r="AF475" s="1010"/>
      <c r="AG475" s="1010"/>
      <c r="AH475" s="1010"/>
      <c r="AI475" s="1010"/>
      <c r="AJ475" s="1010"/>
      <c r="AK475" s="1010"/>
      <c r="AL475" s="1010"/>
      <c r="AM475" s="1010"/>
      <c r="AN475" s="1010"/>
      <c r="AO475" s="1010"/>
      <c r="AP475" s="1010"/>
      <c r="AQ475" s="1010"/>
      <c r="AR475" s="1010"/>
      <c r="AS475" s="1010"/>
      <c r="AT475" s="1010"/>
      <c r="AU475" s="1010"/>
      <c r="AV475" s="1010"/>
      <c r="AW475" s="1010"/>
      <c r="AX475" s="1010"/>
    </row>
    <row r="476" spans="1:67" ht="13.5" customHeight="1" x14ac:dyDescent="0.2">
      <c r="A476" s="1011" t="s">
        <v>819</v>
      </c>
      <c r="B476" s="1012"/>
      <c r="C476" s="1012"/>
      <c r="D476" s="1012"/>
      <c r="E476" s="1012"/>
      <c r="F476" s="1012"/>
      <c r="G476" s="1012"/>
      <c r="H476" s="1012"/>
      <c r="I476" s="1012"/>
      <c r="J476" s="1012"/>
      <c r="K476" s="1012"/>
      <c r="L476" s="1012"/>
      <c r="M476" s="1012"/>
      <c r="N476" s="1012"/>
      <c r="O476" s="1012"/>
      <c r="P476" s="1012"/>
      <c r="Q476" s="1012"/>
      <c r="R476" s="1012"/>
      <c r="S476" s="1012"/>
      <c r="T476" s="1012"/>
      <c r="U476" s="1012"/>
      <c r="V476" s="1012"/>
      <c r="W476" s="1012"/>
      <c r="X476" s="1012"/>
      <c r="Y476" s="1012"/>
      <c r="Z476" s="1012"/>
      <c r="AA476" s="1012"/>
      <c r="AB476" s="1012"/>
      <c r="AC476" s="1012"/>
      <c r="AD476" s="1012"/>
      <c r="AE476" s="1012"/>
      <c r="AF476" s="1012"/>
      <c r="AG476" s="1012"/>
      <c r="AH476" s="1012"/>
      <c r="AI476" s="1012"/>
      <c r="AJ476" s="1012"/>
      <c r="AK476" s="1012"/>
      <c r="AL476" s="1012"/>
      <c r="AM476" s="1012"/>
      <c r="AN476" s="1012"/>
      <c r="AO476" s="1012"/>
      <c r="AP476" s="1012"/>
      <c r="AQ476" s="1012"/>
      <c r="AR476" s="1012"/>
      <c r="AS476" s="1012"/>
      <c r="AT476" s="1012"/>
      <c r="AU476" s="1012"/>
      <c r="AV476" s="1012"/>
      <c r="AW476" s="1012"/>
      <c r="AX476" s="1012"/>
    </row>
    <row r="477" spans="1:67" ht="12.5" customHeight="1" x14ac:dyDescent="0.2">
      <c r="A477" s="1009"/>
      <c r="B477" s="1010"/>
      <c r="C477" s="1010"/>
      <c r="D477" s="1010"/>
      <c r="E477" s="1010"/>
      <c r="F477" s="1010"/>
      <c r="G477" s="1010"/>
      <c r="H477" s="1010"/>
      <c r="I477" s="1010"/>
      <c r="J477" s="1010"/>
      <c r="K477" s="1010"/>
      <c r="L477" s="1010"/>
      <c r="M477" s="1010"/>
      <c r="N477" s="1010"/>
      <c r="O477" s="1010"/>
      <c r="P477" s="1010"/>
      <c r="Q477" s="1010"/>
      <c r="R477" s="1010"/>
      <c r="S477" s="1010"/>
      <c r="T477" s="1010"/>
      <c r="U477" s="1010"/>
      <c r="V477" s="1010"/>
      <c r="W477" s="1010"/>
      <c r="X477" s="1010"/>
      <c r="Y477" s="1010"/>
      <c r="Z477" s="1010"/>
      <c r="AA477" s="1010"/>
      <c r="AB477" s="1010"/>
      <c r="AC477" s="1010"/>
      <c r="AD477" s="1010"/>
      <c r="AE477" s="1010"/>
      <c r="AF477" s="1010"/>
      <c r="AG477" s="1010"/>
      <c r="AH477" s="1010"/>
      <c r="AI477" s="1010"/>
      <c r="AJ477" s="1010"/>
      <c r="AK477" s="1010"/>
      <c r="AL477" s="1010"/>
      <c r="AM477" s="1010"/>
      <c r="AN477" s="1010"/>
      <c r="AO477" s="1010"/>
      <c r="AP477" s="1010"/>
      <c r="AQ477" s="1010"/>
      <c r="AR477" s="1010"/>
      <c r="AS477" s="1010"/>
      <c r="AT477" s="1010"/>
      <c r="AU477" s="1010"/>
      <c r="AV477" s="1010"/>
      <c r="AW477" s="1010"/>
      <c r="AX477" s="1010"/>
    </row>
    <row r="478" spans="1:67" ht="12.5" customHeight="1" x14ac:dyDescent="0.2">
      <c r="A478" s="1018"/>
      <c r="B478" s="1019"/>
      <c r="C478" s="1019"/>
      <c r="D478" s="1019"/>
      <c r="E478" s="1019"/>
      <c r="F478" s="1019"/>
      <c r="G478" s="1019"/>
      <c r="H478" s="1019"/>
      <c r="I478" s="1019"/>
      <c r="J478" s="1019"/>
      <c r="K478" s="1019"/>
      <c r="L478" s="1019"/>
      <c r="M478" s="1019"/>
      <c r="N478" s="1019"/>
      <c r="O478" s="1019"/>
      <c r="P478" s="1019"/>
      <c r="Q478" s="1019"/>
      <c r="R478" s="1019"/>
      <c r="S478" s="1019"/>
      <c r="T478" s="1019"/>
      <c r="U478" s="1019"/>
      <c r="V478" s="1019"/>
      <c r="W478" s="1019"/>
      <c r="X478" s="1019"/>
      <c r="Y478" s="1019"/>
      <c r="Z478" s="1019"/>
      <c r="AA478" s="1019"/>
      <c r="AB478" s="1019"/>
      <c r="AC478" s="1019"/>
      <c r="AD478" s="1019"/>
      <c r="AE478" s="1019"/>
      <c r="AF478" s="1019"/>
      <c r="AG478" s="1019"/>
      <c r="AH478" s="1019"/>
      <c r="AI478" s="1019"/>
      <c r="AJ478" s="1019"/>
      <c r="AK478" s="1019"/>
      <c r="AL478" s="1019"/>
      <c r="AM478" s="1019"/>
      <c r="AN478" s="1019"/>
      <c r="AO478" s="1019"/>
      <c r="AP478" s="1019"/>
      <c r="AQ478" s="1019"/>
      <c r="AR478" s="1019"/>
      <c r="AS478" s="1019"/>
      <c r="AT478" s="1019"/>
      <c r="AU478" s="1019"/>
      <c r="AV478" s="1019"/>
      <c r="AW478" s="1019"/>
      <c r="AX478" s="1019"/>
    </row>
    <row r="479" spans="1:67" ht="18.25" customHeight="1" x14ac:dyDescent="0.2">
      <c r="A479" s="1020" t="s">
        <v>820</v>
      </c>
      <c r="B479" s="1021"/>
      <c r="C479" s="1021"/>
      <c r="D479" s="1021"/>
      <c r="E479" s="1021"/>
      <c r="F479" s="1021"/>
      <c r="G479" s="1021"/>
      <c r="H479" s="1021"/>
      <c r="I479" s="1021"/>
      <c r="J479" s="1021"/>
      <c r="K479" s="1021"/>
      <c r="L479" s="1021"/>
      <c r="M479" s="1021"/>
      <c r="N479" s="1021"/>
      <c r="O479" s="1021"/>
      <c r="P479" s="1021"/>
      <c r="Q479" s="1021"/>
      <c r="R479" s="1021"/>
      <c r="S479" s="1021"/>
      <c r="T479" s="1021"/>
      <c r="U479" s="1021"/>
      <c r="V479" s="1021"/>
      <c r="W479" s="1021"/>
      <c r="X479" s="1021"/>
      <c r="Y479" s="1021"/>
      <c r="Z479" s="1021"/>
      <c r="AA479" s="1021"/>
      <c r="AB479" s="1021"/>
      <c r="AC479" s="1021"/>
      <c r="AD479" s="1021"/>
      <c r="AE479" s="1021"/>
      <c r="AF479" s="1021"/>
      <c r="AG479" s="1021"/>
      <c r="AH479" s="1021"/>
      <c r="AI479" s="1021"/>
      <c r="AJ479" s="1021"/>
      <c r="AK479" s="1021"/>
      <c r="AL479" s="1021"/>
      <c r="AM479" s="1021"/>
      <c r="AN479" s="1021"/>
      <c r="AO479" s="1021"/>
      <c r="AP479" s="1021"/>
      <c r="AQ479" s="1021"/>
      <c r="AR479" s="1021"/>
      <c r="AS479" s="1021"/>
      <c r="AT479" s="1021"/>
      <c r="AU479" s="1021"/>
      <c r="AV479" s="1021"/>
      <c r="AW479" s="1021"/>
      <c r="AX479" s="1021"/>
    </row>
    <row r="480" spans="1:67" ht="12.5" customHeight="1" x14ac:dyDescent="0.2">
      <c r="A480" s="1022"/>
      <c r="B480" s="1023"/>
      <c r="C480" s="1023"/>
      <c r="D480" s="1023"/>
      <c r="E480" s="1023"/>
      <c r="F480" s="1023"/>
      <c r="G480" s="1023"/>
      <c r="H480" s="1023"/>
      <c r="I480" s="1023"/>
      <c r="J480" s="1023"/>
      <c r="K480" s="1023"/>
      <c r="L480" s="1023"/>
      <c r="M480" s="1023"/>
      <c r="N480" s="1023"/>
      <c r="O480" s="1023"/>
      <c r="P480" s="1023"/>
      <c r="Q480" s="1023"/>
      <c r="R480" s="1023"/>
      <c r="S480" s="1023"/>
      <c r="T480" s="1023"/>
      <c r="U480" s="1023"/>
      <c r="V480" s="1023"/>
      <c r="W480" s="1023"/>
      <c r="X480" s="1023"/>
      <c r="Y480" s="1023"/>
      <c r="Z480" s="1023"/>
      <c r="AA480" s="1023"/>
      <c r="AB480" s="1023"/>
      <c r="AC480" s="1023"/>
      <c r="AD480" s="1023"/>
      <c r="AE480" s="1023"/>
      <c r="AF480" s="1023"/>
      <c r="AG480" s="1023"/>
      <c r="AH480" s="1023"/>
      <c r="AI480" s="1023"/>
      <c r="AJ480" s="1023"/>
      <c r="AK480" s="1023"/>
      <c r="AL480" s="1023"/>
      <c r="AM480" s="1023"/>
      <c r="AN480" s="1023"/>
      <c r="AO480" s="1023"/>
      <c r="AP480" s="1023"/>
      <c r="AQ480" s="1023"/>
      <c r="AR480" s="1023"/>
      <c r="AS480" s="1023"/>
      <c r="AT480" s="1023"/>
      <c r="AU480" s="1023"/>
      <c r="AV480" s="1023"/>
      <c r="AW480" s="1023"/>
      <c r="AX480" s="1023"/>
    </row>
    <row r="481" spans="1:50" ht="12.5" customHeight="1" x14ac:dyDescent="0.2">
      <c r="A481" s="1078" t="s">
        <v>821</v>
      </c>
      <c r="B481" s="1079"/>
      <c r="C481" s="1079"/>
      <c r="D481" s="1079"/>
      <c r="E481" s="1079"/>
      <c r="F481" s="1079"/>
      <c r="G481" s="1079"/>
      <c r="H481" s="1079"/>
      <c r="I481" s="1079"/>
      <c r="J481" s="1079"/>
      <c r="K481" s="1079"/>
      <c r="L481" s="1079"/>
      <c r="M481" s="1079"/>
      <c r="N481" s="1079"/>
      <c r="O481" s="1079"/>
      <c r="P481" s="1079"/>
      <c r="Q481" s="1079"/>
      <c r="R481" s="1079"/>
      <c r="S481" s="1079"/>
      <c r="T481" s="1079"/>
      <c r="U481" s="1079"/>
      <c r="V481" s="1079"/>
      <c r="W481" s="1079"/>
      <c r="X481" s="1079"/>
      <c r="Y481" s="1079"/>
      <c r="Z481" s="1079"/>
      <c r="AA481" s="1079"/>
      <c r="AB481" s="1079"/>
      <c r="AC481" s="1079"/>
      <c r="AD481" s="1079"/>
      <c r="AE481" s="1079"/>
      <c r="AF481" s="1079"/>
      <c r="AG481" s="1079"/>
      <c r="AH481" s="1079"/>
      <c r="AI481" s="1079"/>
      <c r="AJ481" s="1079"/>
      <c r="AK481" s="1079"/>
      <c r="AL481" s="1079"/>
      <c r="AM481" s="1079"/>
      <c r="AN481" s="1079"/>
      <c r="AO481" s="1079"/>
      <c r="AP481" s="1079"/>
      <c r="AQ481" s="1079"/>
      <c r="AR481" s="1079"/>
      <c r="AS481" s="1079"/>
      <c r="AT481" s="1079"/>
      <c r="AU481" s="1079"/>
      <c r="AV481" s="1079"/>
      <c r="AW481" s="1079"/>
      <c r="AX481" s="1079"/>
    </row>
    <row r="482" spans="1:50" ht="12.5" customHeight="1" x14ac:dyDescent="0.2">
      <c r="A482" s="1009"/>
      <c r="B482" s="1010"/>
      <c r="C482" s="1010"/>
      <c r="D482" s="1010"/>
      <c r="E482" s="1010"/>
      <c r="F482" s="1059"/>
      <c r="G482" s="1016" t="s">
        <v>822</v>
      </c>
      <c r="H482" s="1017"/>
      <c r="I482" s="1017"/>
      <c r="J482" s="1017"/>
      <c r="K482" s="1017"/>
      <c r="L482" s="1017"/>
      <c r="M482" s="1017"/>
      <c r="N482" s="1017"/>
      <c r="O482" s="1017"/>
      <c r="P482" s="1017"/>
      <c r="Q482" s="1017"/>
      <c r="R482" s="1017"/>
      <c r="S482" s="1017"/>
      <c r="T482" s="1017"/>
      <c r="U482" s="1017"/>
      <c r="V482" s="1017"/>
      <c r="W482" s="1017"/>
      <c r="X482" s="1017"/>
      <c r="Y482" s="1017"/>
      <c r="Z482" s="1017"/>
      <c r="AA482" s="1017"/>
      <c r="AB482" s="1017"/>
      <c r="AC482" s="1017"/>
      <c r="AD482" s="1017"/>
      <c r="AE482" s="1017"/>
      <c r="AF482" s="1017"/>
      <c r="AG482" s="1017"/>
      <c r="AH482" s="1017"/>
      <c r="AI482" s="1017"/>
      <c r="AJ482" s="1017"/>
      <c r="AK482" s="1017"/>
      <c r="AL482" s="1017"/>
      <c r="AM482" s="1017"/>
    </row>
    <row r="483" spans="1:50" ht="12.5" customHeight="1" x14ac:dyDescent="0.2">
      <c r="A483" s="1010"/>
      <c r="B483" s="1010"/>
      <c r="C483" s="1010"/>
      <c r="D483" s="1010"/>
      <c r="E483" s="1010"/>
      <c r="F483" s="1010"/>
      <c r="G483" s="1010"/>
      <c r="H483" s="1010"/>
      <c r="I483" s="1010"/>
      <c r="J483" s="1010"/>
      <c r="K483" s="1010"/>
      <c r="L483" s="1010"/>
      <c r="M483" s="1010"/>
      <c r="N483" s="1010"/>
      <c r="O483" s="1010"/>
      <c r="P483" s="1010"/>
      <c r="Q483" s="1010"/>
      <c r="R483" s="1010"/>
      <c r="S483" s="1010"/>
      <c r="T483" s="1010"/>
      <c r="U483" s="1010"/>
      <c r="V483" s="1010"/>
      <c r="W483" s="1010"/>
      <c r="X483" s="1010"/>
      <c r="Y483" s="1010"/>
      <c r="Z483" s="1010"/>
      <c r="AA483" s="1010"/>
      <c r="AB483" s="1010"/>
      <c r="AC483" s="1010"/>
      <c r="AD483" s="1010"/>
      <c r="AE483" s="1010"/>
      <c r="AF483" s="1010"/>
      <c r="AG483" s="1010"/>
      <c r="AH483" s="1010"/>
      <c r="AI483" s="1010"/>
      <c r="AJ483" s="1010"/>
      <c r="AK483" s="1010"/>
      <c r="AL483" s="1010"/>
      <c r="AM483" s="1010"/>
    </row>
    <row r="484" spans="1:50" ht="12.5" customHeight="1" x14ac:dyDescent="0.2">
      <c r="A484" s="364"/>
      <c r="B484" s="1070"/>
      <c r="C484" s="1070"/>
      <c r="D484" s="1070"/>
      <c r="E484" s="1070"/>
      <c r="F484" s="1070"/>
      <c r="G484" s="1070"/>
      <c r="H484" s="364"/>
      <c r="I484" s="364"/>
      <c r="J484" s="364"/>
      <c r="K484" s="364"/>
      <c r="L484" s="364"/>
      <c r="M484" s="364"/>
      <c r="N484" s="1080" t="s">
        <v>488</v>
      </c>
      <c r="O484" s="1080"/>
      <c r="P484" s="1080"/>
      <c r="Q484" s="1080" t="s">
        <v>823</v>
      </c>
      <c r="R484" s="1080"/>
      <c r="S484" s="1080"/>
      <c r="T484" s="1080"/>
      <c r="U484" s="1080"/>
      <c r="V484" s="1080"/>
      <c r="W484" s="1080"/>
      <c r="X484" s="1080"/>
      <c r="Y484" s="1080"/>
      <c r="Z484" s="1080"/>
      <c r="AA484" s="1081"/>
      <c r="AB484" s="1082" t="s">
        <v>824</v>
      </c>
      <c r="AC484" s="1080"/>
      <c r="AD484" s="1080"/>
      <c r="AE484" s="1080"/>
      <c r="AF484" s="1080"/>
      <c r="AG484" s="1080"/>
      <c r="AH484" s="1081"/>
      <c r="AI484" s="1082" t="s">
        <v>825</v>
      </c>
      <c r="AJ484" s="1080"/>
      <c r="AK484" s="1080"/>
      <c r="AL484" s="1080"/>
      <c r="AM484" s="1080"/>
      <c r="AN484" s="1080"/>
      <c r="AO484" s="1080"/>
      <c r="AP484" s="1080"/>
      <c r="AQ484" s="364"/>
      <c r="AR484" s="364"/>
      <c r="AS484" s="364"/>
    </row>
    <row r="485" spans="1:50" ht="12.5" customHeight="1" x14ac:dyDescent="0.2">
      <c r="A485" s="1009"/>
      <c r="B485" s="1070"/>
      <c r="C485" s="1074"/>
      <c r="D485" s="1076" t="s">
        <v>826</v>
      </c>
      <c r="E485" s="1077"/>
      <c r="F485" s="1077"/>
      <c r="G485" s="1077"/>
      <c r="H485" s="1074"/>
      <c r="I485" s="1068"/>
      <c r="J485" s="1068"/>
      <c r="K485" s="1068"/>
      <c r="L485" s="1068"/>
      <c r="M485" s="1068"/>
      <c r="N485" s="1065" t="s">
        <v>827</v>
      </c>
      <c r="O485" s="1066"/>
      <c r="P485" s="1067"/>
      <c r="Q485" s="1075" t="s">
        <v>828</v>
      </c>
      <c r="R485" s="1065" t="s">
        <v>829</v>
      </c>
      <c r="S485" s="1066"/>
      <c r="T485" s="1066"/>
      <c r="U485" s="1066"/>
      <c r="V485" s="1066"/>
      <c r="W485" s="1066"/>
      <c r="X485" s="1066"/>
      <c r="Y485" s="1066"/>
      <c r="Z485" s="1066"/>
      <c r="AA485" s="1067"/>
      <c r="AB485" s="1065" t="s">
        <v>830</v>
      </c>
      <c r="AC485" s="1066"/>
      <c r="AD485" s="1066"/>
      <c r="AE485" s="1066"/>
      <c r="AF485" s="1066"/>
      <c r="AG485" s="1066"/>
      <c r="AH485" s="1067"/>
      <c r="AI485" s="1065" t="s">
        <v>831</v>
      </c>
      <c r="AJ485" s="1066"/>
      <c r="AK485" s="1066"/>
      <c r="AL485" s="1066"/>
      <c r="AM485" s="1066"/>
      <c r="AN485" s="1066"/>
      <c r="AO485" s="1066"/>
      <c r="AP485" s="1067"/>
      <c r="AQ485" s="1068"/>
      <c r="AR485" s="1069"/>
      <c r="AS485" s="1070"/>
    </row>
    <row r="486" spans="1:50" ht="12.5" customHeight="1" x14ac:dyDescent="0.2">
      <c r="A486" s="1009"/>
      <c r="B486" s="1070"/>
      <c r="C486" s="1074"/>
      <c r="D486" s="1076"/>
      <c r="E486" s="1077"/>
      <c r="F486" s="1077"/>
      <c r="G486" s="1077"/>
      <c r="H486" s="1074"/>
      <c r="I486" s="1068"/>
      <c r="J486" s="1068"/>
      <c r="K486" s="1068"/>
      <c r="L486" s="1068"/>
      <c r="M486" s="1068"/>
      <c r="N486" s="1065" t="s">
        <v>832</v>
      </c>
      <c r="O486" s="1066"/>
      <c r="P486" s="1067"/>
      <c r="Q486" s="1075"/>
      <c r="R486" s="1065"/>
      <c r="S486" s="1066"/>
      <c r="T486" s="1066"/>
      <c r="U486" s="1066"/>
      <c r="V486" s="1066"/>
      <c r="W486" s="1066"/>
      <c r="X486" s="1066"/>
      <c r="Y486" s="1066"/>
      <c r="Z486" s="1066"/>
      <c r="AA486" s="1067"/>
      <c r="AB486" s="1065"/>
      <c r="AC486" s="1066"/>
      <c r="AD486" s="1066"/>
      <c r="AE486" s="1066"/>
      <c r="AF486" s="1066"/>
      <c r="AG486" s="1066"/>
      <c r="AH486" s="1067"/>
      <c r="AI486" s="1065"/>
      <c r="AJ486" s="1066"/>
      <c r="AK486" s="1066"/>
      <c r="AL486" s="1066"/>
      <c r="AM486" s="1066"/>
      <c r="AN486" s="1066"/>
      <c r="AO486" s="1066"/>
      <c r="AP486" s="1067"/>
      <c r="AQ486" s="1068"/>
      <c r="AR486" s="1069"/>
      <c r="AS486" s="1070"/>
    </row>
    <row r="487" spans="1:50" ht="10.25" customHeight="1" x14ac:dyDescent="0.2">
      <c r="A487" s="1009"/>
      <c r="B487" s="1070"/>
      <c r="C487" s="1074"/>
      <c r="D487" s="1076"/>
      <c r="E487" s="1077"/>
      <c r="F487" s="1077"/>
      <c r="G487" s="1077"/>
      <c r="H487" s="1074"/>
      <c r="I487" s="1068"/>
      <c r="J487" s="1068"/>
      <c r="K487" s="1068"/>
      <c r="L487" s="1068"/>
      <c r="M487" s="1068"/>
      <c r="N487" s="1069"/>
      <c r="O487" s="1070"/>
      <c r="P487" s="1074"/>
      <c r="Q487" s="1075"/>
      <c r="R487" s="1065"/>
      <c r="S487" s="1066"/>
      <c r="T487" s="1066"/>
      <c r="U487" s="1066"/>
      <c r="V487" s="1066"/>
      <c r="W487" s="1066"/>
      <c r="X487" s="1066"/>
      <c r="Y487" s="1066"/>
      <c r="Z487" s="1066"/>
      <c r="AA487" s="1067"/>
      <c r="AB487" s="1065"/>
      <c r="AC487" s="1066"/>
      <c r="AD487" s="1066"/>
      <c r="AE487" s="1066"/>
      <c r="AF487" s="1066"/>
      <c r="AG487" s="1066"/>
      <c r="AH487" s="1067"/>
      <c r="AI487" s="1065"/>
      <c r="AJ487" s="1066"/>
      <c r="AK487" s="1066"/>
      <c r="AL487" s="1066"/>
      <c r="AM487" s="1066"/>
      <c r="AN487" s="1066"/>
      <c r="AO487" s="1066"/>
      <c r="AP487" s="1067"/>
      <c r="AQ487" s="1068"/>
      <c r="AR487" s="1069"/>
      <c r="AS487" s="1070"/>
    </row>
    <row r="488" spans="1:50" ht="12.5" customHeight="1" x14ac:dyDescent="0.2">
      <c r="A488" s="1009"/>
      <c r="B488" s="1070"/>
      <c r="C488" s="1074"/>
      <c r="D488" s="1076"/>
      <c r="E488" s="1077"/>
      <c r="F488" s="1077"/>
      <c r="G488" s="1077"/>
      <c r="H488" s="1074"/>
      <c r="I488" s="1068"/>
      <c r="J488" s="1068"/>
      <c r="K488" s="1068"/>
      <c r="L488" s="1068"/>
      <c r="M488" s="1068"/>
      <c r="N488" s="1069"/>
      <c r="O488" s="1070"/>
      <c r="P488" s="1074"/>
      <c r="Q488" s="1071" t="s">
        <v>833</v>
      </c>
      <c r="R488" s="1072"/>
      <c r="S488" s="1072"/>
      <c r="T488" s="1072"/>
      <c r="U488" s="1072"/>
      <c r="V488" s="1072"/>
      <c r="W488" s="1072"/>
      <c r="X488" s="1072"/>
      <c r="Y488" s="1072"/>
      <c r="Z488" s="1072"/>
      <c r="AA488" s="1072"/>
      <c r="AB488" s="1072"/>
      <c r="AC488" s="1072"/>
      <c r="AD488" s="1072"/>
      <c r="AE488" s="1072"/>
      <c r="AF488" s="1072"/>
      <c r="AG488" s="1072"/>
      <c r="AH488" s="1072"/>
      <c r="AI488" s="1072"/>
      <c r="AJ488" s="1072"/>
      <c r="AK488" s="1072"/>
      <c r="AL488" s="1072"/>
      <c r="AM488" s="1072"/>
      <c r="AN488" s="1072"/>
      <c r="AO488" s="1072"/>
      <c r="AP488" s="1073"/>
      <c r="AQ488" s="1068"/>
      <c r="AR488" s="1069"/>
      <c r="AS488" s="1070"/>
    </row>
    <row r="489" spans="1:50" ht="12.5" customHeight="1" x14ac:dyDescent="0.2">
      <c r="A489" s="1009"/>
      <c r="B489" s="1010"/>
      <c r="C489" s="1059"/>
      <c r="D489" s="1029" t="s">
        <v>834</v>
      </c>
      <c r="E489" s="1030"/>
      <c r="F489" s="1030"/>
      <c r="G489" s="1030"/>
      <c r="I489" s="1060"/>
      <c r="J489" s="1060"/>
      <c r="K489" s="1060"/>
      <c r="L489" s="1060"/>
      <c r="M489" s="1060"/>
      <c r="N489" s="1011" t="s">
        <v>835</v>
      </c>
      <c r="O489" s="1012"/>
      <c r="P489" s="1040"/>
      <c r="Q489" s="1064" t="s">
        <v>828</v>
      </c>
      <c r="R489" s="1011" t="s">
        <v>836</v>
      </c>
      <c r="S489" s="1012"/>
      <c r="T489" s="1012"/>
      <c r="U489" s="1012"/>
      <c r="V489" s="1012"/>
      <c r="W489" s="1012"/>
      <c r="X489" s="1012"/>
      <c r="Y489" s="1012"/>
      <c r="Z489" s="1012"/>
      <c r="AA489" s="1040"/>
      <c r="AB489" s="1011" t="s">
        <v>830</v>
      </c>
      <c r="AC489" s="1012"/>
      <c r="AD489" s="1012"/>
      <c r="AE489" s="1012"/>
      <c r="AF489" s="1012"/>
      <c r="AG489" s="1012"/>
      <c r="AH489" s="1040"/>
      <c r="AI489" s="1011" t="s">
        <v>831</v>
      </c>
      <c r="AJ489" s="1012"/>
      <c r="AK489" s="1012"/>
      <c r="AL489" s="1012"/>
      <c r="AM489" s="1012"/>
      <c r="AN489" s="1012"/>
      <c r="AO489" s="1012"/>
      <c r="AP489" s="1040"/>
      <c r="AQ489" s="1060"/>
      <c r="AR489" s="1009"/>
    </row>
    <row r="490" spans="1:50" ht="12.5" customHeight="1" x14ac:dyDescent="0.2">
      <c r="A490" s="1009"/>
      <c r="B490" s="1010"/>
      <c r="C490" s="1059"/>
      <c r="D490" s="1029"/>
      <c r="E490" s="1030"/>
      <c r="F490" s="1030"/>
      <c r="G490" s="1030"/>
      <c r="I490" s="1060"/>
      <c r="J490" s="1060"/>
      <c r="K490" s="1060"/>
      <c r="L490" s="1060"/>
      <c r="M490" s="1060"/>
      <c r="N490" s="1011" t="s">
        <v>837</v>
      </c>
      <c r="O490" s="1012"/>
      <c r="P490" s="1040"/>
      <c r="Q490" s="1064"/>
      <c r="R490" s="1011"/>
      <c r="S490" s="1012"/>
      <c r="T490" s="1012"/>
      <c r="U490" s="1012"/>
      <c r="V490" s="1012"/>
      <c r="W490" s="1012"/>
      <c r="X490" s="1012"/>
      <c r="Y490" s="1012"/>
      <c r="Z490" s="1012"/>
      <c r="AA490" s="1040"/>
      <c r="AB490" s="1011"/>
      <c r="AC490" s="1012"/>
      <c r="AD490" s="1012"/>
      <c r="AE490" s="1012"/>
      <c r="AF490" s="1012"/>
      <c r="AG490" s="1012"/>
      <c r="AH490" s="1040"/>
      <c r="AI490" s="1011"/>
      <c r="AJ490" s="1012"/>
      <c r="AK490" s="1012"/>
      <c r="AL490" s="1012"/>
      <c r="AM490" s="1012"/>
      <c r="AN490" s="1012"/>
      <c r="AO490" s="1012"/>
      <c r="AP490" s="1040"/>
      <c r="AQ490" s="1060"/>
      <c r="AR490" s="1009"/>
    </row>
    <row r="491" spans="1:50" ht="22.75" customHeight="1" x14ac:dyDescent="0.2">
      <c r="A491" s="1009"/>
      <c r="B491" s="1010"/>
      <c r="C491" s="1059"/>
      <c r="D491" s="1029"/>
      <c r="E491" s="1030"/>
      <c r="F491" s="1030"/>
      <c r="G491" s="1030"/>
      <c r="I491" s="1060"/>
      <c r="J491" s="1060"/>
      <c r="K491" s="1060"/>
      <c r="L491" s="1060"/>
      <c r="M491" s="1060"/>
      <c r="N491" s="1009"/>
      <c r="O491" s="1010"/>
      <c r="P491" s="1059"/>
      <c r="Q491" s="1064"/>
      <c r="R491" s="1011"/>
      <c r="S491" s="1012"/>
      <c r="T491" s="1012"/>
      <c r="U491" s="1012"/>
      <c r="V491" s="1012"/>
      <c r="W491" s="1012"/>
      <c r="X491" s="1012"/>
      <c r="Y491" s="1012"/>
      <c r="Z491" s="1012"/>
      <c r="AA491" s="1040"/>
      <c r="AB491" s="1011"/>
      <c r="AC491" s="1012"/>
      <c r="AD491" s="1012"/>
      <c r="AE491" s="1012"/>
      <c r="AF491" s="1012"/>
      <c r="AG491" s="1012"/>
      <c r="AH491" s="1040"/>
      <c r="AI491" s="1011"/>
      <c r="AJ491" s="1012"/>
      <c r="AK491" s="1012"/>
      <c r="AL491" s="1012"/>
      <c r="AM491" s="1012"/>
      <c r="AN491" s="1012"/>
      <c r="AO491" s="1012"/>
      <c r="AP491" s="1040"/>
      <c r="AQ491" s="1060"/>
      <c r="AR491" s="1009"/>
    </row>
    <row r="492" spans="1:50" ht="12.5" customHeight="1" x14ac:dyDescent="0.2">
      <c r="A492" s="1009"/>
      <c r="B492" s="1010"/>
      <c r="C492" s="1059"/>
      <c r="D492" s="1029"/>
      <c r="E492" s="1030"/>
      <c r="F492" s="1030"/>
      <c r="G492" s="1030"/>
      <c r="I492" s="1060"/>
      <c r="J492" s="1060"/>
      <c r="K492" s="1060"/>
      <c r="L492" s="1060"/>
      <c r="M492" s="1060"/>
      <c r="N492" s="1009"/>
      <c r="O492" s="1010"/>
      <c r="P492" s="1059"/>
      <c r="Q492" s="1061" t="s">
        <v>833</v>
      </c>
      <c r="R492" s="1062"/>
      <c r="S492" s="1062"/>
      <c r="T492" s="1062"/>
      <c r="U492" s="1062"/>
      <c r="V492" s="1062"/>
      <c r="W492" s="1062"/>
      <c r="X492" s="1062"/>
      <c r="Y492" s="1062"/>
      <c r="Z492" s="1062"/>
      <c r="AA492" s="1062"/>
      <c r="AB492" s="1062"/>
      <c r="AC492" s="1062"/>
      <c r="AD492" s="1062"/>
      <c r="AE492" s="1062"/>
      <c r="AF492" s="1062"/>
      <c r="AG492" s="1062"/>
      <c r="AH492" s="1062"/>
      <c r="AI492" s="1062"/>
      <c r="AJ492" s="1062"/>
      <c r="AK492" s="1062"/>
      <c r="AL492" s="1062"/>
      <c r="AM492" s="1062"/>
      <c r="AN492" s="1062"/>
      <c r="AO492" s="1062"/>
      <c r="AP492" s="1063"/>
      <c r="AQ492" s="1060"/>
      <c r="AR492" s="1009"/>
    </row>
    <row r="493" spans="1:50" ht="12.5" customHeight="1" x14ac:dyDescent="0.2">
      <c r="A493" s="1009"/>
      <c r="B493" s="1070"/>
      <c r="C493" s="1074"/>
      <c r="D493" s="1076" t="s">
        <v>838</v>
      </c>
      <c r="E493" s="1077"/>
      <c r="F493" s="1077"/>
      <c r="G493" s="1077"/>
      <c r="H493" s="1074"/>
      <c r="I493" s="1068"/>
      <c r="J493" s="1068" t="e" vm="1">
        <v>#VALUE!</v>
      </c>
      <c r="K493" s="1068"/>
      <c r="L493" s="1068"/>
      <c r="M493" s="1068"/>
      <c r="N493" s="1065" t="s">
        <v>839</v>
      </c>
      <c r="O493" s="1066"/>
      <c r="P493" s="1067"/>
      <c r="Q493" s="1075" t="s">
        <v>828</v>
      </c>
      <c r="R493" s="1065" t="s">
        <v>840</v>
      </c>
      <c r="S493" s="1066"/>
      <c r="T493" s="1066"/>
      <c r="U493" s="1066"/>
      <c r="V493" s="1066"/>
      <c r="W493" s="1066"/>
      <c r="X493" s="1066"/>
      <c r="Y493" s="1066"/>
      <c r="Z493" s="1066"/>
      <c r="AA493" s="1067"/>
      <c r="AB493" s="1065" t="s">
        <v>830</v>
      </c>
      <c r="AC493" s="1066"/>
      <c r="AD493" s="1066"/>
      <c r="AE493" s="1066"/>
      <c r="AF493" s="1066"/>
      <c r="AG493" s="1066"/>
      <c r="AH493" s="1067"/>
      <c r="AI493" s="1065" t="s">
        <v>831</v>
      </c>
      <c r="AJ493" s="1066"/>
      <c r="AK493" s="1066"/>
      <c r="AL493" s="1066"/>
      <c r="AM493" s="1066"/>
      <c r="AN493" s="1066"/>
      <c r="AO493" s="1066"/>
      <c r="AP493" s="1067"/>
      <c r="AQ493" s="1068"/>
      <c r="AR493" s="1069"/>
      <c r="AS493" s="1070"/>
    </row>
    <row r="494" spans="1:50" ht="11.25" customHeight="1" x14ac:dyDescent="0.2">
      <c r="A494" s="1009"/>
      <c r="B494" s="1070"/>
      <c r="C494" s="1074"/>
      <c r="D494" s="1076"/>
      <c r="E494" s="1077"/>
      <c r="F494" s="1077"/>
      <c r="G494" s="1077"/>
      <c r="H494" s="1074"/>
      <c r="I494" s="1068"/>
      <c r="J494" s="1068"/>
      <c r="K494" s="1068"/>
      <c r="L494" s="1068"/>
      <c r="M494" s="1068"/>
      <c r="N494" s="1065" t="s">
        <v>841</v>
      </c>
      <c r="O494" s="1066"/>
      <c r="P494" s="1067"/>
      <c r="Q494" s="1075"/>
      <c r="R494" s="1065"/>
      <c r="S494" s="1066"/>
      <c r="T494" s="1066"/>
      <c r="U494" s="1066"/>
      <c r="V494" s="1066"/>
      <c r="W494" s="1066"/>
      <c r="X494" s="1066"/>
      <c r="Y494" s="1066"/>
      <c r="Z494" s="1066"/>
      <c r="AA494" s="1067"/>
      <c r="AB494" s="1065"/>
      <c r="AC494" s="1066"/>
      <c r="AD494" s="1066"/>
      <c r="AE494" s="1066"/>
      <c r="AF494" s="1066"/>
      <c r="AG494" s="1066"/>
      <c r="AH494" s="1067"/>
      <c r="AI494" s="1065"/>
      <c r="AJ494" s="1066"/>
      <c r="AK494" s="1066"/>
      <c r="AL494" s="1066"/>
      <c r="AM494" s="1066"/>
      <c r="AN494" s="1066"/>
      <c r="AO494" s="1066"/>
      <c r="AP494" s="1067"/>
      <c r="AQ494" s="1068"/>
      <c r="AR494" s="1069"/>
      <c r="AS494" s="1070"/>
    </row>
    <row r="495" spans="1:50" ht="1.25" customHeight="1" x14ac:dyDescent="0.2">
      <c r="A495" s="1009"/>
      <c r="B495" s="1070"/>
      <c r="C495" s="1074"/>
      <c r="D495" s="1076"/>
      <c r="E495" s="1077"/>
      <c r="F495" s="1077"/>
      <c r="G495" s="1077"/>
      <c r="H495" s="1074"/>
      <c r="I495" s="1068"/>
      <c r="J495" s="1068"/>
      <c r="K495" s="1068"/>
      <c r="L495" s="1068"/>
      <c r="M495" s="1068"/>
      <c r="N495" s="1065"/>
      <c r="O495" s="1066"/>
      <c r="P495" s="1067"/>
      <c r="Q495" s="1071" t="s">
        <v>833</v>
      </c>
      <c r="R495" s="1072"/>
      <c r="S495" s="1072"/>
      <c r="T495" s="1072"/>
      <c r="U495" s="1072"/>
      <c r="V495" s="1072"/>
      <c r="W495" s="1072"/>
      <c r="X495" s="1072"/>
      <c r="Y495" s="1072"/>
      <c r="Z495" s="1072"/>
      <c r="AA495" s="1072"/>
      <c r="AB495" s="1072"/>
      <c r="AC495" s="1072"/>
      <c r="AD495" s="1072"/>
      <c r="AE495" s="1072"/>
      <c r="AF495" s="1072"/>
      <c r="AG495" s="1072"/>
      <c r="AH495" s="1072"/>
      <c r="AI495" s="1072"/>
      <c r="AJ495" s="1072"/>
      <c r="AK495" s="1072"/>
      <c r="AL495" s="1072"/>
      <c r="AM495" s="1072"/>
      <c r="AN495" s="1072"/>
      <c r="AO495" s="1072"/>
      <c r="AP495" s="1073"/>
      <c r="AQ495" s="1068"/>
      <c r="AR495" s="1069"/>
      <c r="AS495" s="1070"/>
    </row>
    <row r="496" spans="1:50" ht="11.25" customHeight="1" x14ac:dyDescent="0.2">
      <c r="A496" s="1009"/>
      <c r="B496" s="1070"/>
      <c r="C496" s="1074"/>
      <c r="D496" s="1076"/>
      <c r="E496" s="1077"/>
      <c r="F496" s="1077"/>
      <c r="G496" s="1077"/>
      <c r="H496" s="1074"/>
      <c r="I496" s="1068"/>
      <c r="J496" s="1068"/>
      <c r="K496" s="1068"/>
      <c r="L496" s="1068"/>
      <c r="M496" s="1068"/>
      <c r="N496" s="1069"/>
      <c r="O496" s="1070"/>
      <c r="P496" s="1074"/>
      <c r="Q496" s="1071"/>
      <c r="R496" s="1072"/>
      <c r="S496" s="1072"/>
      <c r="T496" s="1072"/>
      <c r="U496" s="1072"/>
      <c r="V496" s="1072"/>
      <c r="W496" s="1072"/>
      <c r="X496" s="1072"/>
      <c r="Y496" s="1072"/>
      <c r="Z496" s="1072"/>
      <c r="AA496" s="1072"/>
      <c r="AB496" s="1072"/>
      <c r="AC496" s="1072"/>
      <c r="AD496" s="1072"/>
      <c r="AE496" s="1072"/>
      <c r="AF496" s="1072"/>
      <c r="AG496" s="1072"/>
      <c r="AH496" s="1072"/>
      <c r="AI496" s="1072"/>
      <c r="AJ496" s="1072"/>
      <c r="AK496" s="1072"/>
      <c r="AL496" s="1072"/>
      <c r="AM496" s="1072"/>
      <c r="AN496" s="1072"/>
      <c r="AO496" s="1072"/>
      <c r="AP496" s="1073"/>
      <c r="AQ496" s="1068"/>
      <c r="AR496" s="1069"/>
      <c r="AS496" s="1070"/>
    </row>
    <row r="497" spans="1:45" ht="12.5" customHeight="1" x14ac:dyDescent="0.2">
      <c r="A497" s="1009"/>
      <c r="B497" s="1010"/>
      <c r="C497" s="1059"/>
      <c r="D497" s="1029" t="s">
        <v>842</v>
      </c>
      <c r="E497" s="1030"/>
      <c r="F497" s="1030"/>
      <c r="G497" s="1030"/>
      <c r="I497" s="1060"/>
      <c r="J497" s="1060"/>
      <c r="K497" s="1060"/>
      <c r="L497" s="1060"/>
      <c r="M497" s="1060"/>
      <c r="N497" s="1011" t="s">
        <v>843</v>
      </c>
      <c r="O497" s="1012"/>
      <c r="P497" s="1040"/>
      <c r="Q497" s="1064" t="s">
        <v>828</v>
      </c>
      <c r="R497" s="1011" t="s">
        <v>844</v>
      </c>
      <c r="S497" s="1012"/>
      <c r="T497" s="1012"/>
      <c r="U497" s="1012"/>
      <c r="V497" s="1012"/>
      <c r="W497" s="1012"/>
      <c r="X497" s="1012"/>
      <c r="Y497" s="1012"/>
      <c r="Z497" s="1012"/>
      <c r="AA497" s="1040"/>
      <c r="AB497" s="1011" t="s">
        <v>830</v>
      </c>
      <c r="AC497" s="1012"/>
      <c r="AD497" s="1012"/>
      <c r="AE497" s="1012"/>
      <c r="AF497" s="1012"/>
      <c r="AG497" s="1012"/>
      <c r="AH497" s="1040"/>
      <c r="AI497" s="1011" t="s">
        <v>831</v>
      </c>
      <c r="AJ497" s="1012"/>
      <c r="AK497" s="1012"/>
      <c r="AL497" s="1012"/>
      <c r="AM497" s="1012"/>
      <c r="AN497" s="1012"/>
      <c r="AO497" s="1012"/>
      <c r="AP497" s="1040"/>
      <c r="AQ497" s="1060"/>
      <c r="AR497" s="1009"/>
    </row>
    <row r="498" spans="1:45" ht="11.25" customHeight="1" x14ac:dyDescent="0.2">
      <c r="A498" s="1009"/>
      <c r="B498" s="1010"/>
      <c r="C498" s="1059"/>
      <c r="D498" s="1029"/>
      <c r="E498" s="1030"/>
      <c r="F498" s="1030"/>
      <c r="G498" s="1030"/>
      <c r="I498" s="1060"/>
      <c r="J498" s="1060"/>
      <c r="K498" s="1060"/>
      <c r="L498" s="1060"/>
      <c r="M498" s="1060"/>
      <c r="N498" s="1011" t="s">
        <v>845</v>
      </c>
      <c r="O498" s="1012"/>
      <c r="P498" s="1040"/>
      <c r="Q498" s="1064"/>
      <c r="R498" s="1011"/>
      <c r="S498" s="1012"/>
      <c r="T498" s="1012"/>
      <c r="U498" s="1012"/>
      <c r="V498" s="1012"/>
      <c r="W498" s="1012"/>
      <c r="X498" s="1012"/>
      <c r="Y498" s="1012"/>
      <c r="Z498" s="1012"/>
      <c r="AA498" s="1040"/>
      <c r="AB498" s="1011"/>
      <c r="AC498" s="1012"/>
      <c r="AD498" s="1012"/>
      <c r="AE498" s="1012"/>
      <c r="AF498" s="1012"/>
      <c r="AG498" s="1012"/>
      <c r="AH498" s="1040"/>
      <c r="AI498" s="1011"/>
      <c r="AJ498" s="1012"/>
      <c r="AK498" s="1012"/>
      <c r="AL498" s="1012"/>
      <c r="AM498" s="1012"/>
      <c r="AN498" s="1012"/>
      <c r="AO498" s="1012"/>
      <c r="AP498" s="1040"/>
      <c r="AQ498" s="1060"/>
      <c r="AR498" s="1009"/>
    </row>
    <row r="499" spans="1:45" ht="1.25" customHeight="1" x14ac:dyDescent="0.2">
      <c r="A499" s="1009"/>
      <c r="B499" s="1010"/>
      <c r="C499" s="1059"/>
      <c r="D499" s="1029"/>
      <c r="E499" s="1030"/>
      <c r="F499" s="1030"/>
      <c r="G499" s="1030"/>
      <c r="I499" s="1060"/>
      <c r="J499" s="1060"/>
      <c r="K499" s="1060"/>
      <c r="L499" s="1060"/>
      <c r="M499" s="1060"/>
      <c r="N499" s="1011"/>
      <c r="O499" s="1012"/>
      <c r="P499" s="1040"/>
      <c r="Q499" s="1061" t="s">
        <v>833</v>
      </c>
      <c r="R499" s="1062"/>
      <c r="S499" s="1062"/>
      <c r="T499" s="1062"/>
      <c r="U499" s="1062"/>
      <c r="V499" s="1062"/>
      <c r="W499" s="1062"/>
      <c r="X499" s="1062"/>
      <c r="Y499" s="1062"/>
      <c r="Z499" s="1062"/>
      <c r="AA499" s="1062"/>
      <c r="AB499" s="1062"/>
      <c r="AC499" s="1062"/>
      <c r="AD499" s="1062"/>
      <c r="AE499" s="1062"/>
      <c r="AF499" s="1062"/>
      <c r="AG499" s="1062"/>
      <c r="AH499" s="1062"/>
      <c r="AI499" s="1062"/>
      <c r="AJ499" s="1062"/>
      <c r="AK499" s="1062"/>
      <c r="AL499" s="1062"/>
      <c r="AM499" s="1062"/>
      <c r="AN499" s="1062"/>
      <c r="AO499" s="1062"/>
      <c r="AP499" s="1063"/>
      <c r="AQ499" s="1060"/>
      <c r="AR499" s="1009"/>
    </row>
    <row r="500" spans="1:45" ht="11.25" customHeight="1" x14ac:dyDescent="0.2">
      <c r="A500" s="1009"/>
      <c r="B500" s="1010"/>
      <c r="C500" s="1059"/>
      <c r="D500" s="1029"/>
      <c r="E500" s="1030"/>
      <c r="F500" s="1030"/>
      <c r="G500" s="1030"/>
      <c r="I500" s="1060"/>
      <c r="J500" s="1060"/>
      <c r="K500" s="1060"/>
      <c r="L500" s="1060"/>
      <c r="M500" s="1060"/>
      <c r="N500" s="1009"/>
      <c r="O500" s="1010"/>
      <c r="P500" s="1059"/>
      <c r="Q500" s="1061"/>
      <c r="R500" s="1062"/>
      <c r="S500" s="1062"/>
      <c r="T500" s="1062"/>
      <c r="U500" s="1062"/>
      <c r="V500" s="1062"/>
      <c r="W500" s="1062"/>
      <c r="X500" s="1062"/>
      <c r="Y500" s="1062"/>
      <c r="Z500" s="1062"/>
      <c r="AA500" s="1062"/>
      <c r="AB500" s="1062"/>
      <c r="AC500" s="1062"/>
      <c r="AD500" s="1062"/>
      <c r="AE500" s="1062"/>
      <c r="AF500" s="1062"/>
      <c r="AG500" s="1062"/>
      <c r="AH500" s="1062"/>
      <c r="AI500" s="1062"/>
      <c r="AJ500" s="1062"/>
      <c r="AK500" s="1062"/>
      <c r="AL500" s="1062"/>
      <c r="AM500" s="1062"/>
      <c r="AN500" s="1062"/>
      <c r="AO500" s="1062"/>
      <c r="AP500" s="1063"/>
      <c r="AQ500" s="1060"/>
      <c r="AR500" s="1009"/>
    </row>
    <row r="501" spans="1:45" ht="12.5" customHeight="1" x14ac:dyDescent="0.2">
      <c r="A501" s="1009"/>
      <c r="B501" s="1070"/>
      <c r="C501" s="1074"/>
      <c r="D501" s="1076" t="s">
        <v>846</v>
      </c>
      <c r="E501" s="1077"/>
      <c r="F501" s="1077"/>
      <c r="G501" s="1077"/>
      <c r="H501" s="1074"/>
      <c r="I501" s="1068"/>
      <c r="J501" s="1068"/>
      <c r="K501" s="1068"/>
      <c r="L501" s="1068"/>
      <c r="M501" s="1068"/>
      <c r="N501" s="1065" t="s">
        <v>847</v>
      </c>
      <c r="O501" s="1066"/>
      <c r="P501" s="1067"/>
      <c r="Q501" s="1075" t="s">
        <v>828</v>
      </c>
      <c r="R501" s="1065" t="s">
        <v>844</v>
      </c>
      <c r="S501" s="1066"/>
      <c r="T501" s="1066"/>
      <c r="U501" s="1066"/>
      <c r="V501" s="1066"/>
      <c r="W501" s="1066"/>
      <c r="X501" s="1066"/>
      <c r="Y501" s="1066"/>
      <c r="Z501" s="1066"/>
      <c r="AA501" s="1067"/>
      <c r="AB501" s="1065" t="s">
        <v>830</v>
      </c>
      <c r="AC501" s="1066"/>
      <c r="AD501" s="1066"/>
      <c r="AE501" s="1066"/>
      <c r="AF501" s="1066"/>
      <c r="AG501" s="1066"/>
      <c r="AH501" s="1067"/>
      <c r="AI501" s="1065" t="s">
        <v>831</v>
      </c>
      <c r="AJ501" s="1066"/>
      <c r="AK501" s="1066"/>
      <c r="AL501" s="1066"/>
      <c r="AM501" s="1066"/>
      <c r="AN501" s="1066"/>
      <c r="AO501" s="1066"/>
      <c r="AP501" s="1067"/>
      <c r="AQ501" s="1068"/>
      <c r="AR501" s="1069"/>
      <c r="AS501" s="1070"/>
    </row>
    <row r="502" spans="1:45" ht="11.25" customHeight="1" x14ac:dyDescent="0.2">
      <c r="A502" s="1009"/>
      <c r="B502" s="1070"/>
      <c r="C502" s="1074"/>
      <c r="D502" s="1076"/>
      <c r="E502" s="1077"/>
      <c r="F502" s="1077"/>
      <c r="G502" s="1077"/>
      <c r="H502" s="1074"/>
      <c r="I502" s="1068"/>
      <c r="J502" s="1068"/>
      <c r="K502" s="1068"/>
      <c r="L502" s="1068"/>
      <c r="M502" s="1068"/>
      <c r="N502" s="1065" t="s">
        <v>848</v>
      </c>
      <c r="O502" s="1066"/>
      <c r="P502" s="1067"/>
      <c r="Q502" s="1075"/>
      <c r="R502" s="1065"/>
      <c r="S502" s="1066"/>
      <c r="T502" s="1066"/>
      <c r="U502" s="1066"/>
      <c r="V502" s="1066"/>
      <c r="W502" s="1066"/>
      <c r="X502" s="1066"/>
      <c r="Y502" s="1066"/>
      <c r="Z502" s="1066"/>
      <c r="AA502" s="1067"/>
      <c r="AB502" s="1065"/>
      <c r="AC502" s="1066"/>
      <c r="AD502" s="1066"/>
      <c r="AE502" s="1066"/>
      <c r="AF502" s="1066"/>
      <c r="AG502" s="1066"/>
      <c r="AH502" s="1067"/>
      <c r="AI502" s="1065"/>
      <c r="AJ502" s="1066"/>
      <c r="AK502" s="1066"/>
      <c r="AL502" s="1066"/>
      <c r="AM502" s="1066"/>
      <c r="AN502" s="1066"/>
      <c r="AO502" s="1066"/>
      <c r="AP502" s="1067"/>
      <c r="AQ502" s="1068"/>
      <c r="AR502" s="1069"/>
      <c r="AS502" s="1070"/>
    </row>
    <row r="503" spans="1:45" ht="1.25" customHeight="1" x14ac:dyDescent="0.2">
      <c r="A503" s="1009"/>
      <c r="B503" s="1070"/>
      <c r="C503" s="1074"/>
      <c r="D503" s="1076"/>
      <c r="E503" s="1077"/>
      <c r="F503" s="1077"/>
      <c r="G503" s="1077"/>
      <c r="H503" s="1074"/>
      <c r="I503" s="1068"/>
      <c r="J503" s="1068"/>
      <c r="K503" s="1068"/>
      <c r="L503" s="1068"/>
      <c r="M503" s="1068"/>
      <c r="N503" s="1065"/>
      <c r="O503" s="1066"/>
      <c r="P503" s="1067"/>
      <c r="Q503" s="1071" t="s">
        <v>833</v>
      </c>
      <c r="R503" s="1072"/>
      <c r="S503" s="1072"/>
      <c r="T503" s="1072"/>
      <c r="U503" s="1072"/>
      <c r="V503" s="1072"/>
      <c r="W503" s="1072"/>
      <c r="X503" s="1072"/>
      <c r="Y503" s="1072"/>
      <c r="Z503" s="1072"/>
      <c r="AA503" s="1072"/>
      <c r="AB503" s="1072"/>
      <c r="AC503" s="1072"/>
      <c r="AD503" s="1072"/>
      <c r="AE503" s="1072"/>
      <c r="AF503" s="1072"/>
      <c r="AG503" s="1072"/>
      <c r="AH503" s="1072"/>
      <c r="AI503" s="1072"/>
      <c r="AJ503" s="1072"/>
      <c r="AK503" s="1072"/>
      <c r="AL503" s="1072"/>
      <c r="AM503" s="1072"/>
      <c r="AN503" s="1072"/>
      <c r="AO503" s="1072"/>
      <c r="AP503" s="1073"/>
      <c r="AQ503" s="1068"/>
      <c r="AR503" s="1069"/>
      <c r="AS503" s="1070"/>
    </row>
    <row r="504" spans="1:45" ht="11.25" customHeight="1" x14ac:dyDescent="0.2">
      <c r="A504" s="1009"/>
      <c r="B504" s="1070"/>
      <c r="C504" s="1074"/>
      <c r="D504" s="1076"/>
      <c r="E504" s="1077"/>
      <c r="F504" s="1077"/>
      <c r="G504" s="1077"/>
      <c r="H504" s="1074"/>
      <c r="I504" s="1068"/>
      <c r="J504" s="1068"/>
      <c r="K504" s="1068"/>
      <c r="L504" s="1068"/>
      <c r="M504" s="1068"/>
      <c r="N504" s="1069"/>
      <c r="O504" s="1070"/>
      <c r="P504" s="1074"/>
      <c r="Q504" s="1071"/>
      <c r="R504" s="1072"/>
      <c r="S504" s="1072"/>
      <c r="T504" s="1072"/>
      <c r="U504" s="1072"/>
      <c r="V504" s="1072"/>
      <c r="W504" s="1072"/>
      <c r="X504" s="1072"/>
      <c r="Y504" s="1072"/>
      <c r="Z504" s="1072"/>
      <c r="AA504" s="1072"/>
      <c r="AB504" s="1072"/>
      <c r="AC504" s="1072"/>
      <c r="AD504" s="1072"/>
      <c r="AE504" s="1072"/>
      <c r="AF504" s="1072"/>
      <c r="AG504" s="1072"/>
      <c r="AH504" s="1072"/>
      <c r="AI504" s="1072"/>
      <c r="AJ504" s="1072"/>
      <c r="AK504" s="1072"/>
      <c r="AL504" s="1072"/>
      <c r="AM504" s="1072"/>
      <c r="AN504" s="1072"/>
      <c r="AO504" s="1072"/>
      <c r="AP504" s="1073"/>
      <c r="AQ504" s="1068"/>
      <c r="AR504" s="1069"/>
      <c r="AS504" s="1070"/>
    </row>
    <row r="505" spans="1:45" ht="12.5" customHeight="1" x14ac:dyDescent="0.2">
      <c r="A505" s="1009"/>
      <c r="B505" s="1010"/>
      <c r="C505" s="1059"/>
      <c r="D505" s="1029" t="s">
        <v>849</v>
      </c>
      <c r="E505" s="1030"/>
      <c r="F505" s="1030"/>
      <c r="G505" s="1030"/>
      <c r="I505" s="1060"/>
      <c r="J505" s="1060"/>
      <c r="K505" s="1060"/>
      <c r="L505" s="1060"/>
      <c r="M505" s="1060"/>
      <c r="N505" s="1011" t="s">
        <v>850</v>
      </c>
      <c r="O505" s="1012"/>
      <c r="P505" s="1040"/>
      <c r="Q505" s="1064" t="s">
        <v>828</v>
      </c>
      <c r="R505" s="1011" t="s">
        <v>851</v>
      </c>
      <c r="S505" s="1012"/>
      <c r="T505" s="1012"/>
      <c r="U505" s="1012"/>
      <c r="V505" s="1012"/>
      <c r="W505" s="1012"/>
      <c r="X505" s="1012"/>
      <c r="Y505" s="1012"/>
      <c r="Z505" s="1012"/>
      <c r="AA505" s="1040"/>
      <c r="AB505" s="1011" t="s">
        <v>852</v>
      </c>
      <c r="AC505" s="1012"/>
      <c r="AD505" s="1012"/>
      <c r="AE505" s="1012"/>
      <c r="AF505" s="1012"/>
      <c r="AG505" s="1012"/>
      <c r="AH505" s="1040"/>
      <c r="AI505" s="1011" t="s">
        <v>831</v>
      </c>
      <c r="AJ505" s="1012"/>
      <c r="AK505" s="1012"/>
      <c r="AL505" s="1012"/>
      <c r="AM505" s="1012"/>
      <c r="AN505" s="1012"/>
      <c r="AO505" s="1012"/>
      <c r="AP505" s="1040"/>
      <c r="AQ505" s="1060"/>
      <c r="AR505" s="1009"/>
    </row>
    <row r="506" spans="1:45" ht="12.5" customHeight="1" x14ac:dyDescent="0.2">
      <c r="A506" s="1009"/>
      <c r="B506" s="1010"/>
      <c r="C506" s="1059"/>
      <c r="D506" s="1029"/>
      <c r="E506" s="1030"/>
      <c r="F506" s="1030"/>
      <c r="G506" s="1030"/>
      <c r="I506" s="1060"/>
      <c r="J506" s="1060"/>
      <c r="K506" s="1060"/>
      <c r="L506" s="1060"/>
      <c r="M506" s="1060"/>
      <c r="N506" s="1011" t="s">
        <v>853</v>
      </c>
      <c r="O506" s="1012"/>
      <c r="P506" s="1040"/>
      <c r="Q506" s="1064"/>
      <c r="R506" s="1011"/>
      <c r="S506" s="1012"/>
      <c r="T506" s="1012"/>
      <c r="U506" s="1012"/>
      <c r="V506" s="1012"/>
      <c r="W506" s="1012"/>
      <c r="X506" s="1012"/>
      <c r="Y506" s="1012"/>
      <c r="Z506" s="1012"/>
      <c r="AA506" s="1040"/>
      <c r="AB506" s="1011"/>
      <c r="AC506" s="1012"/>
      <c r="AD506" s="1012"/>
      <c r="AE506" s="1012"/>
      <c r="AF506" s="1012"/>
      <c r="AG506" s="1012"/>
      <c r="AH506" s="1040"/>
      <c r="AI506" s="1011"/>
      <c r="AJ506" s="1012"/>
      <c r="AK506" s="1012"/>
      <c r="AL506" s="1012"/>
      <c r="AM506" s="1012"/>
      <c r="AN506" s="1012"/>
      <c r="AO506" s="1012"/>
      <c r="AP506" s="1040"/>
      <c r="AQ506" s="1060"/>
      <c r="AR506" s="1009"/>
    </row>
    <row r="507" spans="1:45" ht="10.25" customHeight="1" x14ac:dyDescent="0.2">
      <c r="A507" s="1009"/>
      <c r="B507" s="1010"/>
      <c r="C507" s="1059"/>
      <c r="D507" s="1029"/>
      <c r="E507" s="1030"/>
      <c r="F507" s="1030"/>
      <c r="G507" s="1030"/>
      <c r="I507" s="1060"/>
      <c r="J507" s="1060"/>
      <c r="K507" s="1060"/>
      <c r="L507" s="1060"/>
      <c r="M507" s="1060"/>
      <c r="N507" s="1009"/>
      <c r="O507" s="1010"/>
      <c r="P507" s="1059"/>
      <c r="Q507" s="1064"/>
      <c r="R507" s="1011"/>
      <c r="S507" s="1012"/>
      <c r="T507" s="1012"/>
      <c r="U507" s="1012"/>
      <c r="V507" s="1012"/>
      <c r="W507" s="1012"/>
      <c r="X507" s="1012"/>
      <c r="Y507" s="1012"/>
      <c r="Z507" s="1012"/>
      <c r="AA507" s="1040"/>
      <c r="AB507" s="1011"/>
      <c r="AC507" s="1012"/>
      <c r="AD507" s="1012"/>
      <c r="AE507" s="1012"/>
      <c r="AF507" s="1012"/>
      <c r="AG507" s="1012"/>
      <c r="AH507" s="1040"/>
      <c r="AI507" s="1011"/>
      <c r="AJ507" s="1012"/>
      <c r="AK507" s="1012"/>
      <c r="AL507" s="1012"/>
      <c r="AM507" s="1012"/>
      <c r="AN507" s="1012"/>
      <c r="AO507" s="1012"/>
      <c r="AP507" s="1040"/>
      <c r="AQ507" s="1060"/>
      <c r="AR507" s="1009"/>
    </row>
    <row r="508" spans="1:45" ht="12.5" customHeight="1" x14ac:dyDescent="0.2">
      <c r="A508" s="1009"/>
      <c r="B508" s="1010"/>
      <c r="C508" s="1059"/>
      <c r="D508" s="1029"/>
      <c r="E508" s="1030"/>
      <c r="F508" s="1030"/>
      <c r="G508" s="1030"/>
      <c r="I508" s="1060"/>
      <c r="J508" s="1060"/>
      <c r="K508" s="1060"/>
      <c r="L508" s="1060"/>
      <c r="M508" s="1060"/>
      <c r="N508" s="1009"/>
      <c r="O508" s="1010"/>
      <c r="P508" s="1059"/>
      <c r="Q508" s="1061" t="s">
        <v>833</v>
      </c>
      <c r="R508" s="1062"/>
      <c r="S508" s="1062"/>
      <c r="T508" s="1062"/>
      <c r="U508" s="1062"/>
      <c r="V508" s="1062"/>
      <c r="W508" s="1062"/>
      <c r="X508" s="1062"/>
      <c r="Y508" s="1062"/>
      <c r="Z508" s="1062"/>
      <c r="AA508" s="1062"/>
      <c r="AB508" s="1062"/>
      <c r="AC508" s="1062"/>
      <c r="AD508" s="1062"/>
      <c r="AE508" s="1062"/>
      <c r="AF508" s="1062"/>
      <c r="AG508" s="1062"/>
      <c r="AH508" s="1062"/>
      <c r="AI508" s="1062"/>
      <c r="AJ508" s="1062"/>
      <c r="AK508" s="1062"/>
      <c r="AL508" s="1062"/>
      <c r="AM508" s="1062"/>
      <c r="AN508" s="1062"/>
      <c r="AO508" s="1062"/>
      <c r="AP508" s="1063"/>
      <c r="AQ508" s="1060"/>
      <c r="AR508" s="1009"/>
    </row>
    <row r="509" spans="1:45" ht="12.5" customHeight="1" x14ac:dyDescent="0.2">
      <c r="A509" s="1009"/>
      <c r="B509" s="1070"/>
      <c r="C509" s="1074"/>
      <c r="D509" s="1076" t="s">
        <v>854</v>
      </c>
      <c r="E509" s="1077"/>
      <c r="F509" s="1077"/>
      <c r="G509" s="1077"/>
      <c r="H509" s="1074"/>
      <c r="I509" s="1068"/>
      <c r="J509" s="1068"/>
      <c r="K509" s="1068"/>
      <c r="L509" s="1068"/>
      <c r="M509" s="1068"/>
      <c r="N509" s="1065" t="s">
        <v>855</v>
      </c>
      <c r="O509" s="1066"/>
      <c r="P509" s="1067"/>
      <c r="Q509" s="1075" t="s">
        <v>828</v>
      </c>
      <c r="R509" s="1065" t="s">
        <v>856</v>
      </c>
      <c r="S509" s="1066"/>
      <c r="T509" s="1066"/>
      <c r="U509" s="1066"/>
      <c r="V509" s="1066"/>
      <c r="W509" s="1066"/>
      <c r="X509" s="1066"/>
      <c r="Y509" s="1066"/>
      <c r="Z509" s="1066"/>
      <c r="AA509" s="1067"/>
      <c r="AB509" s="1065" t="s">
        <v>852</v>
      </c>
      <c r="AC509" s="1066"/>
      <c r="AD509" s="1066"/>
      <c r="AE509" s="1066"/>
      <c r="AF509" s="1066"/>
      <c r="AG509" s="1066"/>
      <c r="AH509" s="1067"/>
      <c r="AI509" s="1065" t="s">
        <v>831</v>
      </c>
      <c r="AJ509" s="1066"/>
      <c r="AK509" s="1066"/>
      <c r="AL509" s="1066"/>
      <c r="AM509" s="1066"/>
      <c r="AN509" s="1066"/>
      <c r="AO509" s="1066"/>
      <c r="AP509" s="1067"/>
      <c r="AQ509" s="1068"/>
      <c r="AR509" s="1069"/>
      <c r="AS509" s="1070"/>
    </row>
    <row r="510" spans="1:45" ht="11.25" customHeight="1" x14ac:dyDescent="0.2">
      <c r="A510" s="1009"/>
      <c r="B510" s="1070"/>
      <c r="C510" s="1074"/>
      <c r="D510" s="1076"/>
      <c r="E510" s="1077"/>
      <c r="F510" s="1077"/>
      <c r="G510" s="1077"/>
      <c r="H510" s="1074"/>
      <c r="I510" s="1068"/>
      <c r="J510" s="1068"/>
      <c r="K510" s="1068"/>
      <c r="L510" s="1068"/>
      <c r="M510" s="1068"/>
      <c r="N510" s="1065" t="s">
        <v>857</v>
      </c>
      <c r="O510" s="1066"/>
      <c r="P510" s="1067"/>
      <c r="Q510" s="1075"/>
      <c r="R510" s="1065"/>
      <c r="S510" s="1066"/>
      <c r="T510" s="1066"/>
      <c r="U510" s="1066"/>
      <c r="V510" s="1066"/>
      <c r="W510" s="1066"/>
      <c r="X510" s="1066"/>
      <c r="Y510" s="1066"/>
      <c r="Z510" s="1066"/>
      <c r="AA510" s="1067"/>
      <c r="AB510" s="1065"/>
      <c r="AC510" s="1066"/>
      <c r="AD510" s="1066"/>
      <c r="AE510" s="1066"/>
      <c r="AF510" s="1066"/>
      <c r="AG510" s="1066"/>
      <c r="AH510" s="1067"/>
      <c r="AI510" s="1065"/>
      <c r="AJ510" s="1066"/>
      <c r="AK510" s="1066"/>
      <c r="AL510" s="1066"/>
      <c r="AM510" s="1066"/>
      <c r="AN510" s="1066"/>
      <c r="AO510" s="1066"/>
      <c r="AP510" s="1067"/>
      <c r="AQ510" s="1068"/>
      <c r="AR510" s="1069"/>
      <c r="AS510" s="1070"/>
    </row>
    <row r="511" spans="1:45" ht="1.25" customHeight="1" x14ac:dyDescent="0.2">
      <c r="A511" s="1009"/>
      <c r="B511" s="1070"/>
      <c r="C511" s="1074"/>
      <c r="D511" s="1076"/>
      <c r="E511" s="1077"/>
      <c r="F511" s="1077"/>
      <c r="G511" s="1077"/>
      <c r="H511" s="1074"/>
      <c r="I511" s="1068"/>
      <c r="J511" s="1068"/>
      <c r="K511" s="1068"/>
      <c r="L511" s="1068"/>
      <c r="M511" s="1068"/>
      <c r="N511" s="1065"/>
      <c r="O511" s="1066"/>
      <c r="P511" s="1067"/>
      <c r="Q511" s="1071" t="s">
        <v>833</v>
      </c>
      <c r="R511" s="1072"/>
      <c r="S511" s="1072"/>
      <c r="T511" s="1072"/>
      <c r="U511" s="1072"/>
      <c r="V511" s="1072"/>
      <c r="W511" s="1072"/>
      <c r="X511" s="1072"/>
      <c r="Y511" s="1072"/>
      <c r="Z511" s="1072"/>
      <c r="AA511" s="1072"/>
      <c r="AB511" s="1072"/>
      <c r="AC511" s="1072"/>
      <c r="AD511" s="1072"/>
      <c r="AE511" s="1072"/>
      <c r="AF511" s="1072"/>
      <c r="AG511" s="1072"/>
      <c r="AH511" s="1072"/>
      <c r="AI511" s="1072"/>
      <c r="AJ511" s="1072"/>
      <c r="AK511" s="1072"/>
      <c r="AL511" s="1072"/>
      <c r="AM511" s="1072"/>
      <c r="AN511" s="1072"/>
      <c r="AO511" s="1072"/>
      <c r="AP511" s="1073"/>
      <c r="AQ511" s="1068"/>
      <c r="AR511" s="1069"/>
      <c r="AS511" s="1070"/>
    </row>
    <row r="512" spans="1:45" ht="11.25" customHeight="1" x14ac:dyDescent="0.2">
      <c r="A512" s="1009"/>
      <c r="B512" s="1070"/>
      <c r="C512" s="1074"/>
      <c r="D512" s="1076"/>
      <c r="E512" s="1077"/>
      <c r="F512" s="1077"/>
      <c r="G512" s="1077"/>
      <c r="H512" s="1074"/>
      <c r="I512" s="1068"/>
      <c r="J512" s="1068"/>
      <c r="K512" s="1068"/>
      <c r="L512" s="1068"/>
      <c r="M512" s="1068"/>
      <c r="N512" s="1069"/>
      <c r="O512" s="1070"/>
      <c r="P512" s="1074"/>
      <c r="Q512" s="1071"/>
      <c r="R512" s="1072"/>
      <c r="S512" s="1072"/>
      <c r="T512" s="1072"/>
      <c r="U512" s="1072"/>
      <c r="V512" s="1072"/>
      <c r="W512" s="1072"/>
      <c r="X512" s="1072"/>
      <c r="Y512" s="1072"/>
      <c r="Z512" s="1072"/>
      <c r="AA512" s="1072"/>
      <c r="AB512" s="1072"/>
      <c r="AC512" s="1072"/>
      <c r="AD512" s="1072"/>
      <c r="AE512" s="1072"/>
      <c r="AF512" s="1072"/>
      <c r="AG512" s="1072"/>
      <c r="AH512" s="1072"/>
      <c r="AI512" s="1072"/>
      <c r="AJ512" s="1072"/>
      <c r="AK512" s="1072"/>
      <c r="AL512" s="1072"/>
      <c r="AM512" s="1072"/>
      <c r="AN512" s="1072"/>
      <c r="AO512" s="1072"/>
      <c r="AP512" s="1073"/>
      <c r="AQ512" s="1068"/>
      <c r="AR512" s="1069"/>
      <c r="AS512" s="1070"/>
    </row>
    <row r="513" spans="1:50" ht="12.5" customHeight="1" x14ac:dyDescent="0.2">
      <c r="A513" s="1009"/>
      <c r="B513" s="1010"/>
      <c r="C513" s="1059"/>
      <c r="D513" s="1029" t="s">
        <v>858</v>
      </c>
      <c r="E513" s="1030"/>
      <c r="F513" s="1030"/>
      <c r="G513" s="1030"/>
      <c r="I513" s="1060"/>
      <c r="J513" s="1060"/>
      <c r="K513" s="1060"/>
      <c r="L513" s="1060"/>
      <c r="M513" s="1060"/>
      <c r="N513" s="1011" t="s">
        <v>859</v>
      </c>
      <c r="O513" s="1012"/>
      <c r="P513" s="1040"/>
      <c r="Q513" s="1064" t="s">
        <v>828</v>
      </c>
      <c r="R513" s="1011" t="s">
        <v>860</v>
      </c>
      <c r="S513" s="1012"/>
      <c r="T513" s="1012"/>
      <c r="U513" s="1012"/>
      <c r="V513" s="1012"/>
      <c r="W513" s="1012"/>
      <c r="X513" s="1012"/>
      <c r="Y513" s="1012"/>
      <c r="Z513" s="1012"/>
      <c r="AA513" s="1040"/>
      <c r="AB513" s="1011" t="s">
        <v>852</v>
      </c>
      <c r="AC513" s="1012"/>
      <c r="AD513" s="1012"/>
      <c r="AE513" s="1012"/>
      <c r="AF513" s="1012"/>
      <c r="AG513" s="1012"/>
      <c r="AH513" s="1040"/>
      <c r="AI513" s="1011" t="s">
        <v>831</v>
      </c>
      <c r="AJ513" s="1012"/>
      <c r="AK513" s="1012"/>
      <c r="AL513" s="1012"/>
      <c r="AM513" s="1012"/>
      <c r="AN513" s="1012"/>
      <c r="AO513" s="1012"/>
      <c r="AP513" s="1040"/>
      <c r="AQ513" s="1060"/>
      <c r="AR513" s="1009"/>
    </row>
    <row r="514" spans="1:50" ht="11.25" customHeight="1" x14ac:dyDescent="0.2">
      <c r="A514" s="1009"/>
      <c r="B514" s="1010"/>
      <c r="C514" s="1059"/>
      <c r="D514" s="1029"/>
      <c r="E514" s="1030"/>
      <c r="F514" s="1030"/>
      <c r="G514" s="1030"/>
      <c r="I514" s="1060"/>
      <c r="J514" s="1060"/>
      <c r="K514" s="1060"/>
      <c r="L514" s="1060"/>
      <c r="M514" s="1060"/>
      <c r="N514" s="1011" t="s">
        <v>861</v>
      </c>
      <c r="O514" s="1012"/>
      <c r="P514" s="1040"/>
      <c r="Q514" s="1064"/>
      <c r="R514" s="1011"/>
      <c r="S514" s="1012"/>
      <c r="T514" s="1012"/>
      <c r="U514" s="1012"/>
      <c r="V514" s="1012"/>
      <c r="W514" s="1012"/>
      <c r="X514" s="1012"/>
      <c r="Y514" s="1012"/>
      <c r="Z514" s="1012"/>
      <c r="AA514" s="1040"/>
      <c r="AB514" s="1011"/>
      <c r="AC514" s="1012"/>
      <c r="AD514" s="1012"/>
      <c r="AE514" s="1012"/>
      <c r="AF514" s="1012"/>
      <c r="AG514" s="1012"/>
      <c r="AH514" s="1040"/>
      <c r="AI514" s="1011"/>
      <c r="AJ514" s="1012"/>
      <c r="AK514" s="1012"/>
      <c r="AL514" s="1012"/>
      <c r="AM514" s="1012"/>
      <c r="AN514" s="1012"/>
      <c r="AO514" s="1012"/>
      <c r="AP514" s="1040"/>
      <c r="AQ514" s="1060"/>
      <c r="AR514" s="1009"/>
    </row>
    <row r="515" spans="1:50" ht="1.25" customHeight="1" x14ac:dyDescent="0.2">
      <c r="A515" s="1009"/>
      <c r="B515" s="1010"/>
      <c r="C515" s="1059"/>
      <c r="D515" s="1029"/>
      <c r="E515" s="1030"/>
      <c r="F515" s="1030"/>
      <c r="G515" s="1030"/>
      <c r="I515" s="1060"/>
      <c r="J515" s="1060"/>
      <c r="K515" s="1060"/>
      <c r="L515" s="1060"/>
      <c r="M515" s="1060"/>
      <c r="N515" s="1011"/>
      <c r="O515" s="1012"/>
      <c r="P515" s="1040"/>
      <c r="Q515" s="1061" t="s">
        <v>833</v>
      </c>
      <c r="R515" s="1062"/>
      <c r="S515" s="1062"/>
      <c r="T515" s="1062"/>
      <c r="U515" s="1062"/>
      <c r="V515" s="1062"/>
      <c r="W515" s="1062"/>
      <c r="X515" s="1062"/>
      <c r="Y515" s="1062"/>
      <c r="Z515" s="1062"/>
      <c r="AA515" s="1062"/>
      <c r="AB515" s="1062"/>
      <c r="AC515" s="1062"/>
      <c r="AD515" s="1062"/>
      <c r="AE515" s="1062"/>
      <c r="AF515" s="1062"/>
      <c r="AG515" s="1062"/>
      <c r="AH515" s="1062"/>
      <c r="AI515" s="1062"/>
      <c r="AJ515" s="1062"/>
      <c r="AK515" s="1062"/>
      <c r="AL515" s="1062"/>
      <c r="AM515" s="1062"/>
      <c r="AN515" s="1062"/>
      <c r="AO515" s="1062"/>
      <c r="AP515" s="1063"/>
      <c r="AQ515" s="1060"/>
      <c r="AR515" s="1009"/>
    </row>
    <row r="516" spans="1:50" ht="11.25" customHeight="1" x14ac:dyDescent="0.2">
      <c r="A516" s="1009"/>
      <c r="B516" s="1010"/>
      <c r="C516" s="1059"/>
      <c r="D516" s="1029"/>
      <c r="E516" s="1030"/>
      <c r="F516" s="1030"/>
      <c r="G516" s="1030"/>
      <c r="I516" s="1060"/>
      <c r="J516" s="1060"/>
      <c r="K516" s="1060"/>
      <c r="L516" s="1060"/>
      <c r="M516" s="1060"/>
      <c r="N516" s="1009"/>
      <c r="O516" s="1010"/>
      <c r="P516" s="1059"/>
      <c r="Q516" s="1061"/>
      <c r="R516" s="1062"/>
      <c r="S516" s="1062"/>
      <c r="T516" s="1062"/>
      <c r="U516" s="1062"/>
      <c r="V516" s="1062"/>
      <c r="W516" s="1062"/>
      <c r="X516" s="1062"/>
      <c r="Y516" s="1062"/>
      <c r="Z516" s="1062"/>
      <c r="AA516" s="1062"/>
      <c r="AB516" s="1062"/>
      <c r="AC516" s="1062"/>
      <c r="AD516" s="1062"/>
      <c r="AE516" s="1062"/>
      <c r="AF516" s="1062"/>
      <c r="AG516" s="1062"/>
      <c r="AH516" s="1062"/>
      <c r="AI516" s="1062"/>
      <c r="AJ516" s="1062"/>
      <c r="AK516" s="1062"/>
      <c r="AL516" s="1062"/>
      <c r="AM516" s="1062"/>
      <c r="AN516" s="1062"/>
      <c r="AO516" s="1062"/>
      <c r="AP516" s="1063"/>
      <c r="AQ516" s="1060"/>
      <c r="AR516" s="1009"/>
    </row>
    <row r="517" spans="1:50" ht="12.5" customHeight="1" x14ac:dyDescent="0.2">
      <c r="A517" s="1009"/>
      <c r="B517" s="1070"/>
      <c r="C517" s="1074"/>
      <c r="D517" s="1076" t="s">
        <v>862</v>
      </c>
      <c r="E517" s="1077"/>
      <c r="F517" s="1077"/>
      <c r="G517" s="1077"/>
      <c r="H517" s="1074"/>
      <c r="I517" s="1068"/>
      <c r="J517" s="1068"/>
      <c r="K517" s="1068"/>
      <c r="L517" s="1068"/>
      <c r="M517" s="1068"/>
      <c r="N517" s="1065" t="s">
        <v>863</v>
      </c>
      <c r="O517" s="1066"/>
      <c r="P517" s="1067"/>
      <c r="Q517" s="1075" t="s">
        <v>828</v>
      </c>
      <c r="R517" s="1065" t="s">
        <v>856</v>
      </c>
      <c r="S517" s="1066"/>
      <c r="T517" s="1066"/>
      <c r="U517" s="1066"/>
      <c r="V517" s="1066"/>
      <c r="W517" s="1066"/>
      <c r="X517" s="1066"/>
      <c r="Y517" s="1066"/>
      <c r="Z517" s="1066"/>
      <c r="AA517" s="1067"/>
      <c r="AB517" s="1065" t="s">
        <v>852</v>
      </c>
      <c r="AC517" s="1066"/>
      <c r="AD517" s="1066"/>
      <c r="AE517" s="1066"/>
      <c r="AF517" s="1066"/>
      <c r="AG517" s="1066"/>
      <c r="AH517" s="1067"/>
      <c r="AI517" s="1065" t="s">
        <v>831</v>
      </c>
      <c r="AJ517" s="1066"/>
      <c r="AK517" s="1066"/>
      <c r="AL517" s="1066"/>
      <c r="AM517" s="1066"/>
      <c r="AN517" s="1066"/>
      <c r="AO517" s="1066"/>
      <c r="AP517" s="1067"/>
      <c r="AQ517" s="1068"/>
      <c r="AR517" s="1069"/>
      <c r="AS517" s="1070"/>
    </row>
    <row r="518" spans="1:50" ht="11.25" customHeight="1" x14ac:dyDescent="0.2">
      <c r="A518" s="1009"/>
      <c r="B518" s="1070"/>
      <c r="C518" s="1074"/>
      <c r="D518" s="1076"/>
      <c r="E518" s="1077"/>
      <c r="F518" s="1077"/>
      <c r="G518" s="1077"/>
      <c r="H518" s="1074"/>
      <c r="I518" s="1068"/>
      <c r="J518" s="1068"/>
      <c r="K518" s="1068"/>
      <c r="L518" s="1068"/>
      <c r="M518" s="1068"/>
      <c r="N518" s="1065" t="s">
        <v>864</v>
      </c>
      <c r="O518" s="1066"/>
      <c r="P518" s="1067"/>
      <c r="Q518" s="1075"/>
      <c r="R518" s="1065"/>
      <c r="S518" s="1066"/>
      <c r="T518" s="1066"/>
      <c r="U518" s="1066"/>
      <c r="V518" s="1066"/>
      <c r="W518" s="1066"/>
      <c r="X518" s="1066"/>
      <c r="Y518" s="1066"/>
      <c r="Z518" s="1066"/>
      <c r="AA518" s="1067"/>
      <c r="AB518" s="1065"/>
      <c r="AC518" s="1066"/>
      <c r="AD518" s="1066"/>
      <c r="AE518" s="1066"/>
      <c r="AF518" s="1066"/>
      <c r="AG518" s="1066"/>
      <c r="AH518" s="1067"/>
      <c r="AI518" s="1065"/>
      <c r="AJ518" s="1066"/>
      <c r="AK518" s="1066"/>
      <c r="AL518" s="1066"/>
      <c r="AM518" s="1066"/>
      <c r="AN518" s="1066"/>
      <c r="AO518" s="1066"/>
      <c r="AP518" s="1067"/>
      <c r="AQ518" s="1068"/>
      <c r="AR518" s="1069"/>
      <c r="AS518" s="1070"/>
    </row>
    <row r="519" spans="1:50" ht="1.25" customHeight="1" x14ac:dyDescent="0.2">
      <c r="A519" s="1009"/>
      <c r="B519" s="1070"/>
      <c r="C519" s="1074"/>
      <c r="D519" s="1076"/>
      <c r="E519" s="1077"/>
      <c r="F519" s="1077"/>
      <c r="G519" s="1077"/>
      <c r="H519" s="1074"/>
      <c r="I519" s="1068"/>
      <c r="J519" s="1068"/>
      <c r="K519" s="1068"/>
      <c r="L519" s="1068"/>
      <c r="M519" s="1068"/>
      <c r="N519" s="1065"/>
      <c r="O519" s="1066"/>
      <c r="P519" s="1067"/>
      <c r="Q519" s="1071" t="s">
        <v>833</v>
      </c>
      <c r="R519" s="1072"/>
      <c r="S519" s="1072"/>
      <c r="T519" s="1072"/>
      <c r="U519" s="1072"/>
      <c r="V519" s="1072"/>
      <c r="W519" s="1072"/>
      <c r="X519" s="1072"/>
      <c r="Y519" s="1072"/>
      <c r="Z519" s="1072"/>
      <c r="AA519" s="1072"/>
      <c r="AB519" s="1072"/>
      <c r="AC519" s="1072"/>
      <c r="AD519" s="1072"/>
      <c r="AE519" s="1072"/>
      <c r="AF519" s="1072"/>
      <c r="AG519" s="1072"/>
      <c r="AH519" s="1072"/>
      <c r="AI519" s="1072"/>
      <c r="AJ519" s="1072"/>
      <c r="AK519" s="1072"/>
      <c r="AL519" s="1072"/>
      <c r="AM519" s="1072"/>
      <c r="AN519" s="1072"/>
      <c r="AO519" s="1072"/>
      <c r="AP519" s="1073"/>
      <c r="AQ519" s="1068"/>
      <c r="AR519" s="1069"/>
      <c r="AS519" s="1070"/>
    </row>
    <row r="520" spans="1:50" ht="11.25" customHeight="1" x14ac:dyDescent="0.2">
      <c r="A520" s="1009"/>
      <c r="B520" s="1070"/>
      <c r="C520" s="1074"/>
      <c r="D520" s="1076"/>
      <c r="E520" s="1077"/>
      <c r="F520" s="1077"/>
      <c r="G520" s="1077"/>
      <c r="H520" s="1074"/>
      <c r="I520" s="1068"/>
      <c r="J520" s="1068"/>
      <c r="K520" s="1068"/>
      <c r="L520" s="1068"/>
      <c r="M520" s="1068"/>
      <c r="N520" s="1069"/>
      <c r="O520" s="1070"/>
      <c r="P520" s="1074"/>
      <c r="Q520" s="1071"/>
      <c r="R520" s="1072"/>
      <c r="S520" s="1072"/>
      <c r="T520" s="1072"/>
      <c r="U520" s="1072"/>
      <c r="V520" s="1072"/>
      <c r="W520" s="1072"/>
      <c r="X520" s="1072"/>
      <c r="Y520" s="1072"/>
      <c r="Z520" s="1072"/>
      <c r="AA520" s="1072"/>
      <c r="AB520" s="1072"/>
      <c r="AC520" s="1072"/>
      <c r="AD520" s="1072"/>
      <c r="AE520" s="1072"/>
      <c r="AF520" s="1072"/>
      <c r="AG520" s="1072"/>
      <c r="AH520" s="1072"/>
      <c r="AI520" s="1072"/>
      <c r="AJ520" s="1072"/>
      <c r="AK520" s="1072"/>
      <c r="AL520" s="1072"/>
      <c r="AM520" s="1072"/>
      <c r="AN520" s="1072"/>
      <c r="AO520" s="1072"/>
      <c r="AP520" s="1073"/>
      <c r="AQ520" s="1068"/>
      <c r="AR520" s="1069"/>
      <c r="AS520" s="1070"/>
    </row>
    <row r="521" spans="1:50" ht="12.5" customHeight="1" x14ac:dyDescent="0.2">
      <c r="A521" s="1009"/>
      <c r="B521" s="1010"/>
      <c r="C521" s="1059"/>
      <c r="D521" s="1029" t="s">
        <v>865</v>
      </c>
      <c r="E521" s="1030"/>
      <c r="F521" s="1030"/>
      <c r="G521" s="1030"/>
      <c r="I521" s="1060"/>
      <c r="J521" s="1060"/>
      <c r="K521" s="1060"/>
      <c r="L521" s="1060"/>
      <c r="M521" s="1060"/>
      <c r="N521" s="1011" t="s">
        <v>866</v>
      </c>
      <c r="O521" s="1012"/>
      <c r="P521" s="1040"/>
      <c r="Q521" s="1064" t="s">
        <v>828</v>
      </c>
      <c r="R521" s="1011" t="s">
        <v>860</v>
      </c>
      <c r="S521" s="1012"/>
      <c r="T521" s="1012"/>
      <c r="U521" s="1012"/>
      <c r="V521" s="1012"/>
      <c r="W521" s="1012"/>
      <c r="X521" s="1012"/>
      <c r="Y521" s="1012"/>
      <c r="Z521" s="1012"/>
      <c r="AA521" s="1040"/>
      <c r="AB521" s="1011" t="s">
        <v>852</v>
      </c>
      <c r="AC521" s="1012"/>
      <c r="AD521" s="1012"/>
      <c r="AE521" s="1012"/>
      <c r="AF521" s="1012"/>
      <c r="AG521" s="1012"/>
      <c r="AH521" s="1040"/>
      <c r="AI521" s="1011" t="s">
        <v>831</v>
      </c>
      <c r="AJ521" s="1012"/>
      <c r="AK521" s="1012"/>
      <c r="AL521" s="1012"/>
      <c r="AM521" s="1012"/>
      <c r="AN521" s="1012"/>
      <c r="AO521" s="1012"/>
      <c r="AP521" s="1040"/>
      <c r="AQ521" s="1060"/>
      <c r="AR521" s="1009"/>
    </row>
    <row r="522" spans="1:50" ht="11.25" customHeight="1" x14ac:dyDescent="0.2">
      <c r="A522" s="1009"/>
      <c r="B522" s="1010"/>
      <c r="C522" s="1059"/>
      <c r="D522" s="1029"/>
      <c r="E522" s="1030"/>
      <c r="F522" s="1030"/>
      <c r="G522" s="1030"/>
      <c r="I522" s="1060"/>
      <c r="J522" s="1060"/>
      <c r="K522" s="1060"/>
      <c r="L522" s="1060"/>
      <c r="M522" s="1060"/>
      <c r="N522" s="1011" t="s">
        <v>867</v>
      </c>
      <c r="O522" s="1012"/>
      <c r="P522" s="1040"/>
      <c r="Q522" s="1064"/>
      <c r="R522" s="1011"/>
      <c r="S522" s="1012"/>
      <c r="T522" s="1012"/>
      <c r="U522" s="1012"/>
      <c r="V522" s="1012"/>
      <c r="W522" s="1012"/>
      <c r="X522" s="1012"/>
      <c r="Y522" s="1012"/>
      <c r="Z522" s="1012"/>
      <c r="AA522" s="1040"/>
      <c r="AB522" s="1011"/>
      <c r="AC522" s="1012"/>
      <c r="AD522" s="1012"/>
      <c r="AE522" s="1012"/>
      <c r="AF522" s="1012"/>
      <c r="AG522" s="1012"/>
      <c r="AH522" s="1040"/>
      <c r="AI522" s="1011"/>
      <c r="AJ522" s="1012"/>
      <c r="AK522" s="1012"/>
      <c r="AL522" s="1012"/>
      <c r="AM522" s="1012"/>
      <c r="AN522" s="1012"/>
      <c r="AO522" s="1012"/>
      <c r="AP522" s="1040"/>
      <c r="AQ522" s="1060"/>
      <c r="AR522" s="1009"/>
    </row>
    <row r="523" spans="1:50" ht="1.25" customHeight="1" x14ac:dyDescent="0.2">
      <c r="A523" s="1009"/>
      <c r="B523" s="1010"/>
      <c r="C523" s="1059"/>
      <c r="D523" s="1029"/>
      <c r="E523" s="1030"/>
      <c r="F523" s="1030"/>
      <c r="G523" s="1030"/>
      <c r="I523" s="1060"/>
      <c r="J523" s="1060"/>
      <c r="K523" s="1060"/>
      <c r="L523" s="1060"/>
      <c r="M523" s="1060"/>
      <c r="N523" s="1011"/>
      <c r="O523" s="1012"/>
      <c r="P523" s="1040"/>
      <c r="Q523" s="1061" t="s">
        <v>833</v>
      </c>
      <c r="R523" s="1062"/>
      <c r="S523" s="1062"/>
      <c r="T523" s="1062"/>
      <c r="U523" s="1062"/>
      <c r="V523" s="1062"/>
      <c r="W523" s="1062"/>
      <c r="X523" s="1062"/>
      <c r="Y523" s="1062"/>
      <c r="Z523" s="1062"/>
      <c r="AA523" s="1062"/>
      <c r="AB523" s="1062"/>
      <c r="AC523" s="1062"/>
      <c r="AD523" s="1062"/>
      <c r="AE523" s="1062"/>
      <c r="AF523" s="1062"/>
      <c r="AG523" s="1062"/>
      <c r="AH523" s="1062"/>
      <c r="AI523" s="1062"/>
      <c r="AJ523" s="1062"/>
      <c r="AK523" s="1062"/>
      <c r="AL523" s="1062"/>
      <c r="AM523" s="1062"/>
      <c r="AN523" s="1062"/>
      <c r="AO523" s="1062"/>
      <c r="AP523" s="1063"/>
      <c r="AQ523" s="1060"/>
      <c r="AR523" s="1009"/>
    </row>
    <row r="524" spans="1:50" ht="11.25" customHeight="1" x14ac:dyDescent="0.2">
      <c r="A524" s="1009"/>
      <c r="B524" s="1010"/>
      <c r="C524" s="1059"/>
      <c r="D524" s="1029"/>
      <c r="E524" s="1030"/>
      <c r="F524" s="1030"/>
      <c r="G524" s="1030"/>
      <c r="I524" s="1060"/>
      <c r="J524" s="1060"/>
      <c r="K524" s="1060"/>
      <c r="L524" s="1060"/>
      <c r="M524" s="1060"/>
      <c r="N524" s="1009"/>
      <c r="O524" s="1010"/>
      <c r="P524" s="1059"/>
      <c r="Q524" s="1061"/>
      <c r="R524" s="1062"/>
      <c r="S524" s="1062"/>
      <c r="T524" s="1062"/>
      <c r="U524" s="1062"/>
      <c r="V524" s="1062"/>
      <c r="W524" s="1062"/>
      <c r="X524" s="1062"/>
      <c r="Y524" s="1062"/>
      <c r="Z524" s="1062"/>
      <c r="AA524" s="1062"/>
      <c r="AB524" s="1062"/>
      <c r="AC524" s="1062"/>
      <c r="AD524" s="1062"/>
      <c r="AE524" s="1062"/>
      <c r="AF524" s="1062"/>
      <c r="AG524" s="1062"/>
      <c r="AH524" s="1062"/>
      <c r="AI524" s="1062"/>
      <c r="AJ524" s="1062"/>
      <c r="AK524" s="1062"/>
      <c r="AL524" s="1062"/>
      <c r="AM524" s="1062"/>
      <c r="AN524" s="1062"/>
      <c r="AO524" s="1062"/>
      <c r="AP524" s="1063"/>
      <c r="AQ524" s="1060"/>
      <c r="AR524" s="1009"/>
    </row>
    <row r="525" spans="1:50" ht="12.5" customHeight="1" x14ac:dyDescent="0.2">
      <c r="A525" s="1010"/>
      <c r="B525" s="1010"/>
      <c r="C525" s="1010"/>
      <c r="D525" s="1010"/>
      <c r="E525" s="1010"/>
      <c r="F525" s="1010"/>
      <c r="G525" s="1010"/>
      <c r="H525" s="1010"/>
      <c r="I525" s="1010"/>
      <c r="J525" s="1010"/>
      <c r="K525" s="1010"/>
      <c r="L525" s="1010"/>
      <c r="M525" s="1010"/>
      <c r="N525" s="1010"/>
      <c r="O525" s="1010"/>
      <c r="P525" s="1010"/>
      <c r="Q525" s="1010"/>
      <c r="R525" s="1010"/>
      <c r="S525" s="1010"/>
      <c r="T525" s="1010"/>
      <c r="U525" s="1010"/>
      <c r="V525" s="1010"/>
      <c r="W525" s="1010"/>
      <c r="X525" s="1010"/>
      <c r="Y525" s="1010"/>
      <c r="Z525" s="1010"/>
      <c r="AA525" s="1010"/>
      <c r="AB525" s="1010"/>
      <c r="AC525" s="1010"/>
      <c r="AD525" s="1010"/>
      <c r="AE525" s="1010"/>
      <c r="AF525" s="1010"/>
      <c r="AG525" s="1010"/>
      <c r="AH525" s="1010"/>
      <c r="AI525" s="1010"/>
      <c r="AJ525" s="1010"/>
      <c r="AK525" s="1010"/>
      <c r="AL525" s="1010"/>
      <c r="AM525" s="1010"/>
      <c r="AN525" s="1010"/>
      <c r="AO525" s="1010"/>
      <c r="AP525" s="1010"/>
      <c r="AQ525" s="1010"/>
      <c r="AR525" s="1010"/>
      <c r="AS525" s="1010"/>
    </row>
    <row r="526" spans="1:50" ht="12.5" customHeight="1" x14ac:dyDescent="0.2">
      <c r="A526" s="1010"/>
      <c r="B526" s="1010"/>
      <c r="C526" s="1010"/>
      <c r="D526" s="1010"/>
      <c r="E526" s="1010"/>
      <c r="F526" s="1010"/>
      <c r="G526" s="1010"/>
      <c r="H526" s="1010"/>
      <c r="I526" s="1010"/>
      <c r="J526" s="1010"/>
      <c r="K526" s="1010"/>
      <c r="L526" s="1010"/>
      <c r="M526" s="1010"/>
      <c r="N526" s="1010"/>
      <c r="O526" s="1010"/>
      <c r="P526" s="1010"/>
      <c r="Q526" s="1010"/>
      <c r="R526" s="1010"/>
      <c r="S526" s="1010"/>
      <c r="T526" s="1010"/>
      <c r="U526" s="1010"/>
      <c r="V526" s="1010"/>
      <c r="W526" s="1010"/>
      <c r="X526" s="1010"/>
      <c r="Y526" s="1010"/>
      <c r="Z526" s="1010"/>
      <c r="AA526" s="1010"/>
      <c r="AB526" s="1010"/>
      <c r="AC526" s="1010"/>
      <c r="AD526" s="1010"/>
    </row>
    <row r="527" spans="1:50" ht="12.5" customHeight="1" x14ac:dyDescent="0.2">
      <c r="A527" s="1018"/>
      <c r="B527" s="1019"/>
      <c r="C527" s="1019"/>
      <c r="D527" s="1019"/>
      <c r="E527" s="1019"/>
      <c r="F527" s="1019"/>
      <c r="G527" s="1019"/>
      <c r="H527" s="1019"/>
      <c r="I527" s="1019"/>
      <c r="J527" s="1019"/>
      <c r="K527" s="1019"/>
      <c r="L527" s="1019"/>
      <c r="M527" s="1019"/>
      <c r="N527" s="1019"/>
      <c r="O527" s="1019"/>
      <c r="P527" s="1019"/>
      <c r="Q527" s="1019"/>
      <c r="R527" s="1019"/>
      <c r="S527" s="1019"/>
      <c r="T527" s="1019"/>
      <c r="U527" s="1019"/>
      <c r="V527" s="1019"/>
      <c r="W527" s="1019"/>
      <c r="X527" s="1019"/>
      <c r="Y527" s="1019"/>
      <c r="Z527" s="1019"/>
      <c r="AA527" s="1019"/>
      <c r="AB527" s="1019"/>
      <c r="AC527" s="1019"/>
      <c r="AD527" s="1019"/>
      <c r="AE527" s="1019"/>
      <c r="AF527" s="1019"/>
      <c r="AG527" s="1019"/>
      <c r="AH527" s="1019"/>
      <c r="AI527" s="1019"/>
      <c r="AJ527" s="1019"/>
      <c r="AK527" s="1019"/>
      <c r="AL527" s="1019"/>
      <c r="AM527" s="1019"/>
      <c r="AN527" s="1019"/>
      <c r="AO527" s="1019"/>
      <c r="AP527" s="1019"/>
      <c r="AQ527" s="1019"/>
      <c r="AR527" s="1019"/>
      <c r="AS527" s="1019"/>
      <c r="AT527" s="1019"/>
      <c r="AU527" s="1019"/>
      <c r="AV527" s="1019"/>
      <c r="AW527" s="1019"/>
      <c r="AX527" s="1019"/>
    </row>
    <row r="528" spans="1:50" ht="18.25" customHeight="1" x14ac:dyDescent="0.2">
      <c r="A528" s="1020" t="s">
        <v>868</v>
      </c>
      <c r="B528" s="1021"/>
      <c r="C528" s="1021"/>
      <c r="D528" s="1021"/>
      <c r="E528" s="1021"/>
      <c r="F528" s="1021"/>
      <c r="G528" s="1021"/>
      <c r="H528" s="1021"/>
      <c r="I528" s="1021"/>
      <c r="J528" s="1021"/>
      <c r="K528" s="1021"/>
      <c r="L528" s="1021"/>
      <c r="M528" s="1021"/>
      <c r="N528" s="1021"/>
      <c r="O528" s="1021"/>
      <c r="P528" s="1021"/>
      <c r="Q528" s="1021"/>
      <c r="R528" s="1021"/>
      <c r="S528" s="1021"/>
      <c r="T528" s="1021"/>
      <c r="U528" s="1021"/>
      <c r="V528" s="1021"/>
      <c r="W528" s="1021"/>
      <c r="X528" s="1021"/>
      <c r="Y528" s="1021"/>
      <c r="Z528" s="1021"/>
      <c r="AA528" s="1021"/>
      <c r="AB528" s="1021"/>
      <c r="AC528" s="1021"/>
      <c r="AD528" s="1021"/>
      <c r="AE528" s="1021"/>
      <c r="AF528" s="1021"/>
      <c r="AG528" s="1021"/>
      <c r="AH528" s="1021"/>
      <c r="AI528" s="1021"/>
      <c r="AJ528" s="1021"/>
      <c r="AK528" s="1021"/>
      <c r="AL528" s="1021"/>
      <c r="AM528" s="1021"/>
      <c r="AN528" s="1021"/>
      <c r="AO528" s="1021"/>
      <c r="AP528" s="1021"/>
      <c r="AQ528" s="1021"/>
      <c r="AR528" s="1021"/>
      <c r="AS528" s="1021"/>
      <c r="AT528" s="1021"/>
      <c r="AU528" s="1021"/>
      <c r="AV528" s="1021"/>
      <c r="AW528" s="1021"/>
      <c r="AX528" s="1021"/>
    </row>
    <row r="529" spans="1:50" ht="12.5" customHeight="1" x14ac:dyDescent="0.2">
      <c r="A529" s="1022"/>
      <c r="B529" s="1023"/>
      <c r="C529" s="1023"/>
      <c r="D529" s="1023"/>
      <c r="E529" s="1023"/>
      <c r="F529" s="1023"/>
      <c r="G529" s="1023"/>
      <c r="H529" s="1023"/>
      <c r="I529" s="1023"/>
      <c r="J529" s="1023"/>
      <c r="K529" s="1023"/>
      <c r="L529" s="1023"/>
      <c r="M529" s="1023"/>
      <c r="N529" s="1023"/>
      <c r="O529" s="1023"/>
      <c r="P529" s="1023"/>
      <c r="Q529" s="1023"/>
      <c r="R529" s="1023"/>
      <c r="S529" s="1023"/>
      <c r="T529" s="1023"/>
      <c r="U529" s="1023"/>
      <c r="V529" s="1023"/>
      <c r="W529" s="1023"/>
      <c r="X529" s="1023"/>
      <c r="Y529" s="1023"/>
      <c r="Z529" s="1023"/>
      <c r="AA529" s="1023"/>
      <c r="AB529" s="1023"/>
      <c r="AC529" s="1023"/>
      <c r="AD529" s="1023"/>
      <c r="AE529" s="1023"/>
      <c r="AF529" s="1023"/>
      <c r="AG529" s="1023"/>
      <c r="AH529" s="1023"/>
      <c r="AI529" s="1023"/>
      <c r="AJ529" s="1023"/>
      <c r="AK529" s="1023"/>
      <c r="AL529" s="1023"/>
      <c r="AM529" s="1023"/>
      <c r="AN529" s="1023"/>
      <c r="AO529" s="1023"/>
      <c r="AP529" s="1023"/>
      <c r="AQ529" s="1023"/>
      <c r="AR529" s="1023"/>
      <c r="AS529" s="1023"/>
      <c r="AT529" s="1023"/>
      <c r="AU529" s="1023"/>
      <c r="AV529" s="1023"/>
      <c r="AW529" s="1023"/>
      <c r="AX529" s="1023"/>
    </row>
    <row r="530" spans="1:50" ht="12.5" customHeight="1" x14ac:dyDescent="0.2">
      <c r="A530" s="1056" t="s">
        <v>869</v>
      </c>
      <c r="B530" s="1057"/>
      <c r="C530" s="1057"/>
      <c r="D530" s="1057"/>
      <c r="E530" s="1057"/>
      <c r="F530" s="1057"/>
      <c r="G530" s="1057"/>
      <c r="H530" s="1057"/>
      <c r="I530" s="1057"/>
      <c r="J530" s="1057"/>
      <c r="K530" s="1057"/>
      <c r="L530" s="1057"/>
      <c r="M530" s="1057"/>
      <c r="N530" s="1057"/>
      <c r="O530" s="1057"/>
      <c r="P530" s="1057"/>
      <c r="Q530" s="1057"/>
      <c r="R530" s="1057"/>
      <c r="S530" s="1057"/>
      <c r="T530" s="1057"/>
      <c r="U530" s="1057"/>
      <c r="V530" s="1057"/>
      <c r="W530" s="1057"/>
      <c r="X530" s="1057"/>
      <c r="Y530" s="1057"/>
      <c r="Z530" s="1057"/>
      <c r="AA530" s="1057"/>
      <c r="AB530" s="1057"/>
      <c r="AC530" s="1057"/>
      <c r="AD530" s="1057"/>
      <c r="AE530" s="1057"/>
      <c r="AF530" s="1057"/>
      <c r="AG530" s="1057"/>
      <c r="AH530" s="1057"/>
      <c r="AI530" s="1057"/>
      <c r="AJ530" s="1057"/>
      <c r="AK530" s="1057"/>
      <c r="AL530" s="1057"/>
      <c r="AM530" s="1057"/>
      <c r="AN530" s="1057"/>
      <c r="AO530" s="1057"/>
      <c r="AP530" s="1057"/>
      <c r="AQ530" s="1057"/>
      <c r="AR530" s="1057"/>
      <c r="AS530" s="1057"/>
      <c r="AT530" s="1057"/>
      <c r="AU530" s="1057"/>
      <c r="AV530" s="1057"/>
      <c r="AW530" s="1057"/>
      <c r="AX530" s="1057"/>
    </row>
    <row r="531" spans="1:50" ht="2.25" customHeight="1" x14ac:dyDescent="0.2">
      <c r="A531" s="1009"/>
      <c r="B531" s="1010"/>
      <c r="C531" s="1010"/>
      <c r="D531" s="1010"/>
      <c r="E531" s="1010"/>
      <c r="F531" s="1010"/>
      <c r="G531" s="1010"/>
      <c r="H531" s="1010"/>
      <c r="I531" s="1010"/>
      <c r="J531" s="1010"/>
      <c r="K531" s="1010"/>
      <c r="L531" s="1010"/>
      <c r="M531" s="1010"/>
      <c r="N531" s="1010"/>
      <c r="O531" s="1010"/>
      <c r="P531" s="1010"/>
      <c r="Q531" s="1010"/>
      <c r="R531" s="1010"/>
      <c r="S531" s="1010"/>
      <c r="T531" s="1010"/>
      <c r="U531" s="1010"/>
      <c r="V531" s="1010"/>
      <c r="W531" s="1010"/>
      <c r="X531" s="1010"/>
      <c r="Y531" s="1010"/>
      <c r="Z531" s="1010"/>
      <c r="AA531" s="1010"/>
      <c r="AB531" s="1010"/>
      <c r="AC531" s="1010"/>
      <c r="AD531" s="1010"/>
      <c r="AE531" s="1010"/>
      <c r="AF531" s="1010"/>
      <c r="AG531" s="1010"/>
      <c r="AH531" s="1010"/>
      <c r="AI531" s="1010"/>
      <c r="AJ531" s="1010"/>
      <c r="AK531" s="1010"/>
      <c r="AL531" s="1010"/>
      <c r="AM531" s="1010"/>
      <c r="AN531" s="1010"/>
      <c r="AO531" s="1010"/>
      <c r="AP531" s="1010"/>
      <c r="AQ531" s="1010"/>
      <c r="AR531" s="1010"/>
      <c r="AS531" s="1010"/>
      <c r="AT531" s="1010"/>
      <c r="AU531" s="1010"/>
      <c r="AV531" s="1010"/>
      <c r="AW531" s="1010"/>
      <c r="AX531" s="1010"/>
    </row>
    <row r="532" spans="1:50" ht="26" customHeight="1" x14ac:dyDescent="0.2">
      <c r="A532" s="1056" t="s">
        <v>870</v>
      </c>
      <c r="B532" s="1057"/>
      <c r="C532" s="1057"/>
      <c r="D532" s="1057"/>
      <c r="E532" s="1057"/>
      <c r="F532" s="1057"/>
      <c r="G532" s="1057"/>
      <c r="H532" s="1057"/>
      <c r="I532" s="1057"/>
      <c r="J532" s="1057"/>
      <c r="K532" s="1057"/>
      <c r="L532" s="1057"/>
      <c r="M532" s="1057"/>
      <c r="N532" s="1057"/>
      <c r="O532" s="1058"/>
      <c r="P532" s="1011" t="s">
        <v>871</v>
      </c>
      <c r="Q532" s="1012"/>
      <c r="R532" s="1012"/>
      <c r="S532" s="1012"/>
      <c r="T532" s="1012"/>
      <c r="U532" s="1012"/>
      <c r="V532" s="1012"/>
      <c r="W532" s="1012"/>
      <c r="X532" s="1012"/>
      <c r="Y532" s="1012"/>
      <c r="Z532" s="1012"/>
      <c r="AA532" s="1012"/>
      <c r="AB532" s="1012"/>
      <c r="AC532" s="1012"/>
      <c r="AD532" s="1012"/>
      <c r="AE532" s="1012"/>
      <c r="AF532" s="1012"/>
      <c r="AG532" s="1012"/>
      <c r="AH532" s="1012"/>
      <c r="AI532" s="1012"/>
      <c r="AJ532" s="1012"/>
      <c r="AK532" s="1012"/>
      <c r="AL532" s="1012"/>
      <c r="AM532" s="1012"/>
      <c r="AN532" s="1012"/>
    </row>
    <row r="533" spans="1:50" ht="2.25" customHeight="1" x14ac:dyDescent="0.2">
      <c r="A533" s="1009"/>
      <c r="B533" s="1010"/>
      <c r="C533" s="1010"/>
      <c r="D533" s="1010"/>
      <c r="E533" s="1010"/>
      <c r="F533" s="1010"/>
      <c r="G533" s="1010"/>
      <c r="H533" s="1010"/>
      <c r="I533" s="1010"/>
      <c r="J533" s="1010"/>
      <c r="K533" s="1010"/>
      <c r="L533" s="1010"/>
      <c r="M533" s="1010"/>
      <c r="N533" s="1010"/>
      <c r="O533" s="1010"/>
      <c r="P533" s="1010"/>
      <c r="Q533" s="1010"/>
      <c r="R533" s="1010"/>
      <c r="S533" s="1010"/>
      <c r="T533" s="1010"/>
      <c r="U533" s="1010"/>
      <c r="V533" s="1010"/>
      <c r="W533" s="1010"/>
      <c r="X533" s="1010"/>
      <c r="Y533" s="1010"/>
      <c r="Z533" s="1010"/>
      <c r="AA533" s="1010"/>
      <c r="AB533" s="1010"/>
      <c r="AC533" s="1010"/>
      <c r="AD533" s="1010"/>
      <c r="AE533" s="1010"/>
      <c r="AF533" s="1010"/>
      <c r="AG533" s="1010"/>
      <c r="AH533" s="1010"/>
      <c r="AI533" s="1010"/>
      <c r="AJ533" s="1010"/>
      <c r="AK533" s="1010"/>
      <c r="AL533" s="1010"/>
      <c r="AM533" s="1010"/>
      <c r="AN533" s="1010"/>
      <c r="AO533" s="1010"/>
      <c r="AP533" s="1010"/>
      <c r="AQ533" s="1010"/>
      <c r="AR533" s="1010"/>
      <c r="AS533" s="1010"/>
      <c r="AT533" s="1010"/>
      <c r="AU533" s="1010"/>
      <c r="AV533" s="1010"/>
      <c r="AW533" s="1010"/>
      <c r="AX533" s="1010"/>
    </row>
    <row r="534" spans="1:50" ht="12.5" customHeight="1" x14ac:dyDescent="0.2">
      <c r="A534" s="1009"/>
      <c r="B534" s="1010"/>
      <c r="C534" s="1010"/>
      <c r="D534" s="1010"/>
      <c r="E534" s="1010"/>
      <c r="F534" s="1010"/>
      <c r="G534" s="1010"/>
      <c r="H534" s="1010"/>
      <c r="I534" s="1010"/>
      <c r="J534" s="1010"/>
      <c r="K534" s="1010"/>
      <c r="L534" s="1010"/>
      <c r="M534" s="1010"/>
      <c r="N534" s="1010"/>
      <c r="O534" s="1010"/>
      <c r="P534" s="1010"/>
      <c r="Q534" s="1010"/>
      <c r="R534" s="1010"/>
      <c r="S534" s="1010"/>
      <c r="T534" s="1010"/>
      <c r="U534" s="1010"/>
      <c r="V534" s="1010"/>
      <c r="W534" s="1010"/>
      <c r="X534" s="1010"/>
      <c r="Y534" s="1010"/>
      <c r="Z534" s="1010"/>
      <c r="AA534" s="1010"/>
      <c r="AB534" s="1010"/>
      <c r="AC534" s="1010"/>
      <c r="AD534" s="1010"/>
      <c r="AE534" s="1010"/>
      <c r="AF534" s="1010"/>
      <c r="AG534" s="1010"/>
      <c r="AH534" s="1010"/>
      <c r="AI534" s="1010"/>
      <c r="AJ534" s="1010"/>
      <c r="AK534" s="1010"/>
      <c r="AL534" s="1010"/>
      <c r="AM534" s="1010"/>
      <c r="AN534" s="1010"/>
      <c r="AO534" s="1010"/>
      <c r="AP534" s="1010"/>
      <c r="AQ534" s="1010"/>
      <c r="AR534" s="1010"/>
      <c r="AS534" s="1010"/>
      <c r="AT534" s="1010"/>
      <c r="AU534" s="1010"/>
      <c r="AV534" s="1010"/>
      <c r="AW534" s="1010"/>
      <c r="AX534" s="1010"/>
    </row>
    <row r="535" spans="1:50" ht="13.5" customHeight="1" x14ac:dyDescent="0.2">
      <c r="A535" s="1009"/>
      <c r="B535" s="1059"/>
      <c r="C535" s="1011" t="s">
        <v>872</v>
      </c>
      <c r="D535" s="1012"/>
      <c r="E535" s="1012"/>
      <c r="F535" s="1012"/>
      <c r="G535" s="1012"/>
      <c r="H535" s="1012"/>
      <c r="I535" s="1012"/>
      <c r="J535" s="1012"/>
      <c r="K535" s="1012"/>
      <c r="L535" s="1012"/>
      <c r="M535" s="1012"/>
      <c r="N535" s="1012"/>
      <c r="O535" s="1012"/>
      <c r="P535" s="1012"/>
      <c r="Q535" s="1012"/>
      <c r="R535" s="1012"/>
      <c r="S535" s="1012"/>
      <c r="T535" s="1012"/>
      <c r="U535" s="1012"/>
      <c r="V535" s="1012"/>
      <c r="W535" s="1012"/>
      <c r="X535" s="1012"/>
      <c r="Y535" s="1012"/>
      <c r="Z535" s="1012"/>
      <c r="AA535" s="1012"/>
      <c r="AB535" s="1012"/>
      <c r="AC535" s="1012"/>
      <c r="AD535" s="1012"/>
      <c r="AE535" s="1012"/>
      <c r="AF535" s="1012"/>
      <c r="AG535" s="1012"/>
      <c r="AH535" s="1012"/>
      <c r="AI535" s="1012"/>
      <c r="AJ535" s="1012"/>
      <c r="AK535" s="1012"/>
      <c r="AL535" s="1012"/>
      <c r="AM535" s="1012"/>
      <c r="AN535" s="1012"/>
      <c r="AO535" s="1012"/>
      <c r="AP535" s="1012"/>
      <c r="AQ535" s="1012"/>
      <c r="AR535" s="1012"/>
      <c r="AS535" s="1012"/>
      <c r="AT535" s="1012"/>
      <c r="AU535" s="1012"/>
      <c r="AV535" s="1040"/>
      <c r="AW535" s="1009"/>
      <c r="AX535" s="1010"/>
    </row>
    <row r="536" spans="1:50" ht="13.5" customHeight="1" x14ac:dyDescent="0.2">
      <c r="A536" s="1009"/>
      <c r="B536" s="1059"/>
      <c r="C536" s="1011" t="s">
        <v>873</v>
      </c>
      <c r="D536" s="1012"/>
      <c r="E536" s="1012"/>
      <c r="F536" s="1012"/>
      <c r="G536" s="1012"/>
      <c r="H536" s="1012"/>
      <c r="I536" s="1012"/>
      <c r="J536" s="1012"/>
      <c r="K536" s="1012"/>
      <c r="L536" s="1012"/>
      <c r="M536" s="1012"/>
      <c r="N536" s="1012"/>
      <c r="O536" s="1012"/>
      <c r="P536" s="1012"/>
      <c r="Q536" s="1012"/>
      <c r="R536" s="1012"/>
      <c r="S536" s="1012"/>
      <c r="T536" s="1012"/>
      <c r="U536" s="1012"/>
      <c r="V536" s="1012"/>
      <c r="W536" s="1012"/>
      <c r="X536" s="1012"/>
      <c r="Y536" s="1012"/>
      <c r="Z536" s="1012"/>
      <c r="AA536" s="1012"/>
      <c r="AB536" s="1012"/>
      <c r="AC536" s="1012"/>
      <c r="AD536" s="1012"/>
      <c r="AE536" s="1012"/>
      <c r="AF536" s="1012"/>
      <c r="AG536" s="1012"/>
      <c r="AH536" s="1012"/>
      <c r="AI536" s="1012"/>
      <c r="AJ536" s="1012"/>
      <c r="AK536" s="1012"/>
      <c r="AL536" s="1012"/>
      <c r="AM536" s="1012"/>
      <c r="AN536" s="1012"/>
      <c r="AO536" s="1012"/>
      <c r="AP536" s="1012"/>
      <c r="AQ536" s="1012"/>
      <c r="AR536" s="1012"/>
      <c r="AS536" s="1012"/>
      <c r="AT536" s="1012"/>
      <c r="AU536" s="1012"/>
      <c r="AV536" s="1040"/>
      <c r="AW536" s="1009"/>
      <c r="AX536" s="1010"/>
    </row>
    <row r="537" spans="1:50" ht="12.5" customHeight="1" x14ac:dyDescent="0.2">
      <c r="A537" s="1009"/>
      <c r="B537" s="1010"/>
      <c r="C537" s="1010"/>
      <c r="D537" s="1010"/>
      <c r="E537" s="1010"/>
      <c r="F537" s="1010"/>
      <c r="G537" s="1010"/>
      <c r="H537" s="1010"/>
      <c r="I537" s="1010"/>
      <c r="J537" s="1010"/>
      <c r="K537" s="1010"/>
      <c r="L537" s="1010"/>
      <c r="M537" s="1010"/>
      <c r="N537" s="1010"/>
      <c r="O537" s="1010"/>
      <c r="P537" s="1010"/>
      <c r="Q537" s="1010"/>
      <c r="R537" s="1010"/>
      <c r="S537" s="1010"/>
      <c r="T537" s="1010"/>
      <c r="U537" s="1010"/>
      <c r="V537" s="1010"/>
      <c r="W537" s="1010"/>
      <c r="X537" s="1010"/>
      <c r="Y537" s="1010"/>
      <c r="Z537" s="1010"/>
      <c r="AA537" s="1010"/>
      <c r="AB537" s="1010"/>
      <c r="AC537" s="1010"/>
      <c r="AD537" s="1010"/>
      <c r="AE537" s="1010"/>
      <c r="AF537" s="1010"/>
      <c r="AG537" s="1010"/>
      <c r="AH537" s="1010"/>
      <c r="AI537" s="1010"/>
      <c r="AJ537" s="1010"/>
      <c r="AK537" s="1010"/>
      <c r="AL537" s="1010"/>
      <c r="AM537" s="1010"/>
      <c r="AN537" s="1010"/>
      <c r="AO537" s="1010"/>
      <c r="AP537" s="1010"/>
      <c r="AQ537" s="1010"/>
      <c r="AR537" s="1010"/>
      <c r="AS537" s="1010"/>
      <c r="AT537" s="1010"/>
      <c r="AU537" s="1010"/>
      <c r="AV537" s="1010"/>
      <c r="AW537" s="1010"/>
      <c r="AX537" s="1010"/>
    </row>
    <row r="538" spans="1:50" ht="12.5" customHeight="1" x14ac:dyDescent="0.2">
      <c r="A538" s="1018"/>
      <c r="B538" s="1019"/>
      <c r="C538" s="1019"/>
      <c r="D538" s="1019"/>
      <c r="E538" s="1019"/>
      <c r="F538" s="1019"/>
      <c r="G538" s="1019"/>
      <c r="H538" s="1019"/>
      <c r="I538" s="1019"/>
      <c r="J538" s="1019"/>
      <c r="K538" s="1019"/>
      <c r="L538" s="1019"/>
      <c r="M538" s="1019"/>
      <c r="N538" s="1019"/>
      <c r="O538" s="1019"/>
      <c r="P538" s="1019"/>
      <c r="Q538" s="1019"/>
      <c r="R538" s="1019"/>
      <c r="S538" s="1019"/>
      <c r="T538" s="1019"/>
      <c r="U538" s="1019"/>
      <c r="V538" s="1019"/>
      <c r="W538" s="1019"/>
      <c r="X538" s="1019"/>
      <c r="Y538" s="1019"/>
      <c r="Z538" s="1019"/>
      <c r="AA538" s="1019"/>
      <c r="AB538" s="1019"/>
      <c r="AC538" s="1019"/>
      <c r="AD538" s="1019"/>
      <c r="AE538" s="1019"/>
      <c r="AF538" s="1019"/>
      <c r="AG538" s="1019"/>
      <c r="AH538" s="1019"/>
      <c r="AI538" s="1019"/>
      <c r="AJ538" s="1019"/>
      <c r="AK538" s="1019"/>
      <c r="AL538" s="1019"/>
      <c r="AM538" s="1019"/>
      <c r="AN538" s="1019"/>
      <c r="AO538" s="1019"/>
      <c r="AP538" s="1019"/>
      <c r="AQ538" s="1019"/>
      <c r="AR538" s="1019"/>
      <c r="AS538" s="1019"/>
      <c r="AT538" s="1019"/>
      <c r="AU538" s="1019"/>
      <c r="AV538" s="1019"/>
      <c r="AW538" s="1019"/>
      <c r="AX538" s="1019"/>
    </row>
    <row r="539" spans="1:50" ht="18.25" customHeight="1" x14ac:dyDescent="0.2">
      <c r="A539" s="1020" t="s">
        <v>874</v>
      </c>
      <c r="B539" s="1021"/>
      <c r="C539" s="1021"/>
      <c r="D539" s="1021"/>
      <c r="E539" s="1021"/>
      <c r="F539" s="1021"/>
      <c r="G539" s="1021"/>
      <c r="H539" s="1021"/>
      <c r="I539" s="1021"/>
      <c r="J539" s="1021"/>
      <c r="K539" s="1021"/>
      <c r="L539" s="1021"/>
      <c r="M539" s="1021"/>
      <c r="N539" s="1021"/>
      <c r="O539" s="1021"/>
      <c r="P539" s="1021"/>
      <c r="Q539" s="1021"/>
      <c r="R539" s="1021"/>
      <c r="S539" s="1021"/>
      <c r="T539" s="1021"/>
      <c r="U539" s="1021"/>
      <c r="V539" s="1021"/>
      <c r="W539" s="1021"/>
      <c r="X539" s="1021"/>
      <c r="Y539" s="1021"/>
      <c r="Z539" s="1021"/>
      <c r="AA539" s="1021"/>
      <c r="AB539" s="1021"/>
      <c r="AC539" s="1021"/>
      <c r="AD539" s="1021"/>
      <c r="AE539" s="1021"/>
      <c r="AF539" s="1021"/>
      <c r="AG539" s="1021"/>
      <c r="AH539" s="1021"/>
      <c r="AI539" s="1021"/>
      <c r="AJ539" s="1021"/>
      <c r="AK539" s="1021"/>
      <c r="AL539" s="1021"/>
      <c r="AM539" s="1021"/>
      <c r="AN539" s="1021"/>
      <c r="AO539" s="1021"/>
      <c r="AP539" s="1021"/>
      <c r="AQ539" s="1021"/>
      <c r="AR539" s="1021"/>
      <c r="AS539" s="1021"/>
      <c r="AT539" s="1021"/>
      <c r="AU539" s="1021"/>
      <c r="AV539" s="1021"/>
      <c r="AW539" s="1021"/>
      <c r="AX539" s="1021"/>
    </row>
    <row r="540" spans="1:50" ht="12.5" customHeight="1" x14ac:dyDescent="0.2">
      <c r="A540" s="1022"/>
      <c r="B540" s="1023"/>
      <c r="C540" s="1023"/>
      <c r="D540" s="1023"/>
      <c r="E540" s="1023"/>
      <c r="F540" s="1023"/>
      <c r="G540" s="1023"/>
      <c r="H540" s="1023"/>
      <c r="I540" s="1023"/>
      <c r="J540" s="1023"/>
      <c r="K540" s="1023"/>
      <c r="L540" s="1023"/>
      <c r="M540" s="1023"/>
      <c r="N540" s="1023"/>
      <c r="O540" s="1023"/>
      <c r="P540" s="1023"/>
      <c r="Q540" s="1023"/>
      <c r="R540" s="1023"/>
      <c r="S540" s="1023"/>
      <c r="T540" s="1023"/>
      <c r="U540" s="1023"/>
      <c r="V540" s="1023"/>
      <c r="W540" s="1023"/>
      <c r="X540" s="1023"/>
      <c r="Y540" s="1023"/>
      <c r="Z540" s="1023"/>
      <c r="AA540" s="1023"/>
      <c r="AB540" s="1023"/>
      <c r="AC540" s="1023"/>
      <c r="AD540" s="1023"/>
      <c r="AE540" s="1023"/>
      <c r="AF540" s="1023"/>
      <c r="AG540" s="1023"/>
      <c r="AH540" s="1023"/>
      <c r="AI540" s="1023"/>
      <c r="AJ540" s="1023"/>
      <c r="AK540" s="1023"/>
      <c r="AL540" s="1023"/>
      <c r="AM540" s="1023"/>
      <c r="AN540" s="1023"/>
      <c r="AO540" s="1023"/>
      <c r="AP540" s="1023"/>
      <c r="AQ540" s="1023"/>
      <c r="AR540" s="1023"/>
      <c r="AS540" s="1023"/>
      <c r="AT540" s="1023"/>
      <c r="AU540" s="1023"/>
      <c r="AV540" s="1023"/>
      <c r="AW540" s="1023"/>
      <c r="AX540" s="1023"/>
    </row>
    <row r="541" spans="1:50" ht="1.25" customHeight="1" x14ac:dyDescent="0.2">
      <c r="A541" s="1009"/>
      <c r="B541" s="1010"/>
      <c r="C541" s="1010"/>
      <c r="D541" s="1010"/>
      <c r="E541" s="1010"/>
      <c r="F541" s="1010"/>
      <c r="G541" s="1010"/>
      <c r="H541" s="1010"/>
      <c r="I541" s="1010"/>
      <c r="J541" s="1010"/>
      <c r="K541" s="1010"/>
      <c r="L541" s="1010"/>
      <c r="M541" s="1010"/>
      <c r="N541" s="1010"/>
      <c r="O541" s="1010"/>
      <c r="P541" s="1010"/>
      <c r="Q541" s="1010"/>
      <c r="R541" s="1010"/>
      <c r="S541" s="1010"/>
      <c r="T541" s="1010"/>
      <c r="U541" s="1010"/>
      <c r="V541" s="1010"/>
      <c r="W541" s="1010"/>
      <c r="X541" s="1010"/>
      <c r="Y541" s="1010"/>
      <c r="Z541" s="1010"/>
      <c r="AA541" s="1010"/>
      <c r="AB541" s="1010"/>
      <c r="AC541" s="1010"/>
      <c r="AD541" s="1010"/>
      <c r="AE541" s="1010"/>
      <c r="AF541" s="1010"/>
      <c r="AG541" s="1010"/>
      <c r="AH541" s="1010"/>
      <c r="AI541" s="1010"/>
      <c r="AJ541" s="1010"/>
      <c r="AK541" s="1010"/>
      <c r="AL541" s="1010"/>
      <c r="AM541" s="1010"/>
      <c r="AN541" s="1010"/>
      <c r="AO541" s="1010"/>
      <c r="AP541" s="1010"/>
      <c r="AQ541" s="1010"/>
      <c r="AR541" s="1010"/>
      <c r="AS541" s="1010"/>
      <c r="AT541" s="1010"/>
      <c r="AU541" s="1010"/>
      <c r="AV541" s="1010"/>
      <c r="AW541" s="1010"/>
      <c r="AX541" s="1010"/>
    </row>
    <row r="542" spans="1:50" ht="12.5" customHeight="1" x14ac:dyDescent="0.2">
      <c r="A542" s="1011" t="s">
        <v>1255</v>
      </c>
      <c r="B542" s="1012"/>
      <c r="C542" s="1012"/>
      <c r="D542" s="1012"/>
      <c r="E542" s="1012"/>
      <c r="F542" s="1012"/>
      <c r="G542" s="1012"/>
      <c r="H542" s="1012"/>
      <c r="I542" s="1012"/>
      <c r="J542" s="1012"/>
      <c r="K542" s="1012"/>
      <c r="L542" s="1012"/>
      <c r="M542" s="1012"/>
      <c r="N542" s="1012"/>
      <c r="O542" s="1012"/>
      <c r="P542" s="1012"/>
      <c r="Q542" s="1012"/>
      <c r="R542" s="1012"/>
      <c r="S542" s="1012"/>
      <c r="T542" s="1012"/>
      <c r="U542" s="1012"/>
      <c r="V542" s="1012"/>
      <c r="W542" s="1012"/>
      <c r="X542" s="1012"/>
      <c r="Y542" s="1012"/>
      <c r="Z542" s="1012"/>
      <c r="AA542" s="1012"/>
      <c r="AB542" s="1012"/>
      <c r="AC542" s="1012"/>
      <c r="AD542" s="1012"/>
      <c r="AE542" s="1012"/>
      <c r="AF542" s="1012"/>
      <c r="AG542" s="1012"/>
      <c r="AH542" s="1012"/>
      <c r="AI542" s="1012"/>
      <c r="AJ542" s="1012"/>
      <c r="AK542" s="1012"/>
      <c r="AL542" s="1012"/>
      <c r="AM542" s="1012"/>
      <c r="AN542" s="1012"/>
      <c r="AO542" s="1012"/>
      <c r="AP542" s="1012"/>
      <c r="AQ542" s="1012"/>
      <c r="AR542" s="1012"/>
      <c r="AS542" s="1012"/>
      <c r="AT542" s="1012"/>
      <c r="AU542" s="1012"/>
      <c r="AV542" s="1012"/>
      <c r="AW542" s="1012"/>
      <c r="AX542" s="1012"/>
    </row>
    <row r="543" spans="1:50" ht="1.25" customHeight="1" x14ac:dyDescent="0.2">
      <c r="A543" s="1009"/>
      <c r="B543" s="1010"/>
      <c r="C543" s="1010"/>
      <c r="D543" s="1010"/>
      <c r="E543" s="1010"/>
      <c r="F543" s="1010"/>
      <c r="G543" s="1010"/>
      <c r="H543" s="1010"/>
      <c r="I543" s="1010"/>
      <c r="J543" s="1010"/>
      <c r="K543" s="1010"/>
      <c r="L543" s="1010"/>
      <c r="M543" s="1010"/>
      <c r="N543" s="1010"/>
      <c r="O543" s="1010"/>
      <c r="P543" s="1010"/>
      <c r="Q543" s="1010"/>
      <c r="R543" s="1010"/>
      <c r="S543" s="1010"/>
      <c r="T543" s="1010"/>
      <c r="U543" s="1010"/>
      <c r="V543" s="1010"/>
      <c r="W543" s="1010"/>
      <c r="X543" s="1010"/>
      <c r="Y543" s="1010"/>
      <c r="Z543" s="1010"/>
      <c r="AA543" s="1010"/>
      <c r="AB543" s="1010"/>
      <c r="AC543" s="1010"/>
      <c r="AD543" s="1010"/>
      <c r="AE543" s="1010"/>
      <c r="AF543" s="1010"/>
      <c r="AG543" s="1010"/>
      <c r="AH543" s="1010"/>
      <c r="AI543" s="1010"/>
      <c r="AJ543" s="1010"/>
      <c r="AK543" s="1010"/>
      <c r="AL543" s="1010"/>
      <c r="AM543" s="1010"/>
      <c r="AN543" s="1010"/>
      <c r="AO543" s="1010"/>
      <c r="AP543" s="1010"/>
      <c r="AQ543" s="1010"/>
      <c r="AR543" s="1010"/>
      <c r="AS543" s="1010"/>
      <c r="AT543" s="1010"/>
      <c r="AU543" s="1010"/>
      <c r="AV543" s="1010"/>
      <c r="AW543" s="1010"/>
      <c r="AX543" s="1010"/>
    </row>
    <row r="544" spans="1:50" ht="1.25" customHeight="1" x14ac:dyDescent="0.2">
      <c r="A544" s="1009"/>
      <c r="B544" s="1010"/>
      <c r="C544" s="1010"/>
      <c r="D544" s="1010"/>
      <c r="E544" s="1010"/>
      <c r="F544" s="1010"/>
      <c r="G544" s="1010"/>
      <c r="H544" s="1010"/>
      <c r="I544" s="1010"/>
      <c r="J544" s="1010"/>
      <c r="K544" s="1010"/>
      <c r="L544" s="1010"/>
      <c r="M544" s="1010"/>
      <c r="N544" s="1010"/>
      <c r="O544" s="1010"/>
      <c r="P544" s="1010"/>
      <c r="Q544" s="1010"/>
      <c r="R544" s="1010"/>
      <c r="S544" s="1010"/>
      <c r="T544" s="1010"/>
      <c r="U544" s="1010"/>
      <c r="V544" s="1010"/>
      <c r="W544" s="1010"/>
      <c r="X544" s="1010"/>
      <c r="Y544" s="1010"/>
      <c r="Z544" s="1010"/>
      <c r="AA544" s="1010"/>
      <c r="AB544" s="1010"/>
      <c r="AC544" s="1010"/>
      <c r="AD544" s="1010"/>
      <c r="AE544" s="1010"/>
      <c r="AF544" s="1010"/>
      <c r="AG544" s="1010"/>
      <c r="AH544" s="1010"/>
      <c r="AI544" s="1010"/>
      <c r="AJ544" s="1010"/>
      <c r="AK544" s="1010"/>
      <c r="AL544" s="1010"/>
      <c r="AM544" s="1010"/>
      <c r="AN544" s="1010"/>
      <c r="AO544" s="1010"/>
      <c r="AP544" s="1010"/>
      <c r="AQ544" s="1010"/>
      <c r="AR544" s="1010"/>
      <c r="AS544" s="1010"/>
      <c r="AT544" s="1010"/>
      <c r="AU544" s="1010"/>
      <c r="AV544" s="1010"/>
      <c r="AW544" s="1010"/>
      <c r="AX544" s="1010"/>
    </row>
    <row r="545" spans="1:67" ht="12.5" customHeight="1" x14ac:dyDescent="0.2">
      <c r="A545" s="1011" t="s">
        <v>1256</v>
      </c>
      <c r="B545" s="1012"/>
      <c r="C545" s="1012"/>
      <c r="D545" s="1012"/>
      <c r="E545" s="1012"/>
      <c r="F545" s="1012"/>
      <c r="G545" s="1012"/>
      <c r="H545" s="1012"/>
      <c r="I545" s="1012"/>
      <c r="J545" s="1012"/>
      <c r="K545" s="1012"/>
      <c r="L545" s="1012"/>
      <c r="M545" s="1012"/>
      <c r="N545" s="1012"/>
      <c r="O545" s="1012"/>
      <c r="P545" s="1012"/>
      <c r="Q545" s="1012"/>
      <c r="R545" s="1012"/>
      <c r="S545" s="1012"/>
      <c r="T545" s="1012"/>
      <c r="U545" s="1012"/>
      <c r="V545" s="1012"/>
      <c r="W545" s="1012"/>
      <c r="X545" s="1012"/>
      <c r="Y545" s="1012"/>
      <c r="Z545" s="1012"/>
      <c r="AA545" s="1012"/>
      <c r="AB545" s="1012"/>
      <c r="AC545" s="1012"/>
      <c r="AD545" s="1012"/>
      <c r="AE545" s="1012"/>
      <c r="AF545" s="1012"/>
      <c r="AG545" s="1012"/>
      <c r="AH545" s="1012"/>
      <c r="AI545" s="1012"/>
      <c r="AJ545" s="1012"/>
      <c r="AK545" s="1012"/>
      <c r="AL545" s="1012"/>
      <c r="AM545" s="1012"/>
      <c r="AN545" s="1012"/>
      <c r="AO545" s="1012"/>
      <c r="AP545" s="1012"/>
      <c r="AQ545" s="1012"/>
      <c r="AR545" s="1012"/>
      <c r="AS545" s="1012"/>
      <c r="AT545" s="1012"/>
      <c r="AU545" s="1012"/>
      <c r="AV545" s="1012"/>
      <c r="AW545" s="1012"/>
      <c r="AX545" s="1012"/>
    </row>
    <row r="546" spans="1:67" ht="47.75" customHeight="1" x14ac:dyDescent="0.2">
      <c r="A546" s="1037"/>
      <c r="B546" s="1038"/>
      <c r="C546" s="1038"/>
      <c r="D546" s="1038"/>
      <c r="E546" s="1039"/>
      <c r="F546" s="1037"/>
      <c r="G546" s="1038"/>
      <c r="H546" s="1038"/>
      <c r="I546" s="1038"/>
      <c r="J546" s="1038"/>
      <c r="K546" s="1038"/>
      <c r="L546" s="1038"/>
      <c r="M546" s="1038"/>
      <c r="N546" s="1038"/>
      <c r="O546" s="1038"/>
      <c r="P546" s="1038"/>
      <c r="Q546" s="1038"/>
      <c r="R546" s="1038"/>
      <c r="S546" s="1038"/>
      <c r="T546" s="1038"/>
      <c r="U546" s="1038"/>
      <c r="V546" s="1039"/>
      <c r="W546" s="1037"/>
      <c r="X546" s="1038"/>
      <c r="Y546" s="1038"/>
      <c r="Z546" s="1039"/>
      <c r="AA546" s="1034" t="s">
        <v>875</v>
      </c>
      <c r="AB546" s="1035"/>
      <c r="AC546" s="1035"/>
      <c r="AD546" s="1035"/>
      <c r="AE546" s="1035"/>
      <c r="AF546" s="1035"/>
      <c r="AG546" s="1036"/>
      <c r="AH546" s="1037"/>
      <c r="AI546" s="1038"/>
      <c r="AJ546" s="1039"/>
      <c r="AK546" s="1037"/>
      <c r="AL546" s="1038"/>
      <c r="AM546" s="1038"/>
      <c r="AN546" s="1038"/>
      <c r="AO546" s="1039"/>
      <c r="AP546" s="1034" t="s">
        <v>825</v>
      </c>
      <c r="AQ546" s="1035"/>
      <c r="AR546" s="1035"/>
      <c r="AS546" s="1035"/>
      <c r="AT546" s="1035"/>
      <c r="AU546" s="1035"/>
      <c r="AV546" s="1035"/>
      <c r="AW546" s="1035"/>
      <c r="AX546" s="1035"/>
      <c r="AY546" s="1035"/>
      <c r="AZ546" s="1035"/>
      <c r="BA546" s="1036"/>
      <c r="BB546" s="1037"/>
      <c r="BC546" s="1038"/>
      <c r="BD546" s="1038"/>
      <c r="BE546" s="1039"/>
      <c r="BF546" s="1034" t="s">
        <v>876</v>
      </c>
      <c r="BG546" s="1035"/>
      <c r="BH546" s="1035"/>
      <c r="BI546" s="1035"/>
      <c r="BJ546" s="1035"/>
      <c r="BK546" s="1035"/>
      <c r="BL546" s="1036"/>
      <c r="BM546" s="367"/>
    </row>
    <row r="547" spans="1:67" ht="10.25" customHeight="1" x14ac:dyDescent="0.2">
      <c r="A547" s="1037"/>
      <c r="B547" s="1038"/>
      <c r="C547" s="1038"/>
      <c r="D547" s="1038"/>
      <c r="E547" s="1039"/>
      <c r="F547" s="1047" t="s">
        <v>877</v>
      </c>
      <c r="G547" s="1048"/>
      <c r="H547" s="1048"/>
      <c r="I547" s="1048"/>
      <c r="J547" s="1048"/>
      <c r="K547" s="1048"/>
      <c r="L547" s="1048"/>
      <c r="M547" s="1048"/>
      <c r="N547" s="1048"/>
      <c r="O547" s="1048"/>
      <c r="P547" s="1048"/>
      <c r="Q547" s="1048"/>
      <c r="R547" s="1048"/>
      <c r="S547" s="1048"/>
      <c r="T547" s="1048"/>
      <c r="U547" s="1048"/>
      <c r="V547" s="1049"/>
      <c r="W547" s="1034" t="s">
        <v>878</v>
      </c>
      <c r="X547" s="1035"/>
      <c r="Y547" s="1035"/>
      <c r="Z547" s="1036"/>
      <c r="AA547" s="1050" t="s">
        <v>879</v>
      </c>
      <c r="AB547" s="1051"/>
      <c r="AC547" s="1050" t="s">
        <v>880</v>
      </c>
      <c r="AD547" s="1052"/>
      <c r="AE547" s="1052"/>
      <c r="AF547" s="1052"/>
      <c r="AG547" s="1051"/>
      <c r="AH547" s="1053" t="s">
        <v>881</v>
      </c>
      <c r="AI547" s="1054"/>
      <c r="AJ547" s="1055"/>
      <c r="AK547" s="1034" t="s">
        <v>882</v>
      </c>
      <c r="AL547" s="1035"/>
      <c r="AM547" s="1035"/>
      <c r="AN547" s="1035"/>
      <c r="AO547" s="1036"/>
      <c r="AP547" s="1034" t="s">
        <v>883</v>
      </c>
      <c r="AQ547" s="1035"/>
      <c r="AR547" s="1035"/>
      <c r="AS547" s="1035"/>
      <c r="AT547" s="1035"/>
      <c r="AU547" s="1035"/>
      <c r="AV547" s="1035"/>
      <c r="AW547" s="1035"/>
      <c r="AX547" s="1035"/>
      <c r="AY547" s="1036"/>
      <c r="AZ547" s="1034" t="s">
        <v>884</v>
      </c>
      <c r="BA547" s="1036"/>
      <c r="BB547" s="1037"/>
      <c r="BC547" s="1038"/>
      <c r="BD547" s="1038"/>
      <c r="BE547" s="1039"/>
      <c r="BF547" s="1037"/>
      <c r="BG547" s="1038"/>
      <c r="BH547" s="1038"/>
      <c r="BI547" s="1039"/>
      <c r="BJ547" s="1037"/>
      <c r="BK547" s="1038"/>
      <c r="BL547" s="1039"/>
      <c r="BM547" s="1037"/>
    </row>
    <row r="548" spans="1:67" ht="13.5" customHeight="1" x14ac:dyDescent="0.2">
      <c r="A548" s="1037"/>
      <c r="B548" s="1038"/>
      <c r="C548" s="1038"/>
      <c r="D548" s="1038"/>
      <c r="E548" s="1039"/>
      <c r="F548" s="1047"/>
      <c r="G548" s="1048"/>
      <c r="H548" s="1048"/>
      <c r="I548" s="1048"/>
      <c r="J548" s="1048"/>
      <c r="K548" s="1048"/>
      <c r="L548" s="1048"/>
      <c r="M548" s="1048"/>
      <c r="N548" s="1048"/>
      <c r="O548" s="1048"/>
      <c r="P548" s="1048"/>
      <c r="Q548" s="1048"/>
      <c r="R548" s="1048"/>
      <c r="S548" s="1048"/>
      <c r="T548" s="1048"/>
      <c r="U548" s="1048"/>
      <c r="V548" s="1049"/>
      <c r="W548" s="1034"/>
      <c r="X548" s="1035"/>
      <c r="Y548" s="1035"/>
      <c r="Z548" s="1036"/>
      <c r="AA548" s="1050"/>
      <c r="AB548" s="1051"/>
      <c r="AC548" s="1050"/>
      <c r="AD548" s="1052"/>
      <c r="AE548" s="1052"/>
      <c r="AF548" s="1052"/>
      <c r="AG548" s="1051"/>
      <c r="AH548" s="1053"/>
      <c r="AI548" s="1054"/>
      <c r="AJ548" s="1055"/>
      <c r="AK548" s="1034"/>
      <c r="AL548" s="1035"/>
      <c r="AM548" s="1035"/>
      <c r="AN548" s="1035"/>
      <c r="AO548" s="1036"/>
      <c r="AP548" s="1034"/>
      <c r="AQ548" s="1035"/>
      <c r="AR548" s="1035"/>
      <c r="AS548" s="1035"/>
      <c r="AT548" s="1035"/>
      <c r="AU548" s="1035"/>
      <c r="AV548" s="1035"/>
      <c r="AW548" s="1035"/>
      <c r="AX548" s="1035"/>
      <c r="AY548" s="1036"/>
      <c r="AZ548" s="1034"/>
      <c r="BA548" s="1036"/>
      <c r="BB548" s="1034" t="s">
        <v>885</v>
      </c>
      <c r="BC548" s="1035"/>
      <c r="BD548" s="1035"/>
      <c r="BE548" s="1036"/>
      <c r="BF548" s="1034" t="s">
        <v>275</v>
      </c>
      <c r="BG548" s="1035"/>
      <c r="BH548" s="1035"/>
      <c r="BI548" s="1036"/>
      <c r="BJ548" s="1034" t="s">
        <v>886</v>
      </c>
      <c r="BK548" s="1035"/>
      <c r="BL548" s="1036"/>
      <c r="BM548" s="1037"/>
    </row>
    <row r="549" spans="1:67" ht="13.5" customHeight="1" x14ac:dyDescent="0.2">
      <c r="A549" s="1037"/>
      <c r="B549" s="1038"/>
      <c r="C549" s="1038"/>
      <c r="D549" s="1038"/>
      <c r="E549" s="1039"/>
      <c r="F549" s="1047"/>
      <c r="G549" s="1048"/>
      <c r="H549" s="1048"/>
      <c r="I549" s="1048"/>
      <c r="J549" s="1048"/>
      <c r="K549" s="1048"/>
      <c r="L549" s="1048"/>
      <c r="M549" s="1048"/>
      <c r="N549" s="1048"/>
      <c r="O549" s="1048"/>
      <c r="P549" s="1048"/>
      <c r="Q549" s="1048"/>
      <c r="R549" s="1048"/>
      <c r="S549" s="1048"/>
      <c r="T549" s="1048"/>
      <c r="U549" s="1048"/>
      <c r="V549" s="1049"/>
      <c r="W549" s="1034"/>
      <c r="X549" s="1035"/>
      <c r="Y549" s="1035"/>
      <c r="Z549" s="1036"/>
      <c r="AA549" s="1050"/>
      <c r="AB549" s="1051"/>
      <c r="AC549" s="1050"/>
      <c r="AD549" s="1052"/>
      <c r="AE549" s="1052"/>
      <c r="AF549" s="1052"/>
      <c r="AG549" s="1051"/>
      <c r="AH549" s="1053"/>
      <c r="AI549" s="1054"/>
      <c r="AJ549" s="1055"/>
      <c r="AK549" s="1034"/>
      <c r="AL549" s="1035"/>
      <c r="AM549" s="1035"/>
      <c r="AN549" s="1035"/>
      <c r="AO549" s="1036"/>
      <c r="AP549" s="1034"/>
      <c r="AQ549" s="1035"/>
      <c r="AR549" s="1035"/>
      <c r="AS549" s="1035"/>
      <c r="AT549" s="1035"/>
      <c r="AU549" s="1035"/>
      <c r="AV549" s="1035"/>
      <c r="AW549" s="1035"/>
      <c r="AX549" s="1035"/>
      <c r="AY549" s="1036"/>
      <c r="AZ549" s="1034"/>
      <c r="BA549" s="1036"/>
      <c r="BB549" s="1034" t="s">
        <v>887</v>
      </c>
      <c r="BC549" s="1035"/>
      <c r="BD549" s="1035"/>
      <c r="BE549" s="1036"/>
      <c r="BF549" s="1034" t="s">
        <v>888</v>
      </c>
      <c r="BG549" s="1035"/>
      <c r="BH549" s="1035"/>
      <c r="BI549" s="1036"/>
      <c r="BJ549" s="1034" t="s">
        <v>889</v>
      </c>
      <c r="BK549" s="1035"/>
      <c r="BL549" s="1036"/>
      <c r="BM549" s="1037"/>
    </row>
    <row r="550" spans="1:67" ht="10.25" customHeight="1" x14ac:dyDescent="0.2">
      <c r="A550" s="1037"/>
      <c r="B550" s="1038"/>
      <c r="C550" s="1038"/>
      <c r="D550" s="1038"/>
      <c r="E550" s="1039"/>
      <c r="F550" s="1047"/>
      <c r="G550" s="1048"/>
      <c r="H550" s="1048"/>
      <c r="I550" s="1048"/>
      <c r="J550" s="1048"/>
      <c r="K550" s="1048"/>
      <c r="L550" s="1048"/>
      <c r="M550" s="1048"/>
      <c r="N550" s="1048"/>
      <c r="O550" s="1048"/>
      <c r="P550" s="1048"/>
      <c r="Q550" s="1048"/>
      <c r="R550" s="1048"/>
      <c r="S550" s="1048"/>
      <c r="T550" s="1048"/>
      <c r="U550" s="1048"/>
      <c r="V550" s="1049"/>
      <c r="W550" s="1034"/>
      <c r="X550" s="1035"/>
      <c r="Y550" s="1035"/>
      <c r="Z550" s="1036"/>
      <c r="AA550" s="1050"/>
      <c r="AB550" s="1051"/>
      <c r="AC550" s="1050"/>
      <c r="AD550" s="1052"/>
      <c r="AE550" s="1052"/>
      <c r="AF550" s="1052"/>
      <c r="AG550" s="1051"/>
      <c r="AH550" s="1053"/>
      <c r="AI550" s="1054"/>
      <c r="AJ550" s="1055"/>
      <c r="AK550" s="1034"/>
      <c r="AL550" s="1035"/>
      <c r="AM550" s="1035"/>
      <c r="AN550" s="1035"/>
      <c r="AO550" s="1036"/>
      <c r="AP550" s="1034"/>
      <c r="AQ550" s="1035"/>
      <c r="AR550" s="1035"/>
      <c r="AS550" s="1035"/>
      <c r="AT550" s="1035"/>
      <c r="AU550" s="1035"/>
      <c r="AV550" s="1035"/>
      <c r="AW550" s="1035"/>
      <c r="AX550" s="1035"/>
      <c r="AY550" s="1036"/>
      <c r="AZ550" s="1034"/>
      <c r="BA550" s="1036"/>
      <c r="BB550" s="1037"/>
      <c r="BC550" s="1038"/>
      <c r="BD550" s="1038"/>
      <c r="BE550" s="1039"/>
      <c r="BF550" s="1037"/>
      <c r="BG550" s="1038"/>
      <c r="BH550" s="1038"/>
      <c r="BI550" s="1039"/>
      <c r="BJ550" s="1037"/>
      <c r="BK550" s="1038"/>
      <c r="BL550" s="1039"/>
      <c r="BM550" s="1037"/>
    </row>
    <row r="551" spans="1:67" ht="13.5" customHeight="1" x14ac:dyDescent="0.2">
      <c r="A551" s="1011" t="s">
        <v>826</v>
      </c>
      <c r="B551" s="1012"/>
      <c r="C551" s="1012"/>
      <c r="D551" s="1012"/>
      <c r="E551" s="1040"/>
      <c r="F551" s="1041" t="s">
        <v>890</v>
      </c>
      <c r="G551" s="1042"/>
      <c r="H551" s="1042"/>
      <c r="I551" s="1042"/>
      <c r="J551" s="1042"/>
      <c r="K551" s="1042"/>
      <c r="L551" s="1042"/>
      <c r="M551" s="1042"/>
      <c r="N551" s="1042"/>
      <c r="O551" s="1042"/>
      <c r="P551" s="1042"/>
      <c r="Q551" s="1042"/>
      <c r="R551" s="1042"/>
      <c r="S551" s="1042"/>
      <c r="T551" s="1042"/>
      <c r="U551" s="1042"/>
      <c r="V551" s="1043"/>
      <c r="W551" s="1013" t="s">
        <v>891</v>
      </c>
      <c r="X551" s="1014"/>
      <c r="Y551" s="1014"/>
      <c r="Z551" s="1015"/>
      <c r="AA551" s="1029" t="s">
        <v>828</v>
      </c>
      <c r="AB551" s="1031"/>
      <c r="AC551" s="1029" t="s">
        <v>535</v>
      </c>
      <c r="AD551" s="1030"/>
      <c r="AE551" s="1030"/>
      <c r="AF551" s="1030"/>
      <c r="AG551" s="1031"/>
      <c r="AH551" s="1044">
        <v>1</v>
      </c>
      <c r="AI551" s="1045"/>
      <c r="AJ551" s="1046"/>
      <c r="AK551" s="1013" t="s">
        <v>828</v>
      </c>
      <c r="AL551" s="1014"/>
      <c r="AM551" s="1014"/>
      <c r="AN551" s="1014"/>
      <c r="AO551" s="1015"/>
      <c r="AP551" s="1013" t="s">
        <v>831</v>
      </c>
      <c r="AQ551" s="1014"/>
      <c r="AR551" s="1014"/>
      <c r="AS551" s="1014"/>
      <c r="AT551" s="1014"/>
      <c r="AU551" s="1014"/>
      <c r="AV551" s="1014"/>
      <c r="AW551" s="1014"/>
      <c r="AX551" s="1014"/>
      <c r="AY551" s="1015"/>
      <c r="AZ551" s="1024">
        <v>45716</v>
      </c>
      <c r="BA551" s="1025"/>
      <c r="BB551" s="1026" t="s">
        <v>892</v>
      </c>
      <c r="BC551" s="1027"/>
      <c r="BD551" s="1027"/>
      <c r="BE551" s="1028"/>
      <c r="BF551" s="1029" t="s">
        <v>893</v>
      </c>
      <c r="BG551" s="1030"/>
      <c r="BH551" s="1030"/>
      <c r="BI551" s="1031"/>
      <c r="BJ551" s="1032">
        <v>0</v>
      </c>
      <c r="BK551" s="1033"/>
      <c r="BL551" s="1033"/>
    </row>
    <row r="552" spans="1:67" ht="12.5" customHeight="1" x14ac:dyDescent="0.2">
      <c r="A552" s="1010"/>
      <c r="B552" s="1010"/>
      <c r="C552" s="1010"/>
      <c r="D552" s="1010"/>
      <c r="E552" s="1010"/>
      <c r="F552" s="1010"/>
      <c r="G552" s="1010"/>
      <c r="H552" s="1010"/>
      <c r="I552" s="1010"/>
      <c r="J552" s="1010"/>
      <c r="K552" s="1010"/>
      <c r="L552" s="1010"/>
      <c r="M552" s="1010"/>
      <c r="N552" s="1010"/>
      <c r="O552" s="1010"/>
      <c r="P552" s="1010"/>
      <c r="Q552" s="1010"/>
      <c r="R552" s="1010"/>
      <c r="S552" s="1010"/>
      <c r="T552" s="1010"/>
      <c r="U552" s="1010"/>
      <c r="V552" s="1010"/>
      <c r="W552" s="1010"/>
      <c r="X552" s="1010"/>
      <c r="Y552" s="1010"/>
      <c r="Z552" s="1010"/>
      <c r="AA552" s="1010"/>
      <c r="AB552" s="1010"/>
      <c r="AC552" s="1010"/>
      <c r="AD552" s="1010"/>
      <c r="AE552" s="1010"/>
      <c r="AF552" s="1010"/>
      <c r="AG552" s="1010"/>
      <c r="AH552" s="1010"/>
      <c r="AI552" s="1010"/>
      <c r="AJ552" s="1010"/>
      <c r="AK552" s="1010"/>
      <c r="AL552" s="1010"/>
      <c r="AM552" s="1010"/>
      <c r="AN552" s="1010"/>
      <c r="AO552" s="1010"/>
      <c r="AP552" s="1010"/>
      <c r="AQ552" s="1010"/>
      <c r="AR552" s="1010"/>
      <c r="AS552" s="1010"/>
      <c r="AT552" s="1010"/>
      <c r="AU552" s="1010"/>
      <c r="AV552" s="1010"/>
      <c r="AW552" s="1010"/>
      <c r="AX552" s="1010"/>
      <c r="AY552" s="1010"/>
      <c r="AZ552" s="1010"/>
      <c r="BA552" s="1010"/>
      <c r="BB552" s="1010"/>
      <c r="BC552" s="1010"/>
      <c r="BD552" s="1010"/>
      <c r="BE552" s="1010"/>
      <c r="BF552" s="1010"/>
      <c r="BG552" s="1010"/>
      <c r="BH552" s="1010"/>
      <c r="BI552" s="1010"/>
      <c r="BJ552" s="1010"/>
      <c r="BK552" s="1010"/>
      <c r="BL552" s="1010"/>
      <c r="BM552" s="1010"/>
      <c r="BN552" s="1010"/>
      <c r="BO552" s="1010"/>
    </row>
    <row r="553" spans="1:67" ht="26" customHeight="1" x14ac:dyDescent="0.2">
      <c r="A553" s="1013" t="s">
        <v>894</v>
      </c>
      <c r="B553" s="1014"/>
      <c r="C553" s="1014"/>
      <c r="D553" s="1015"/>
      <c r="E553" s="1016" t="s">
        <v>895</v>
      </c>
      <c r="F553" s="1017"/>
      <c r="G553" s="1017"/>
      <c r="H553" s="1017"/>
      <c r="I553" s="1017"/>
      <c r="J553" s="1017"/>
      <c r="K553" s="1017"/>
      <c r="L553" s="1017"/>
      <c r="M553" s="1017"/>
      <c r="N553" s="1017"/>
      <c r="O553" s="1017"/>
      <c r="P553" s="1017"/>
      <c r="Q553" s="1017"/>
      <c r="R553" s="1017"/>
      <c r="S553" s="1017"/>
      <c r="T553" s="1017"/>
      <c r="U553" s="1017"/>
      <c r="V553" s="1017"/>
      <c r="W553" s="1017"/>
      <c r="X553" s="1017"/>
      <c r="Y553" s="1017"/>
      <c r="Z553" s="1017"/>
      <c r="AA553" s="1017"/>
      <c r="AB553" s="1017"/>
      <c r="AC553" s="1017"/>
      <c r="AD553" s="1017"/>
      <c r="AE553" s="1017"/>
      <c r="AF553" s="1017"/>
      <c r="AG553" s="1017"/>
      <c r="AH553" s="1017"/>
      <c r="AI553" s="1017"/>
      <c r="AJ553" s="1017"/>
      <c r="AK553" s="1017"/>
      <c r="AL553" s="1017"/>
      <c r="AM553" s="1017"/>
      <c r="AN553" s="1017"/>
      <c r="AO553" s="1017"/>
      <c r="AP553" s="1017"/>
      <c r="AQ553" s="1017"/>
      <c r="AR553" s="1017"/>
      <c r="AS553" s="1017"/>
    </row>
    <row r="554" spans="1:67" ht="12.5" customHeight="1" x14ac:dyDescent="0.2">
      <c r="A554" s="1018"/>
      <c r="B554" s="1019"/>
      <c r="C554" s="1019"/>
      <c r="D554" s="1019"/>
      <c r="E554" s="1019"/>
      <c r="F554" s="1019"/>
      <c r="G554" s="1019"/>
      <c r="H554" s="1019"/>
      <c r="I554" s="1019"/>
      <c r="J554" s="1019"/>
      <c r="K554" s="1019"/>
      <c r="L554" s="1019"/>
      <c r="M554" s="1019"/>
      <c r="N554" s="1019"/>
      <c r="O554" s="1019"/>
      <c r="P554" s="1019"/>
      <c r="Q554" s="1019"/>
      <c r="R554" s="1019"/>
      <c r="S554" s="1019"/>
      <c r="T554" s="1019"/>
      <c r="U554" s="1019"/>
      <c r="V554" s="1019"/>
      <c r="W554" s="1019"/>
      <c r="X554" s="1019"/>
      <c r="Y554" s="1019"/>
      <c r="Z554" s="1019"/>
      <c r="AA554" s="1019"/>
      <c r="AB554" s="1019"/>
      <c r="AC554" s="1019"/>
      <c r="AD554" s="1019"/>
      <c r="AE554" s="1019"/>
      <c r="AF554" s="1019"/>
      <c r="AG554" s="1019"/>
      <c r="AH554" s="1019"/>
      <c r="AI554" s="1019"/>
      <c r="AJ554" s="1019"/>
      <c r="AK554" s="1019"/>
      <c r="AL554" s="1019"/>
      <c r="AM554" s="1019"/>
      <c r="AN554" s="1019"/>
      <c r="AO554" s="1019"/>
      <c r="AP554" s="1019"/>
      <c r="AQ554" s="1019"/>
      <c r="AR554" s="1019"/>
      <c r="AS554" s="1019"/>
      <c r="AT554" s="1019"/>
      <c r="AU554" s="1019"/>
      <c r="AV554" s="1019"/>
      <c r="AW554" s="1019"/>
      <c r="AX554" s="1019"/>
    </row>
    <row r="555" spans="1:67" ht="18.25" customHeight="1" x14ac:dyDescent="0.2">
      <c r="A555" s="1020" t="s">
        <v>896</v>
      </c>
      <c r="B555" s="1021"/>
      <c r="C555" s="1021"/>
      <c r="D555" s="1021"/>
      <c r="E555" s="1021"/>
      <c r="F555" s="1021"/>
      <c r="G555" s="1021"/>
      <c r="H555" s="1021"/>
      <c r="I555" s="1021"/>
      <c r="J555" s="1021"/>
      <c r="K555" s="1021"/>
      <c r="L555" s="1021"/>
      <c r="M555" s="1021"/>
      <c r="N555" s="1021"/>
      <c r="O555" s="1021"/>
      <c r="P555" s="1021"/>
      <c r="Q555" s="1021"/>
      <c r="R555" s="1021"/>
      <c r="S555" s="1021"/>
      <c r="T555" s="1021"/>
      <c r="U555" s="1021"/>
      <c r="V555" s="1021"/>
      <c r="W555" s="1021"/>
      <c r="X555" s="1021"/>
      <c r="Y555" s="1021"/>
      <c r="Z555" s="1021"/>
      <c r="AA555" s="1021"/>
      <c r="AB555" s="1021"/>
      <c r="AC555" s="1021"/>
      <c r="AD555" s="1021"/>
      <c r="AE555" s="1021"/>
      <c r="AF555" s="1021"/>
      <c r="AG555" s="1021"/>
      <c r="AH555" s="1021"/>
      <c r="AI555" s="1021"/>
      <c r="AJ555" s="1021"/>
      <c r="AK555" s="1021"/>
      <c r="AL555" s="1021"/>
      <c r="AM555" s="1021"/>
      <c r="AN555" s="1021"/>
      <c r="AO555" s="1021"/>
      <c r="AP555" s="1021"/>
      <c r="AQ555" s="1021"/>
      <c r="AR555" s="1021"/>
      <c r="AS555" s="1021"/>
      <c r="AT555" s="1021"/>
      <c r="AU555" s="1021"/>
      <c r="AV555" s="1021"/>
      <c r="AW555" s="1021"/>
      <c r="AX555" s="1021"/>
    </row>
    <row r="556" spans="1:67" ht="12.5" customHeight="1" x14ac:dyDescent="0.2">
      <c r="A556" s="1022"/>
      <c r="B556" s="1023"/>
      <c r="C556" s="1023"/>
      <c r="D556" s="1023"/>
      <c r="E556" s="1023"/>
      <c r="F556" s="1023"/>
      <c r="G556" s="1023"/>
      <c r="H556" s="1023"/>
      <c r="I556" s="1023"/>
      <c r="J556" s="1023"/>
      <c r="K556" s="1023"/>
      <c r="L556" s="1023"/>
      <c r="M556" s="1023"/>
      <c r="N556" s="1023"/>
      <c r="O556" s="1023"/>
      <c r="P556" s="1023"/>
      <c r="Q556" s="1023"/>
      <c r="R556" s="1023"/>
      <c r="S556" s="1023"/>
      <c r="T556" s="1023"/>
      <c r="U556" s="1023"/>
      <c r="V556" s="1023"/>
      <c r="W556" s="1023"/>
      <c r="X556" s="1023"/>
      <c r="Y556" s="1023"/>
      <c r="Z556" s="1023"/>
      <c r="AA556" s="1023"/>
      <c r="AB556" s="1023"/>
      <c r="AC556" s="1023"/>
      <c r="AD556" s="1023"/>
      <c r="AE556" s="1023"/>
      <c r="AF556" s="1023"/>
      <c r="AG556" s="1023"/>
      <c r="AH556" s="1023"/>
      <c r="AI556" s="1023"/>
      <c r="AJ556" s="1023"/>
      <c r="AK556" s="1023"/>
      <c r="AL556" s="1023"/>
      <c r="AM556" s="1023"/>
      <c r="AN556" s="1023"/>
      <c r="AO556" s="1023"/>
      <c r="AP556" s="1023"/>
      <c r="AQ556" s="1023"/>
      <c r="AR556" s="1023"/>
      <c r="AS556" s="1023"/>
      <c r="AT556" s="1023"/>
      <c r="AU556" s="1023"/>
      <c r="AV556" s="1023"/>
      <c r="AW556" s="1023"/>
      <c r="AX556" s="1023"/>
    </row>
    <row r="557" spans="1:67" ht="12.5" customHeight="1" x14ac:dyDescent="0.2">
      <c r="A557" s="1009"/>
      <c r="B557" s="1010"/>
      <c r="C557" s="1010"/>
      <c r="D557" s="1010"/>
      <c r="E557" s="1010"/>
      <c r="F557" s="1010"/>
      <c r="G557" s="1010"/>
      <c r="H557" s="1010"/>
      <c r="I557" s="1010"/>
      <c r="J557" s="1010"/>
      <c r="K557" s="1010"/>
      <c r="L557" s="1010"/>
      <c r="M557" s="1010"/>
      <c r="N557" s="1010"/>
      <c r="O557" s="1010"/>
      <c r="P557" s="1010"/>
      <c r="Q557" s="1010"/>
      <c r="R557" s="1010"/>
      <c r="S557" s="1010"/>
      <c r="T557" s="1010"/>
      <c r="U557" s="1010"/>
      <c r="V557" s="1010"/>
      <c r="W557" s="1010"/>
      <c r="X557" s="1010"/>
      <c r="Y557" s="1010"/>
      <c r="Z557" s="1010"/>
      <c r="AA557" s="1010"/>
      <c r="AB557" s="1010"/>
      <c r="AC557" s="1010"/>
      <c r="AD557" s="1010"/>
      <c r="AE557" s="1010"/>
      <c r="AF557" s="1010"/>
      <c r="AG557" s="1010"/>
      <c r="AH557" s="1010"/>
      <c r="AI557" s="1010"/>
      <c r="AJ557" s="1010"/>
      <c r="AK557" s="1010"/>
      <c r="AL557" s="1010"/>
      <c r="AM557" s="1010"/>
      <c r="AN557" s="1010"/>
      <c r="AO557" s="1010"/>
      <c r="AP557" s="1010"/>
      <c r="AQ557" s="1010"/>
      <c r="AR557" s="1010"/>
      <c r="AS557" s="1010"/>
      <c r="AT557" s="1010"/>
      <c r="AU557" s="1010"/>
      <c r="AV557" s="1010"/>
      <c r="AW557" s="1010"/>
      <c r="AX557" s="1010"/>
    </row>
    <row r="558" spans="1:67" ht="13.5" customHeight="1" x14ac:dyDescent="0.2">
      <c r="A558" s="1011" t="s">
        <v>897</v>
      </c>
      <c r="B558" s="1012"/>
      <c r="C558" s="1012"/>
      <c r="D558" s="1012"/>
      <c r="E558" s="1012"/>
      <c r="F558" s="1012"/>
      <c r="G558" s="1012"/>
      <c r="H558" s="1012"/>
      <c r="I558" s="1012"/>
      <c r="J558" s="1012"/>
      <c r="K558" s="1012"/>
      <c r="L558" s="1012"/>
      <c r="M558" s="1012"/>
      <c r="N558" s="1012"/>
      <c r="O558" s="1012"/>
      <c r="P558" s="1012"/>
      <c r="Q558" s="1012"/>
      <c r="R558" s="1012"/>
      <c r="S558" s="1012"/>
      <c r="T558" s="1012"/>
      <c r="U558" s="1012"/>
      <c r="V558" s="1012"/>
      <c r="W558" s="1012"/>
      <c r="X558" s="1012"/>
      <c r="Y558" s="1012"/>
      <c r="Z558" s="1012"/>
      <c r="AA558" s="1012"/>
      <c r="AB558" s="1012"/>
      <c r="AC558" s="1012"/>
      <c r="AD558" s="1012"/>
      <c r="AE558" s="1012"/>
      <c r="AF558" s="1012"/>
      <c r="AG558" s="1012"/>
      <c r="AH558" s="1012"/>
      <c r="AI558" s="1012"/>
      <c r="AJ558" s="1012"/>
      <c r="AK558" s="1012"/>
      <c r="AL558" s="1012"/>
      <c r="AM558" s="1012"/>
      <c r="AN558" s="1012"/>
      <c r="AO558" s="1012"/>
      <c r="AP558" s="1012"/>
      <c r="AQ558" s="1012"/>
      <c r="AR558" s="1012"/>
      <c r="AS558" s="1012"/>
      <c r="AT558" s="1012"/>
      <c r="AU558" s="1012"/>
      <c r="AV558" s="1012"/>
      <c r="AW558" s="1012"/>
      <c r="AX558" s="1012"/>
    </row>
    <row r="559" spans="1:67" ht="12.5" customHeight="1" x14ac:dyDescent="0.2">
      <c r="A559" s="1009"/>
      <c r="B559" s="1010"/>
      <c r="C559" s="1010"/>
      <c r="D559" s="1010"/>
      <c r="E559" s="1010"/>
      <c r="F559" s="1010"/>
      <c r="G559" s="1010"/>
      <c r="H559" s="1010"/>
      <c r="I559" s="1010"/>
      <c r="J559" s="1010"/>
      <c r="K559" s="1010"/>
      <c r="L559" s="1010"/>
      <c r="M559" s="1010"/>
      <c r="N559" s="1010"/>
      <c r="O559" s="1010"/>
      <c r="P559" s="1010"/>
      <c r="Q559" s="1010"/>
      <c r="R559" s="1010"/>
      <c r="S559" s="1010"/>
      <c r="T559" s="1010"/>
      <c r="U559" s="1010"/>
      <c r="V559" s="1010"/>
      <c r="W559" s="1010"/>
      <c r="X559" s="1010"/>
      <c r="Y559" s="1010"/>
      <c r="Z559" s="1010"/>
      <c r="AA559" s="1010"/>
      <c r="AB559" s="1010"/>
      <c r="AC559" s="1010"/>
      <c r="AD559" s="1010"/>
      <c r="AE559" s="1010"/>
      <c r="AF559" s="1010"/>
      <c r="AG559" s="1010"/>
      <c r="AH559" s="1010"/>
      <c r="AI559" s="1010"/>
      <c r="AJ559" s="1010"/>
      <c r="AK559" s="1010"/>
      <c r="AL559" s="1010"/>
      <c r="AM559" s="1010"/>
      <c r="AN559" s="1010"/>
      <c r="AO559" s="1010"/>
      <c r="AP559" s="1010"/>
      <c r="AQ559" s="1010"/>
      <c r="AR559" s="1010"/>
      <c r="AS559" s="1010"/>
      <c r="AT559" s="1010"/>
      <c r="AU559" s="1010"/>
      <c r="AV559" s="1010"/>
      <c r="AW559" s="1010"/>
      <c r="AX559" s="1010"/>
    </row>
  </sheetData>
  <mergeCells count="3863">
    <mergeCell ref="A7:AX7"/>
    <mergeCell ref="A8:AX8"/>
    <mergeCell ref="A9:AX9"/>
    <mergeCell ref="A10:AX10"/>
    <mergeCell ref="A11:AX11"/>
    <mergeCell ref="A12:AX12"/>
    <mergeCell ref="B1:AY1"/>
    <mergeCell ref="A2:AX2"/>
    <mergeCell ref="A3:U3"/>
    <mergeCell ref="V3:AF3"/>
    <mergeCell ref="AG3:AX3"/>
    <mergeCell ref="A4:U4"/>
    <mergeCell ref="V4:AF5"/>
    <mergeCell ref="AG4:AX5"/>
    <mergeCell ref="A5:U6"/>
    <mergeCell ref="V6:AX6"/>
    <mergeCell ref="A20:U20"/>
    <mergeCell ref="V20:AX21"/>
    <mergeCell ref="A21:U21"/>
    <mergeCell ref="A22:AX22"/>
    <mergeCell ref="A23:AX23"/>
    <mergeCell ref="A24:AX24"/>
    <mergeCell ref="A16:U16"/>
    <mergeCell ref="V16:AX16"/>
    <mergeCell ref="A17:AX17"/>
    <mergeCell ref="A18:AX18"/>
    <mergeCell ref="A19:U19"/>
    <mergeCell ref="V19:AF19"/>
    <mergeCell ref="AG19:AX19"/>
    <mergeCell ref="A13:AX13"/>
    <mergeCell ref="A14:U14"/>
    <mergeCell ref="V14:AF14"/>
    <mergeCell ref="AG14:AX14"/>
    <mergeCell ref="A15:U15"/>
    <mergeCell ref="V15:AF15"/>
    <mergeCell ref="AG15:AX15"/>
    <mergeCell ref="O34:U35"/>
    <mergeCell ref="V35:AF36"/>
    <mergeCell ref="AG35:AX36"/>
    <mergeCell ref="A36:U37"/>
    <mergeCell ref="V37:AF37"/>
    <mergeCell ref="AG37:AX37"/>
    <mergeCell ref="A30:AX30"/>
    <mergeCell ref="A31:N31"/>
    <mergeCell ref="O31:U31"/>
    <mergeCell ref="V31:AF32"/>
    <mergeCell ref="AG31:AX32"/>
    <mergeCell ref="A32:N33"/>
    <mergeCell ref="O32:U33"/>
    <mergeCell ref="V33:AF34"/>
    <mergeCell ref="AG33:AX34"/>
    <mergeCell ref="A34:N35"/>
    <mergeCell ref="A25:AX25"/>
    <mergeCell ref="A26:AX26"/>
    <mergeCell ref="A27:AX27"/>
    <mergeCell ref="A28:N28"/>
    <mergeCell ref="O28:AX28"/>
    <mergeCell ref="A29:AX29"/>
    <mergeCell ref="O44:U45"/>
    <mergeCell ref="V45:AF46"/>
    <mergeCell ref="AG45:AX46"/>
    <mergeCell ref="A46:N47"/>
    <mergeCell ref="O46:U47"/>
    <mergeCell ref="V47:AF48"/>
    <mergeCell ref="AG47:AX48"/>
    <mergeCell ref="A48:N49"/>
    <mergeCell ref="O48:U49"/>
    <mergeCell ref="V49:AX50"/>
    <mergeCell ref="A38:AZ38"/>
    <mergeCell ref="A39:AX39"/>
    <mergeCell ref="A40:AX40"/>
    <mergeCell ref="A41:AX41"/>
    <mergeCell ref="A42:AX42"/>
    <mergeCell ref="A43:N43"/>
    <mergeCell ref="O43:U43"/>
    <mergeCell ref="V43:AF44"/>
    <mergeCell ref="AG43:AX44"/>
    <mergeCell ref="A44:N45"/>
    <mergeCell ref="A59:AX59"/>
    <mergeCell ref="A60:N60"/>
    <mergeCell ref="O60:AX60"/>
    <mergeCell ref="A61:AX61"/>
    <mergeCell ref="A62:N62"/>
    <mergeCell ref="O62:AX62"/>
    <mergeCell ref="A54:AX54"/>
    <mergeCell ref="A55:AX55"/>
    <mergeCell ref="A56:AX56"/>
    <mergeCell ref="A57:AX57"/>
    <mergeCell ref="A58:N58"/>
    <mergeCell ref="O58:AX58"/>
    <mergeCell ref="A50:N50"/>
    <mergeCell ref="O50:U50"/>
    <mergeCell ref="A51:AX51"/>
    <mergeCell ref="A52:N52"/>
    <mergeCell ref="O52:AX52"/>
    <mergeCell ref="A53:AX53"/>
    <mergeCell ref="A73:N73"/>
    <mergeCell ref="O73:AX73"/>
    <mergeCell ref="A74:N74"/>
    <mergeCell ref="O74:AX74"/>
    <mergeCell ref="A75:AX75"/>
    <mergeCell ref="A76:AX76"/>
    <mergeCell ref="A67:AX67"/>
    <mergeCell ref="A68:AX68"/>
    <mergeCell ref="A69:AX69"/>
    <mergeCell ref="A70:AX70"/>
    <mergeCell ref="A71:AX71"/>
    <mergeCell ref="A72:N72"/>
    <mergeCell ref="O72:AX72"/>
    <mergeCell ref="A63:AX63"/>
    <mergeCell ref="A64:N64"/>
    <mergeCell ref="O64:AX64"/>
    <mergeCell ref="A65:AX65"/>
    <mergeCell ref="A66:N66"/>
    <mergeCell ref="O66:AX66"/>
    <mergeCell ref="BH79:BJ79"/>
    <mergeCell ref="BK79:BK80"/>
    <mergeCell ref="BL79:BO79"/>
    <mergeCell ref="T80:W80"/>
    <mergeCell ref="Y80:AC80"/>
    <mergeCell ref="AE80:AI80"/>
    <mergeCell ref="AL80:AT80"/>
    <mergeCell ref="AV80:BB80"/>
    <mergeCell ref="BD80:BF80"/>
    <mergeCell ref="BH80:BJ80"/>
    <mergeCell ref="AL79:AT79"/>
    <mergeCell ref="AU79:AU80"/>
    <mergeCell ref="AV79:BB79"/>
    <mergeCell ref="BC79:BC80"/>
    <mergeCell ref="BD79:BF79"/>
    <mergeCell ref="BG79:BG80"/>
    <mergeCell ref="A77:BN77"/>
    <mergeCell ref="A78:AX78"/>
    <mergeCell ref="A79:R80"/>
    <mergeCell ref="S79:S80"/>
    <mergeCell ref="T79:W79"/>
    <mergeCell ref="X79:X80"/>
    <mergeCell ref="Y79:AC79"/>
    <mergeCell ref="AD79:AD80"/>
    <mergeCell ref="AE79:AI79"/>
    <mergeCell ref="AJ79:AK80"/>
    <mergeCell ref="BI82:BJ82"/>
    <mergeCell ref="BM82:BO82"/>
    <mergeCell ref="U83:W83"/>
    <mergeCell ref="Z83:AC83"/>
    <mergeCell ref="AF83:AI83"/>
    <mergeCell ref="AM83:AT83"/>
    <mergeCell ref="AX83:BB83"/>
    <mergeCell ref="BE83:BF83"/>
    <mergeCell ref="BI83:BJ83"/>
    <mergeCell ref="BM83:BO83"/>
    <mergeCell ref="U82:W82"/>
    <mergeCell ref="Z82:AC82"/>
    <mergeCell ref="AF82:AI82"/>
    <mergeCell ref="AM82:AT82"/>
    <mergeCell ref="AX82:BB82"/>
    <mergeCell ref="BE82:BF82"/>
    <mergeCell ref="BL80:BO80"/>
    <mergeCell ref="U81:W81"/>
    <mergeCell ref="Z81:AC81"/>
    <mergeCell ref="AF81:AI81"/>
    <mergeCell ref="AM81:AT81"/>
    <mergeCell ref="AX81:BB81"/>
    <mergeCell ref="BE81:BF81"/>
    <mergeCell ref="BI81:BJ81"/>
    <mergeCell ref="BM81:BO81"/>
    <mergeCell ref="BG84:BH84"/>
    <mergeCell ref="BI84:BJ84"/>
    <mergeCell ref="BK84:BL84"/>
    <mergeCell ref="BM84:BO84"/>
    <mergeCell ref="A85:R85"/>
    <mergeCell ref="S85:W85"/>
    <mergeCell ref="X85:AC85"/>
    <mergeCell ref="AD85:AI85"/>
    <mergeCell ref="AJ85:AT85"/>
    <mergeCell ref="AU85:BB85"/>
    <mergeCell ref="AJ84:AL84"/>
    <mergeCell ref="AM84:AT84"/>
    <mergeCell ref="AU84:AW84"/>
    <mergeCell ref="AX84:BB84"/>
    <mergeCell ref="BC84:BD84"/>
    <mergeCell ref="BE84:BF84"/>
    <mergeCell ref="S84:T84"/>
    <mergeCell ref="U84:W84"/>
    <mergeCell ref="X84:Y84"/>
    <mergeCell ref="Z84:AC84"/>
    <mergeCell ref="AD84:AE84"/>
    <mergeCell ref="AF84:AI84"/>
    <mergeCell ref="BG86:BJ86"/>
    <mergeCell ref="BK86:BO86"/>
    <mergeCell ref="A87:R87"/>
    <mergeCell ref="S87:W87"/>
    <mergeCell ref="X87:AC87"/>
    <mergeCell ref="AD87:AI87"/>
    <mergeCell ref="AJ87:AT87"/>
    <mergeCell ref="AU87:BB87"/>
    <mergeCell ref="BC87:BF87"/>
    <mergeCell ref="BG87:BJ87"/>
    <mergeCell ref="BC85:BF85"/>
    <mergeCell ref="BG85:BJ85"/>
    <mergeCell ref="BK85:BO85"/>
    <mergeCell ref="A86:R86"/>
    <mergeCell ref="S86:W86"/>
    <mergeCell ref="X86:AC86"/>
    <mergeCell ref="AD86:AI86"/>
    <mergeCell ref="AJ86:AT86"/>
    <mergeCell ref="AU86:BB86"/>
    <mergeCell ref="BC86:BF86"/>
    <mergeCell ref="BC89:BF89"/>
    <mergeCell ref="BG89:BJ89"/>
    <mergeCell ref="BK89:BO89"/>
    <mergeCell ref="A90:R90"/>
    <mergeCell ref="S90:W90"/>
    <mergeCell ref="X90:AC90"/>
    <mergeCell ref="AD90:AI90"/>
    <mergeCell ref="AJ90:AT90"/>
    <mergeCell ref="AU90:BB90"/>
    <mergeCell ref="BC90:BF90"/>
    <mergeCell ref="A89:R89"/>
    <mergeCell ref="S89:W89"/>
    <mergeCell ref="X89:AC89"/>
    <mergeCell ref="AD89:AI89"/>
    <mergeCell ref="AJ89:AT89"/>
    <mergeCell ref="AU89:BB89"/>
    <mergeCell ref="BK87:BO87"/>
    <mergeCell ref="A88:R88"/>
    <mergeCell ref="S88:W88"/>
    <mergeCell ref="X88:AC88"/>
    <mergeCell ref="AD88:AI88"/>
    <mergeCell ref="AJ88:AT88"/>
    <mergeCell ref="AU88:BB88"/>
    <mergeCell ref="BC88:BF88"/>
    <mergeCell ref="BG88:BJ88"/>
    <mergeCell ref="BK88:BO88"/>
    <mergeCell ref="BK91:BO91"/>
    <mergeCell ref="A92:R92"/>
    <mergeCell ref="S92:W92"/>
    <mergeCell ref="X92:AC92"/>
    <mergeCell ref="AD92:AI92"/>
    <mergeCell ref="AJ92:AT92"/>
    <mergeCell ref="AU92:BB92"/>
    <mergeCell ref="BC92:BF92"/>
    <mergeCell ref="BG92:BJ92"/>
    <mergeCell ref="BK92:BO92"/>
    <mergeCell ref="BG90:BJ90"/>
    <mergeCell ref="BK90:BO90"/>
    <mergeCell ref="A91:R91"/>
    <mergeCell ref="S91:W91"/>
    <mergeCell ref="X91:AC91"/>
    <mergeCell ref="AD91:AI91"/>
    <mergeCell ref="AJ91:AT91"/>
    <mergeCell ref="AU91:BB91"/>
    <mergeCell ref="BC91:BF91"/>
    <mergeCell ref="BG91:BJ91"/>
    <mergeCell ref="BG94:BJ94"/>
    <mergeCell ref="BK94:BO94"/>
    <mergeCell ref="A95:R95"/>
    <mergeCell ref="S95:W95"/>
    <mergeCell ref="X95:AC95"/>
    <mergeCell ref="AD95:AI95"/>
    <mergeCell ref="AJ95:AT95"/>
    <mergeCell ref="AU95:BB95"/>
    <mergeCell ref="BC95:BF95"/>
    <mergeCell ref="BG95:BJ95"/>
    <mergeCell ref="BC93:BF93"/>
    <mergeCell ref="BG93:BJ93"/>
    <mergeCell ref="BK93:BO93"/>
    <mergeCell ref="A94:R94"/>
    <mergeCell ref="S94:W94"/>
    <mergeCell ref="X94:AC94"/>
    <mergeCell ref="AD94:AI94"/>
    <mergeCell ref="AJ94:AT94"/>
    <mergeCell ref="AU94:BB94"/>
    <mergeCell ref="BC94:BF94"/>
    <mergeCell ref="A93:R93"/>
    <mergeCell ref="S93:W93"/>
    <mergeCell ref="X93:AC93"/>
    <mergeCell ref="AD93:AI93"/>
    <mergeCell ref="AJ93:AT93"/>
    <mergeCell ref="AU93:BB93"/>
    <mergeCell ref="BC97:BF97"/>
    <mergeCell ref="BG97:BJ97"/>
    <mergeCell ref="BK97:BO97"/>
    <mergeCell ref="A98:R98"/>
    <mergeCell ref="S98:W98"/>
    <mergeCell ref="X98:AC98"/>
    <mergeCell ref="AD98:AI98"/>
    <mergeCell ref="AJ98:AT98"/>
    <mergeCell ref="AU98:BB98"/>
    <mergeCell ref="BC98:BF98"/>
    <mergeCell ref="A97:R97"/>
    <mergeCell ref="S97:W97"/>
    <mergeCell ref="X97:AC97"/>
    <mergeCell ref="AD97:AI97"/>
    <mergeCell ref="AJ97:AT97"/>
    <mergeCell ref="AU97:BB97"/>
    <mergeCell ref="BK95:BO95"/>
    <mergeCell ref="A96:R96"/>
    <mergeCell ref="S96:W96"/>
    <mergeCell ref="X96:AC96"/>
    <mergeCell ref="AD96:AI96"/>
    <mergeCell ref="AJ96:AT96"/>
    <mergeCell ref="AU96:BB96"/>
    <mergeCell ref="BC96:BF96"/>
    <mergeCell ref="BG96:BJ96"/>
    <mergeCell ref="BK96:BO96"/>
    <mergeCell ref="BK99:BO99"/>
    <mergeCell ref="A100:R100"/>
    <mergeCell ref="S100:W100"/>
    <mergeCell ref="X100:AC100"/>
    <mergeCell ref="AD100:AI100"/>
    <mergeCell ref="AJ100:AT100"/>
    <mergeCell ref="AU100:BB100"/>
    <mergeCell ref="BC100:BF100"/>
    <mergeCell ref="BG100:BJ100"/>
    <mergeCell ref="BK100:BO100"/>
    <mergeCell ref="BG98:BJ98"/>
    <mergeCell ref="BK98:BO98"/>
    <mergeCell ref="A99:R99"/>
    <mergeCell ref="S99:W99"/>
    <mergeCell ref="X99:AC99"/>
    <mergeCell ref="AD99:AI99"/>
    <mergeCell ref="AJ99:AT99"/>
    <mergeCell ref="AU99:BB99"/>
    <mergeCell ref="BC99:BF99"/>
    <mergeCell ref="BG99:BJ99"/>
    <mergeCell ref="BG102:BJ102"/>
    <mergeCell ref="BK102:BO102"/>
    <mergeCell ref="A103:R103"/>
    <mergeCell ref="S103:W103"/>
    <mergeCell ref="X103:AC103"/>
    <mergeCell ref="AD103:AI103"/>
    <mergeCell ref="AJ103:AT103"/>
    <mergeCell ref="AU103:BB103"/>
    <mergeCell ref="BC103:BF103"/>
    <mergeCell ref="BG103:BJ103"/>
    <mergeCell ref="BD108:BF108"/>
    <mergeCell ref="BH108:BJ108"/>
    <mergeCell ref="BL108:BO108"/>
    <mergeCell ref="BC101:BF101"/>
    <mergeCell ref="BG101:BJ101"/>
    <mergeCell ref="BK101:BO101"/>
    <mergeCell ref="A102:R102"/>
    <mergeCell ref="S102:W102"/>
    <mergeCell ref="X102:AC102"/>
    <mergeCell ref="AD102:AI102"/>
    <mergeCell ref="AJ102:AT102"/>
    <mergeCell ref="AU102:BB102"/>
    <mergeCell ref="BC102:BF102"/>
    <mergeCell ref="A101:R101"/>
    <mergeCell ref="S101:W101"/>
    <mergeCell ref="X101:AC101"/>
    <mergeCell ref="AD101:AI101"/>
    <mergeCell ref="AJ101:AT101"/>
    <mergeCell ref="AU101:BB101"/>
    <mergeCell ref="BD107:BF107"/>
    <mergeCell ref="BG107:BG108"/>
    <mergeCell ref="BH107:BJ107"/>
    <mergeCell ref="BK107:BK108"/>
    <mergeCell ref="BL107:BO107"/>
    <mergeCell ref="T108:W108"/>
    <mergeCell ref="Y108:AC108"/>
    <mergeCell ref="AE108:AI108"/>
    <mergeCell ref="AL108:AT108"/>
    <mergeCell ref="AV108:BB108"/>
    <mergeCell ref="AE107:AI107"/>
    <mergeCell ref="AJ107:AK108"/>
    <mergeCell ref="AL107:AT107"/>
    <mergeCell ref="AU107:AU108"/>
    <mergeCell ref="AV107:BB107"/>
    <mergeCell ref="BC107:BC108"/>
    <mergeCell ref="BK103:BO103"/>
    <mergeCell ref="A104:AX104"/>
    <mergeCell ref="A105:BN105"/>
    <mergeCell ref="A106:AX106"/>
    <mergeCell ref="A107:R108"/>
    <mergeCell ref="S107:S108"/>
    <mergeCell ref="T107:W107"/>
    <mergeCell ref="X107:X108"/>
    <mergeCell ref="Y107:AC107"/>
    <mergeCell ref="AD107:AD108"/>
    <mergeCell ref="BI111:BJ111"/>
    <mergeCell ref="BM111:BO111"/>
    <mergeCell ref="S112:T112"/>
    <mergeCell ref="U112:W112"/>
    <mergeCell ref="X112:Y112"/>
    <mergeCell ref="Z112:AC112"/>
    <mergeCell ref="AD112:AE112"/>
    <mergeCell ref="AF112:AI112"/>
    <mergeCell ref="AJ112:AL112"/>
    <mergeCell ref="AM112:AT112"/>
    <mergeCell ref="U111:W111"/>
    <mergeCell ref="Z111:AC111"/>
    <mergeCell ref="AF111:AI111"/>
    <mergeCell ref="AM111:AT111"/>
    <mergeCell ref="AX111:BB111"/>
    <mergeCell ref="BE111:BF111"/>
    <mergeCell ref="BM109:BO109"/>
    <mergeCell ref="U110:W110"/>
    <mergeCell ref="Z110:AC110"/>
    <mergeCell ref="AF110:AI110"/>
    <mergeCell ref="AM110:AT110"/>
    <mergeCell ref="AX110:BB110"/>
    <mergeCell ref="BE110:BF110"/>
    <mergeCell ref="BI110:BJ110"/>
    <mergeCell ref="BM110:BO110"/>
    <mergeCell ref="U109:W109"/>
    <mergeCell ref="Z109:AC109"/>
    <mergeCell ref="AF109:AI109"/>
    <mergeCell ref="AM109:AT109"/>
    <mergeCell ref="AX109:BB109"/>
    <mergeCell ref="BE109:BF109"/>
    <mergeCell ref="BI109:BJ109"/>
    <mergeCell ref="BK113:BO113"/>
    <mergeCell ref="A114:R114"/>
    <mergeCell ref="S114:W114"/>
    <mergeCell ref="X114:AC114"/>
    <mergeCell ref="AD114:AI114"/>
    <mergeCell ref="AJ114:AT114"/>
    <mergeCell ref="AU114:BB114"/>
    <mergeCell ref="BC114:BF114"/>
    <mergeCell ref="BG114:BJ114"/>
    <mergeCell ref="BK114:BO114"/>
    <mergeCell ref="BK112:BL112"/>
    <mergeCell ref="BM112:BO112"/>
    <mergeCell ref="A113:R113"/>
    <mergeCell ref="S113:W113"/>
    <mergeCell ref="X113:AC113"/>
    <mergeCell ref="AD113:AI113"/>
    <mergeCell ref="AJ113:AT113"/>
    <mergeCell ref="AU113:BB113"/>
    <mergeCell ref="BC113:BF113"/>
    <mergeCell ref="BG113:BJ113"/>
    <mergeCell ref="AU112:AW112"/>
    <mergeCell ref="AX112:BB112"/>
    <mergeCell ref="BC112:BD112"/>
    <mergeCell ref="BE112:BF112"/>
    <mergeCell ref="BG112:BH112"/>
    <mergeCell ref="BI112:BJ112"/>
    <mergeCell ref="BG116:BJ116"/>
    <mergeCell ref="BK116:BO116"/>
    <mergeCell ref="A117:R117"/>
    <mergeCell ref="S117:W117"/>
    <mergeCell ref="X117:AC117"/>
    <mergeCell ref="AD117:AI117"/>
    <mergeCell ref="AJ117:AT117"/>
    <mergeCell ref="AU117:BB117"/>
    <mergeCell ref="BC117:BF117"/>
    <mergeCell ref="BG117:BJ117"/>
    <mergeCell ref="BC115:BF115"/>
    <mergeCell ref="BG115:BJ115"/>
    <mergeCell ref="BK115:BO115"/>
    <mergeCell ref="A116:R116"/>
    <mergeCell ref="S116:W116"/>
    <mergeCell ref="X116:AC116"/>
    <mergeCell ref="AD116:AI116"/>
    <mergeCell ref="AJ116:AT116"/>
    <mergeCell ref="AU116:BB116"/>
    <mergeCell ref="BC116:BF116"/>
    <mergeCell ref="A115:R115"/>
    <mergeCell ref="S115:W115"/>
    <mergeCell ref="X115:AC115"/>
    <mergeCell ref="AD115:AI115"/>
    <mergeCell ref="AJ115:AT115"/>
    <mergeCell ref="AU115:BB115"/>
    <mergeCell ref="BC119:BF119"/>
    <mergeCell ref="BG119:BJ119"/>
    <mergeCell ref="BK119:BO119"/>
    <mergeCell ref="A120:R120"/>
    <mergeCell ref="S120:W120"/>
    <mergeCell ref="X120:AC120"/>
    <mergeCell ref="AD120:AI120"/>
    <mergeCell ref="AJ120:AT120"/>
    <mergeCell ref="AU120:BB120"/>
    <mergeCell ref="BC120:BF120"/>
    <mergeCell ref="A119:R119"/>
    <mergeCell ref="S119:W119"/>
    <mergeCell ref="X119:AC119"/>
    <mergeCell ref="AD119:AI119"/>
    <mergeCell ref="AJ119:AT119"/>
    <mergeCell ref="AU119:BB119"/>
    <mergeCell ref="BK117:BO117"/>
    <mergeCell ref="A118:R118"/>
    <mergeCell ref="S118:W118"/>
    <mergeCell ref="X118:AC118"/>
    <mergeCell ref="AD118:AI118"/>
    <mergeCell ref="AJ118:AT118"/>
    <mergeCell ref="AU118:BB118"/>
    <mergeCell ref="BC118:BF118"/>
    <mergeCell ref="BG118:BJ118"/>
    <mergeCell ref="BK118:BO118"/>
    <mergeCell ref="BK121:BO121"/>
    <mergeCell ref="A122:R122"/>
    <mergeCell ref="S122:W122"/>
    <mergeCell ref="X122:AC122"/>
    <mergeCell ref="AD122:AI122"/>
    <mergeCell ref="AJ122:AT122"/>
    <mergeCell ref="AU122:BB122"/>
    <mergeCell ref="BC122:BF122"/>
    <mergeCell ref="BG122:BJ122"/>
    <mergeCell ref="BK122:BO122"/>
    <mergeCell ref="BG120:BJ120"/>
    <mergeCell ref="BK120:BO120"/>
    <mergeCell ref="A121:R121"/>
    <mergeCell ref="S121:W121"/>
    <mergeCell ref="X121:AC121"/>
    <mergeCell ref="AD121:AI121"/>
    <mergeCell ref="AJ121:AT121"/>
    <mergeCell ref="AU121:BB121"/>
    <mergeCell ref="BC121:BF121"/>
    <mergeCell ref="BG121:BJ121"/>
    <mergeCell ref="BG124:BJ124"/>
    <mergeCell ref="BK124:BO124"/>
    <mergeCell ref="A125:R125"/>
    <mergeCell ref="S125:W125"/>
    <mergeCell ref="X125:AC125"/>
    <mergeCell ref="AD125:AI125"/>
    <mergeCell ref="AJ125:AT125"/>
    <mergeCell ref="AU125:BB125"/>
    <mergeCell ref="BC125:BF125"/>
    <mergeCell ref="BG125:BJ125"/>
    <mergeCell ref="BC123:BF123"/>
    <mergeCell ref="BG123:BJ123"/>
    <mergeCell ref="BK123:BO123"/>
    <mergeCell ref="A124:R124"/>
    <mergeCell ref="S124:W124"/>
    <mergeCell ref="X124:AC124"/>
    <mergeCell ref="AD124:AI124"/>
    <mergeCell ref="AJ124:AT124"/>
    <mergeCell ref="AU124:BB124"/>
    <mergeCell ref="BC124:BF124"/>
    <mergeCell ref="A123:R123"/>
    <mergeCell ref="S123:W123"/>
    <mergeCell ref="X123:AC123"/>
    <mergeCell ref="AD123:AI123"/>
    <mergeCell ref="AJ123:AT123"/>
    <mergeCell ref="AU123:BB123"/>
    <mergeCell ref="BC127:BF127"/>
    <mergeCell ref="BG127:BJ127"/>
    <mergeCell ref="BK127:BO127"/>
    <mergeCell ref="A128:R128"/>
    <mergeCell ref="S128:W128"/>
    <mergeCell ref="X128:AC128"/>
    <mergeCell ref="AD128:AI128"/>
    <mergeCell ref="AJ128:AT128"/>
    <mergeCell ref="AU128:BB128"/>
    <mergeCell ref="BC128:BF128"/>
    <mergeCell ref="A127:R127"/>
    <mergeCell ref="S127:W127"/>
    <mergeCell ref="X127:AC127"/>
    <mergeCell ref="AD127:AI127"/>
    <mergeCell ref="AJ127:AT127"/>
    <mergeCell ref="AU127:BB127"/>
    <mergeCell ref="BK125:BO125"/>
    <mergeCell ref="A126:R126"/>
    <mergeCell ref="S126:W126"/>
    <mergeCell ref="X126:AC126"/>
    <mergeCell ref="AD126:AI126"/>
    <mergeCell ref="AJ126:AT126"/>
    <mergeCell ref="AU126:BB126"/>
    <mergeCell ref="BC126:BF126"/>
    <mergeCell ref="BG126:BJ126"/>
    <mergeCell ref="BK126:BO126"/>
    <mergeCell ref="BK129:BO129"/>
    <mergeCell ref="A130:R130"/>
    <mergeCell ref="S130:W130"/>
    <mergeCell ref="X130:AC130"/>
    <mergeCell ref="AD130:AI130"/>
    <mergeCell ref="AJ130:AT130"/>
    <mergeCell ref="AU130:BB130"/>
    <mergeCell ref="BC130:BF130"/>
    <mergeCell ref="BG130:BJ130"/>
    <mergeCell ref="BK130:BO130"/>
    <mergeCell ref="BG128:BJ128"/>
    <mergeCell ref="BK128:BO128"/>
    <mergeCell ref="A129:R129"/>
    <mergeCell ref="S129:W129"/>
    <mergeCell ref="X129:AC129"/>
    <mergeCell ref="AD129:AI129"/>
    <mergeCell ref="AJ129:AT129"/>
    <mergeCell ref="AU129:BB129"/>
    <mergeCell ref="BC129:BF129"/>
    <mergeCell ref="BG129:BJ129"/>
    <mergeCell ref="BG132:BJ132"/>
    <mergeCell ref="BK132:BO132"/>
    <mergeCell ref="A133:R133"/>
    <mergeCell ref="S133:W133"/>
    <mergeCell ref="X133:AC133"/>
    <mergeCell ref="AD133:AI133"/>
    <mergeCell ref="AJ133:AT133"/>
    <mergeCell ref="AU133:BB133"/>
    <mergeCell ref="BC133:BF133"/>
    <mergeCell ref="BG133:BJ133"/>
    <mergeCell ref="BC131:BF131"/>
    <mergeCell ref="BG131:BJ131"/>
    <mergeCell ref="BK131:BO131"/>
    <mergeCell ref="A132:R132"/>
    <mergeCell ref="S132:W132"/>
    <mergeCell ref="X132:AC132"/>
    <mergeCell ref="AD132:AI132"/>
    <mergeCell ref="AJ132:AT132"/>
    <mergeCell ref="AU132:BB132"/>
    <mergeCell ref="BC132:BF132"/>
    <mergeCell ref="A131:R131"/>
    <mergeCell ref="S131:W131"/>
    <mergeCell ref="X131:AC131"/>
    <mergeCell ref="AD131:AI131"/>
    <mergeCell ref="AJ131:AT131"/>
    <mergeCell ref="AU131:BB131"/>
    <mergeCell ref="BC135:BF135"/>
    <mergeCell ref="BG135:BJ135"/>
    <mergeCell ref="BK135:BO135"/>
    <mergeCell ref="A136:R136"/>
    <mergeCell ref="S136:W136"/>
    <mergeCell ref="X136:AC136"/>
    <mergeCell ref="AD136:AI136"/>
    <mergeCell ref="AJ136:AT136"/>
    <mergeCell ref="AU136:BB136"/>
    <mergeCell ref="BC136:BF136"/>
    <mergeCell ref="A135:R135"/>
    <mergeCell ref="S135:W135"/>
    <mergeCell ref="X135:AC135"/>
    <mergeCell ref="AD135:AI135"/>
    <mergeCell ref="AJ135:AT135"/>
    <mergeCell ref="AU135:BB135"/>
    <mergeCell ref="BK133:BO133"/>
    <mergeCell ref="A134:R134"/>
    <mergeCell ref="S134:W134"/>
    <mergeCell ref="X134:AC134"/>
    <mergeCell ref="AD134:AI134"/>
    <mergeCell ref="AJ134:AT134"/>
    <mergeCell ref="AU134:BB134"/>
    <mergeCell ref="BC134:BF134"/>
    <mergeCell ref="BG134:BJ134"/>
    <mergeCell ref="BK134:BO134"/>
    <mergeCell ref="BK137:BO137"/>
    <mergeCell ref="A138:R138"/>
    <mergeCell ref="S138:W138"/>
    <mergeCell ref="X138:AC138"/>
    <mergeCell ref="AD138:AI138"/>
    <mergeCell ref="AJ138:AT138"/>
    <mergeCell ref="AU138:BB138"/>
    <mergeCell ref="BC138:BF138"/>
    <mergeCell ref="BG138:BJ138"/>
    <mergeCell ref="BK138:BO138"/>
    <mergeCell ref="BG136:BJ136"/>
    <mergeCell ref="BK136:BO136"/>
    <mergeCell ref="A137:R137"/>
    <mergeCell ref="S137:W137"/>
    <mergeCell ref="X137:AC137"/>
    <mergeCell ref="AD137:AI137"/>
    <mergeCell ref="AJ137:AT137"/>
    <mergeCell ref="AU137:BB137"/>
    <mergeCell ref="BC137:BF137"/>
    <mergeCell ref="BG137:BJ137"/>
    <mergeCell ref="BG140:BJ140"/>
    <mergeCell ref="BK140:BO140"/>
    <mergeCell ref="A141:R141"/>
    <mergeCell ref="S141:W141"/>
    <mergeCell ref="X141:AC141"/>
    <mergeCell ref="AD141:AI141"/>
    <mergeCell ref="AJ141:AT141"/>
    <mergeCell ref="AU141:BB141"/>
    <mergeCell ref="BC141:BF141"/>
    <mergeCell ref="BG141:BJ141"/>
    <mergeCell ref="BC139:BF139"/>
    <mergeCell ref="BG139:BJ139"/>
    <mergeCell ref="BK139:BO139"/>
    <mergeCell ref="A140:R140"/>
    <mergeCell ref="S140:W140"/>
    <mergeCell ref="X140:AC140"/>
    <mergeCell ref="AD140:AI140"/>
    <mergeCell ref="AJ140:AT140"/>
    <mergeCell ref="AU140:BB140"/>
    <mergeCell ref="BC140:BF140"/>
    <mergeCell ref="A139:R139"/>
    <mergeCell ref="S139:W139"/>
    <mergeCell ref="X139:AC139"/>
    <mergeCell ref="AD139:AI139"/>
    <mergeCell ref="AJ139:AT139"/>
    <mergeCell ref="AU139:BB139"/>
    <mergeCell ref="BC143:BF143"/>
    <mergeCell ref="BG143:BJ143"/>
    <mergeCell ref="BK143:BO143"/>
    <mergeCell ref="A144:R144"/>
    <mergeCell ref="S144:W144"/>
    <mergeCell ref="X144:AC144"/>
    <mergeCell ref="AD144:AI144"/>
    <mergeCell ref="AJ144:AT144"/>
    <mergeCell ref="AU144:BB144"/>
    <mergeCell ref="BC144:BF144"/>
    <mergeCell ref="A143:R143"/>
    <mergeCell ref="S143:W143"/>
    <mergeCell ref="X143:AC143"/>
    <mergeCell ref="AD143:AI143"/>
    <mergeCell ref="AJ143:AT143"/>
    <mergeCell ref="AU143:BB143"/>
    <mergeCell ref="BK141:BO141"/>
    <mergeCell ref="A142:R142"/>
    <mergeCell ref="S142:W142"/>
    <mergeCell ref="X142:AC142"/>
    <mergeCell ref="AD142:AI142"/>
    <mergeCell ref="AJ142:AT142"/>
    <mergeCell ref="AU142:BB142"/>
    <mergeCell ref="BC142:BF142"/>
    <mergeCell ref="BG142:BJ142"/>
    <mergeCell ref="BK142:BO142"/>
    <mergeCell ref="BK145:BO145"/>
    <mergeCell ref="A146:R146"/>
    <mergeCell ref="S146:W146"/>
    <mergeCell ref="X146:AC146"/>
    <mergeCell ref="AD146:AI146"/>
    <mergeCell ref="AJ146:AT146"/>
    <mergeCell ref="AU146:BB146"/>
    <mergeCell ref="BC146:BF146"/>
    <mergeCell ref="BG146:BJ146"/>
    <mergeCell ref="BK146:BO146"/>
    <mergeCell ref="BG144:BJ144"/>
    <mergeCell ref="BK144:BO144"/>
    <mergeCell ref="A145:R145"/>
    <mergeCell ref="S145:W145"/>
    <mergeCell ref="X145:AC145"/>
    <mergeCell ref="AD145:AI145"/>
    <mergeCell ref="AJ145:AT145"/>
    <mergeCell ref="AU145:BB145"/>
    <mergeCell ref="BC145:BF145"/>
    <mergeCell ref="BG145:BJ145"/>
    <mergeCell ref="BG148:BJ148"/>
    <mergeCell ref="BK148:BO148"/>
    <mergeCell ref="A149:R149"/>
    <mergeCell ref="S149:W149"/>
    <mergeCell ref="X149:AC149"/>
    <mergeCell ref="AD149:AI149"/>
    <mergeCell ref="AJ149:AT149"/>
    <mergeCell ref="AU149:BB149"/>
    <mergeCell ref="BC149:BF149"/>
    <mergeCell ref="BG149:BJ149"/>
    <mergeCell ref="BC147:BF147"/>
    <mergeCell ref="BG147:BJ147"/>
    <mergeCell ref="BK147:BO147"/>
    <mergeCell ref="A148:R148"/>
    <mergeCell ref="S148:W148"/>
    <mergeCell ref="X148:AC148"/>
    <mergeCell ref="AD148:AI148"/>
    <mergeCell ref="AJ148:AT148"/>
    <mergeCell ref="AU148:BB148"/>
    <mergeCell ref="BC148:BF148"/>
    <mergeCell ref="A147:R147"/>
    <mergeCell ref="S147:W147"/>
    <mergeCell ref="X147:AC147"/>
    <mergeCell ref="AD147:AI147"/>
    <mergeCell ref="AJ147:AT147"/>
    <mergeCell ref="AU147:BB147"/>
    <mergeCell ref="BC151:BF151"/>
    <mergeCell ref="BG151:BJ151"/>
    <mergeCell ref="BK151:BO151"/>
    <mergeCell ref="A152:R152"/>
    <mergeCell ref="S152:W152"/>
    <mergeCell ref="X152:AC152"/>
    <mergeCell ref="AD152:AI152"/>
    <mergeCell ref="AJ152:AT152"/>
    <mergeCell ref="AU152:BB152"/>
    <mergeCell ref="BC152:BF152"/>
    <mergeCell ref="A151:R151"/>
    <mergeCell ref="S151:W151"/>
    <mergeCell ref="X151:AC151"/>
    <mergeCell ref="AD151:AI151"/>
    <mergeCell ref="AJ151:AT151"/>
    <mergeCell ref="AU151:BB151"/>
    <mergeCell ref="BK149:BO149"/>
    <mergeCell ref="A150:R150"/>
    <mergeCell ref="S150:W150"/>
    <mergeCell ref="X150:AC150"/>
    <mergeCell ref="AD150:AI150"/>
    <mergeCell ref="AJ150:AT150"/>
    <mergeCell ref="AU150:BB150"/>
    <mergeCell ref="BC150:BF150"/>
    <mergeCell ref="BG150:BJ150"/>
    <mergeCell ref="BK150:BO150"/>
    <mergeCell ref="BK153:BO153"/>
    <mergeCell ref="A154:R154"/>
    <mergeCell ref="S154:W154"/>
    <mergeCell ref="X154:AC154"/>
    <mergeCell ref="AD154:AI154"/>
    <mergeCell ref="AJ154:AT154"/>
    <mergeCell ref="AU154:BB154"/>
    <mergeCell ref="BC154:BF154"/>
    <mergeCell ref="BG154:BJ154"/>
    <mergeCell ref="BK154:BO154"/>
    <mergeCell ref="BG152:BJ152"/>
    <mergeCell ref="BK152:BO152"/>
    <mergeCell ref="A153:R153"/>
    <mergeCell ref="S153:W153"/>
    <mergeCell ref="X153:AC153"/>
    <mergeCell ref="AD153:AI153"/>
    <mergeCell ref="AJ153:AT153"/>
    <mergeCell ref="AU153:BB153"/>
    <mergeCell ref="BC153:BF153"/>
    <mergeCell ref="BG153:BJ153"/>
    <mergeCell ref="BG156:BJ156"/>
    <mergeCell ref="BK156:BO156"/>
    <mergeCell ref="A157:R157"/>
    <mergeCell ref="S157:W157"/>
    <mergeCell ref="X157:AC157"/>
    <mergeCell ref="AD157:AI157"/>
    <mergeCell ref="AJ157:AT157"/>
    <mergeCell ref="AU157:BB157"/>
    <mergeCell ref="BC157:BF157"/>
    <mergeCell ref="BG157:BJ157"/>
    <mergeCell ref="BC155:BF155"/>
    <mergeCell ref="BG155:BJ155"/>
    <mergeCell ref="BK155:BO155"/>
    <mergeCell ref="A156:R156"/>
    <mergeCell ref="S156:W156"/>
    <mergeCell ref="X156:AC156"/>
    <mergeCell ref="AD156:AI156"/>
    <mergeCell ref="AJ156:AT156"/>
    <mergeCell ref="AU156:BB156"/>
    <mergeCell ref="BC156:BF156"/>
    <mergeCell ref="A155:R155"/>
    <mergeCell ref="S155:W155"/>
    <mergeCell ref="X155:AC155"/>
    <mergeCell ref="AD155:AI155"/>
    <mergeCell ref="AJ155:AT155"/>
    <mergeCell ref="AU155:BB155"/>
    <mergeCell ref="BC159:BF159"/>
    <mergeCell ref="BG159:BJ159"/>
    <mergeCell ref="BK159:BO159"/>
    <mergeCell ref="A160:R160"/>
    <mergeCell ref="S160:W160"/>
    <mergeCell ref="X160:AC160"/>
    <mergeCell ref="AD160:AI160"/>
    <mergeCell ref="AJ160:AT160"/>
    <mergeCell ref="AU160:BB160"/>
    <mergeCell ref="BC160:BF160"/>
    <mergeCell ref="A159:R159"/>
    <mergeCell ref="S159:W159"/>
    <mergeCell ref="X159:AC159"/>
    <mergeCell ref="AD159:AI159"/>
    <mergeCell ref="AJ159:AT159"/>
    <mergeCell ref="AU159:BB159"/>
    <mergeCell ref="BK157:BO157"/>
    <mergeCell ref="A158:R158"/>
    <mergeCell ref="S158:W158"/>
    <mergeCell ref="X158:AC158"/>
    <mergeCell ref="AD158:AI158"/>
    <mergeCell ref="AJ158:AT158"/>
    <mergeCell ref="AU158:BB158"/>
    <mergeCell ref="BC158:BF158"/>
    <mergeCell ref="BG158:BJ158"/>
    <mergeCell ref="BK158:BO158"/>
    <mergeCell ref="BK161:BO161"/>
    <mergeCell ref="A162:R162"/>
    <mergeCell ref="S162:W162"/>
    <mergeCell ref="X162:AC162"/>
    <mergeCell ref="AD162:AI162"/>
    <mergeCell ref="AJ162:AT162"/>
    <mergeCell ref="AU162:BB162"/>
    <mergeCell ref="BC162:BF162"/>
    <mergeCell ref="BG162:BJ162"/>
    <mergeCell ref="BK162:BO162"/>
    <mergeCell ref="BG160:BJ160"/>
    <mergeCell ref="BK160:BO160"/>
    <mergeCell ref="A161:R161"/>
    <mergeCell ref="S161:W161"/>
    <mergeCell ref="X161:AC161"/>
    <mergeCell ref="AD161:AI161"/>
    <mergeCell ref="AJ161:AT161"/>
    <mergeCell ref="AU161:BB161"/>
    <mergeCell ref="BC161:BF161"/>
    <mergeCell ref="BG161:BJ161"/>
    <mergeCell ref="BG164:BJ164"/>
    <mergeCell ref="BK164:BO164"/>
    <mergeCell ref="A165:R165"/>
    <mergeCell ref="S165:W165"/>
    <mergeCell ref="X165:AC165"/>
    <mergeCell ref="AD165:AI165"/>
    <mergeCell ref="AJ165:AT165"/>
    <mergeCell ref="AU165:BB165"/>
    <mergeCell ref="BC165:BF165"/>
    <mergeCell ref="BG165:BJ165"/>
    <mergeCell ref="BC163:BF163"/>
    <mergeCell ref="BG163:BJ163"/>
    <mergeCell ref="BK163:BO163"/>
    <mergeCell ref="A164:R164"/>
    <mergeCell ref="S164:W164"/>
    <mergeCell ref="X164:AC164"/>
    <mergeCell ref="AD164:AI164"/>
    <mergeCell ref="AJ164:AT164"/>
    <mergeCell ref="AU164:BB164"/>
    <mergeCell ref="BC164:BF164"/>
    <mergeCell ref="A163:R163"/>
    <mergeCell ref="S163:W163"/>
    <mergeCell ref="X163:AC163"/>
    <mergeCell ref="AD163:AI163"/>
    <mergeCell ref="AJ163:AT163"/>
    <mergeCell ref="AU163:BB163"/>
    <mergeCell ref="BC167:BF167"/>
    <mergeCell ref="BG167:BJ167"/>
    <mergeCell ref="BK167:BO167"/>
    <mergeCell ref="A168:R168"/>
    <mergeCell ref="S168:W168"/>
    <mergeCell ref="X168:AC168"/>
    <mergeCell ref="AD168:AI168"/>
    <mergeCell ref="AJ168:AT168"/>
    <mergeCell ref="AU168:BB168"/>
    <mergeCell ref="BC168:BF168"/>
    <mergeCell ref="A167:R167"/>
    <mergeCell ref="S167:W167"/>
    <mergeCell ref="X167:AC167"/>
    <mergeCell ref="AD167:AI167"/>
    <mergeCell ref="AJ167:AT167"/>
    <mergeCell ref="AU167:BB167"/>
    <mergeCell ref="BK165:BO165"/>
    <mergeCell ref="A166:R166"/>
    <mergeCell ref="S166:W166"/>
    <mergeCell ref="X166:AC166"/>
    <mergeCell ref="AD166:AI166"/>
    <mergeCell ref="AJ166:AT166"/>
    <mergeCell ref="AU166:BB166"/>
    <mergeCell ref="BC166:BF166"/>
    <mergeCell ref="BG166:BJ166"/>
    <mergeCell ref="BK166:BO166"/>
    <mergeCell ref="BK169:BO169"/>
    <mergeCell ref="A170:R170"/>
    <mergeCell ref="S170:W170"/>
    <mergeCell ref="X170:AC170"/>
    <mergeCell ref="AD170:AI170"/>
    <mergeCell ref="AJ170:AT170"/>
    <mergeCell ref="AU170:BB170"/>
    <mergeCell ref="BC170:BF170"/>
    <mergeCell ref="BG170:BJ170"/>
    <mergeCell ref="BK170:BO170"/>
    <mergeCell ref="BG168:BJ168"/>
    <mergeCell ref="BK168:BO168"/>
    <mergeCell ref="A169:R169"/>
    <mergeCell ref="S169:W169"/>
    <mergeCell ref="X169:AC169"/>
    <mergeCell ref="AD169:AI169"/>
    <mergeCell ref="AJ169:AT169"/>
    <mergeCell ref="AU169:BB169"/>
    <mergeCell ref="BC169:BF169"/>
    <mergeCell ref="BG169:BJ169"/>
    <mergeCell ref="BG172:BJ172"/>
    <mergeCell ref="BK172:BO172"/>
    <mergeCell ref="A173:R173"/>
    <mergeCell ref="S173:W173"/>
    <mergeCell ref="X173:AC173"/>
    <mergeCell ref="AD173:AI173"/>
    <mergeCell ref="AJ173:AT173"/>
    <mergeCell ref="AU173:BB173"/>
    <mergeCell ref="BC173:BF173"/>
    <mergeCell ref="BG173:BJ173"/>
    <mergeCell ref="BC171:BF171"/>
    <mergeCell ref="BG171:BJ171"/>
    <mergeCell ref="BK171:BO171"/>
    <mergeCell ref="A172:R172"/>
    <mergeCell ref="S172:W172"/>
    <mergeCell ref="X172:AC172"/>
    <mergeCell ref="AD172:AI172"/>
    <mergeCell ref="AJ172:AT172"/>
    <mergeCell ref="AU172:BB172"/>
    <mergeCell ref="BC172:BF172"/>
    <mergeCell ref="A171:R171"/>
    <mergeCell ref="S171:W171"/>
    <mergeCell ref="X171:AC171"/>
    <mergeCell ref="AD171:AI171"/>
    <mergeCell ref="AJ171:AT171"/>
    <mergeCell ref="AU171:BB171"/>
    <mergeCell ref="BC175:BF175"/>
    <mergeCell ref="BG175:BJ175"/>
    <mergeCell ref="BK175:BO175"/>
    <mergeCell ref="A176:R176"/>
    <mergeCell ref="S176:W176"/>
    <mergeCell ref="X176:AC176"/>
    <mergeCell ref="AD176:AI176"/>
    <mergeCell ref="AJ176:AT176"/>
    <mergeCell ref="AU176:BB176"/>
    <mergeCell ref="BC176:BF176"/>
    <mergeCell ref="A175:R175"/>
    <mergeCell ref="S175:W175"/>
    <mergeCell ref="X175:AC175"/>
    <mergeCell ref="AD175:AI175"/>
    <mergeCell ref="AJ175:AT175"/>
    <mergeCell ref="AU175:BB175"/>
    <mergeCell ref="BK173:BO173"/>
    <mergeCell ref="A174:R174"/>
    <mergeCell ref="S174:W174"/>
    <mergeCell ref="X174:AC174"/>
    <mergeCell ref="AD174:AI174"/>
    <mergeCell ref="AJ174:AT174"/>
    <mergeCell ref="AU174:BB174"/>
    <mergeCell ref="BC174:BF174"/>
    <mergeCell ref="BG174:BJ174"/>
    <mergeCell ref="BK174:BO174"/>
    <mergeCell ref="BK177:BO177"/>
    <mergeCell ref="A178:R178"/>
    <mergeCell ref="S178:W178"/>
    <mergeCell ref="X178:AC178"/>
    <mergeCell ref="AD178:AI178"/>
    <mergeCell ref="AJ178:AT178"/>
    <mergeCell ref="AU178:BB178"/>
    <mergeCell ref="BC178:BF178"/>
    <mergeCell ref="BG178:BJ178"/>
    <mergeCell ref="BK178:BO178"/>
    <mergeCell ref="BG176:BJ176"/>
    <mergeCell ref="BK176:BO176"/>
    <mergeCell ref="A177:R177"/>
    <mergeCell ref="S177:W177"/>
    <mergeCell ref="X177:AC177"/>
    <mergeCell ref="AD177:AI177"/>
    <mergeCell ref="AJ177:AT177"/>
    <mergeCell ref="AU177:BB177"/>
    <mergeCell ref="BC177:BF177"/>
    <mergeCell ref="BG177:BJ177"/>
    <mergeCell ref="BG180:BJ180"/>
    <mergeCell ref="BK180:BO180"/>
    <mergeCell ref="A181:R181"/>
    <mergeCell ref="S181:W181"/>
    <mergeCell ref="X181:AC181"/>
    <mergeCell ref="AD181:AI181"/>
    <mergeCell ref="AJ181:AT181"/>
    <mergeCell ref="AU181:BB181"/>
    <mergeCell ref="BC181:BF181"/>
    <mergeCell ref="BG181:BJ181"/>
    <mergeCell ref="BC179:BF179"/>
    <mergeCell ref="BG179:BJ179"/>
    <mergeCell ref="BK179:BO179"/>
    <mergeCell ref="A180:R180"/>
    <mergeCell ref="S180:W180"/>
    <mergeCell ref="X180:AC180"/>
    <mergeCell ref="AD180:AI180"/>
    <mergeCell ref="AJ180:AT180"/>
    <mergeCell ref="AU180:BB180"/>
    <mergeCell ref="BC180:BF180"/>
    <mergeCell ref="A179:R179"/>
    <mergeCell ref="S179:W179"/>
    <mergeCell ref="X179:AC179"/>
    <mergeCell ref="AD179:AI179"/>
    <mergeCell ref="AJ179:AT179"/>
    <mergeCell ref="AU179:BB179"/>
    <mergeCell ref="BC183:BF183"/>
    <mergeCell ref="BG183:BJ183"/>
    <mergeCell ref="BK183:BO183"/>
    <mergeCell ref="A184:R184"/>
    <mergeCell ref="S184:W184"/>
    <mergeCell ref="X184:AC184"/>
    <mergeCell ref="AD184:AI184"/>
    <mergeCell ref="AJ184:AT184"/>
    <mergeCell ref="AU184:BB184"/>
    <mergeCell ref="BC184:BF184"/>
    <mergeCell ref="A183:R183"/>
    <mergeCell ref="S183:W183"/>
    <mergeCell ref="X183:AC183"/>
    <mergeCell ref="AD183:AI183"/>
    <mergeCell ref="AJ183:AT183"/>
    <mergeCell ref="AU183:BB183"/>
    <mergeCell ref="BK181:BO181"/>
    <mergeCell ref="A182:R182"/>
    <mergeCell ref="S182:W182"/>
    <mergeCell ref="X182:AC182"/>
    <mergeCell ref="AD182:AI182"/>
    <mergeCell ref="AJ182:AT182"/>
    <mergeCell ref="AU182:BB182"/>
    <mergeCell ref="BC182:BF182"/>
    <mergeCell ref="BG182:BJ182"/>
    <mergeCell ref="BK182:BO182"/>
    <mergeCell ref="BK185:BO185"/>
    <mergeCell ref="A186:R186"/>
    <mergeCell ref="S186:W186"/>
    <mergeCell ref="X186:AC186"/>
    <mergeCell ref="AD186:AI186"/>
    <mergeCell ref="AJ186:AT186"/>
    <mergeCell ref="AU186:BB186"/>
    <mergeCell ref="BC186:BF186"/>
    <mergeCell ref="BG186:BJ186"/>
    <mergeCell ref="BK186:BO186"/>
    <mergeCell ref="BG184:BJ184"/>
    <mergeCell ref="BK184:BO184"/>
    <mergeCell ref="A185:R185"/>
    <mergeCell ref="S185:W185"/>
    <mergeCell ref="X185:AC185"/>
    <mergeCell ref="AD185:AI185"/>
    <mergeCell ref="AJ185:AT185"/>
    <mergeCell ref="AU185:BB185"/>
    <mergeCell ref="BC185:BF185"/>
    <mergeCell ref="BG185:BJ185"/>
    <mergeCell ref="BG188:BJ188"/>
    <mergeCell ref="BK188:BO188"/>
    <mergeCell ref="A189:R189"/>
    <mergeCell ref="S189:W189"/>
    <mergeCell ref="X189:AC189"/>
    <mergeCell ref="AD189:AI189"/>
    <mergeCell ref="AJ189:AT189"/>
    <mergeCell ref="AU189:BB189"/>
    <mergeCell ref="BC189:BF189"/>
    <mergeCell ref="BG189:BJ189"/>
    <mergeCell ref="BC187:BF187"/>
    <mergeCell ref="BG187:BJ187"/>
    <mergeCell ref="BK187:BO187"/>
    <mergeCell ref="A188:R188"/>
    <mergeCell ref="S188:W188"/>
    <mergeCell ref="X188:AC188"/>
    <mergeCell ref="AD188:AI188"/>
    <mergeCell ref="AJ188:AT188"/>
    <mergeCell ref="AU188:BB188"/>
    <mergeCell ref="BC188:BF188"/>
    <mergeCell ref="A187:R187"/>
    <mergeCell ref="S187:W187"/>
    <mergeCell ref="X187:AC187"/>
    <mergeCell ref="AD187:AI187"/>
    <mergeCell ref="AJ187:AT187"/>
    <mergeCell ref="AU187:BB187"/>
    <mergeCell ref="BC191:BF191"/>
    <mergeCell ref="BG191:BJ191"/>
    <mergeCell ref="BK191:BO191"/>
    <mergeCell ref="A192:R192"/>
    <mergeCell ref="S192:W192"/>
    <mergeCell ref="X192:AC192"/>
    <mergeCell ref="AD192:AI192"/>
    <mergeCell ref="AJ192:AT192"/>
    <mergeCell ref="AU192:BB192"/>
    <mergeCell ref="BC192:BF192"/>
    <mergeCell ref="A191:R191"/>
    <mergeCell ref="S191:W191"/>
    <mergeCell ref="X191:AC191"/>
    <mergeCell ref="AD191:AI191"/>
    <mergeCell ref="AJ191:AT191"/>
    <mergeCell ref="AU191:BB191"/>
    <mergeCell ref="BK189:BO189"/>
    <mergeCell ref="A190:R190"/>
    <mergeCell ref="S190:W190"/>
    <mergeCell ref="X190:AC190"/>
    <mergeCell ref="AD190:AI190"/>
    <mergeCell ref="AJ190:AT190"/>
    <mergeCell ref="AU190:BB190"/>
    <mergeCell ref="BC190:BF190"/>
    <mergeCell ref="BG190:BJ190"/>
    <mergeCell ref="BK190:BO190"/>
    <mergeCell ref="BK193:BO193"/>
    <mergeCell ref="A194:R194"/>
    <mergeCell ref="S194:W194"/>
    <mergeCell ref="X194:AC194"/>
    <mergeCell ref="AD194:AI194"/>
    <mergeCell ref="AJ194:AT194"/>
    <mergeCell ref="AU194:BB194"/>
    <mergeCell ref="BC194:BF194"/>
    <mergeCell ref="BG194:BJ194"/>
    <mergeCell ref="BK194:BO194"/>
    <mergeCell ref="BG192:BJ192"/>
    <mergeCell ref="BK192:BO192"/>
    <mergeCell ref="A193:R193"/>
    <mergeCell ref="S193:W193"/>
    <mergeCell ref="X193:AC193"/>
    <mergeCell ref="AD193:AI193"/>
    <mergeCell ref="AJ193:AT193"/>
    <mergeCell ref="AU193:BB193"/>
    <mergeCell ref="BC193:BF193"/>
    <mergeCell ref="BG193:BJ193"/>
    <mergeCell ref="BG196:BJ196"/>
    <mergeCell ref="BK196:BO196"/>
    <mergeCell ref="A197:R197"/>
    <mergeCell ref="S197:W197"/>
    <mergeCell ref="X197:AC197"/>
    <mergeCell ref="AD197:AI197"/>
    <mergeCell ref="AJ197:AT197"/>
    <mergeCell ref="AU197:BB197"/>
    <mergeCell ref="BC197:BF197"/>
    <mergeCell ref="BG197:BJ197"/>
    <mergeCell ref="BC195:BF195"/>
    <mergeCell ref="BG195:BJ195"/>
    <mergeCell ref="BK195:BO195"/>
    <mergeCell ref="A196:R196"/>
    <mergeCell ref="S196:W196"/>
    <mergeCell ref="X196:AC196"/>
    <mergeCell ref="AD196:AI196"/>
    <mergeCell ref="AJ196:AT196"/>
    <mergeCell ref="AU196:BB196"/>
    <mergeCell ref="BC196:BF196"/>
    <mergeCell ref="A195:R195"/>
    <mergeCell ref="S195:W195"/>
    <mergeCell ref="X195:AC195"/>
    <mergeCell ref="AD195:AI195"/>
    <mergeCell ref="AJ195:AT195"/>
    <mergeCell ref="AU195:BB195"/>
    <mergeCell ref="BC199:BF199"/>
    <mergeCell ref="BG199:BJ199"/>
    <mergeCell ref="BK199:BO199"/>
    <mergeCell ref="A200:R200"/>
    <mergeCell ref="S200:W200"/>
    <mergeCell ref="X200:AC200"/>
    <mergeCell ref="AD200:AI200"/>
    <mergeCell ref="AJ200:AT200"/>
    <mergeCell ref="AU200:BB200"/>
    <mergeCell ref="BC200:BF200"/>
    <mergeCell ref="A199:R199"/>
    <mergeCell ref="S199:W199"/>
    <mergeCell ref="X199:AC199"/>
    <mergeCell ref="AD199:AI199"/>
    <mergeCell ref="AJ199:AT199"/>
    <mergeCell ref="AU199:BB199"/>
    <mergeCell ref="BK197:BO197"/>
    <mergeCell ref="A198:R198"/>
    <mergeCell ref="S198:W198"/>
    <mergeCell ref="X198:AC198"/>
    <mergeCell ref="AD198:AI198"/>
    <mergeCell ref="AJ198:AT198"/>
    <mergeCell ref="AU198:BB198"/>
    <mergeCell ref="BC198:BF198"/>
    <mergeCell ref="BG198:BJ198"/>
    <mergeCell ref="BK198:BO198"/>
    <mergeCell ref="BK201:BO201"/>
    <mergeCell ref="A202:R202"/>
    <mergeCell ref="S202:W202"/>
    <mergeCell ref="X202:AC202"/>
    <mergeCell ref="AD202:AI202"/>
    <mergeCell ref="AJ202:AT202"/>
    <mergeCell ref="AU202:BB202"/>
    <mergeCell ref="BC202:BF202"/>
    <mergeCell ref="BG202:BJ202"/>
    <mergeCell ref="BK202:BO202"/>
    <mergeCell ref="BG200:BJ200"/>
    <mergeCell ref="BK200:BO200"/>
    <mergeCell ref="A201:R201"/>
    <mergeCell ref="S201:W201"/>
    <mergeCell ref="X201:AC201"/>
    <mergeCell ref="AD201:AI201"/>
    <mergeCell ref="AJ201:AT201"/>
    <mergeCell ref="AU201:BB201"/>
    <mergeCell ref="BC201:BF201"/>
    <mergeCell ref="BG201:BJ201"/>
    <mergeCell ref="BG204:BJ204"/>
    <mergeCell ref="BK204:BO204"/>
    <mergeCell ref="A205:R205"/>
    <mergeCell ref="S205:W205"/>
    <mergeCell ref="X205:AC205"/>
    <mergeCell ref="AD205:AI205"/>
    <mergeCell ref="AJ205:AT205"/>
    <mergeCell ref="AU205:BB205"/>
    <mergeCell ref="BC205:BF205"/>
    <mergeCell ref="BG205:BJ205"/>
    <mergeCell ref="BC203:BF203"/>
    <mergeCell ref="BG203:BJ203"/>
    <mergeCell ref="BK203:BO203"/>
    <mergeCell ref="A204:R204"/>
    <mergeCell ref="S204:W204"/>
    <mergeCell ref="X204:AC204"/>
    <mergeCell ref="AD204:AI204"/>
    <mergeCell ref="AJ204:AT204"/>
    <mergeCell ref="AU204:BB204"/>
    <mergeCell ref="BC204:BF204"/>
    <mergeCell ref="A203:R203"/>
    <mergeCell ref="S203:W203"/>
    <mergeCell ref="X203:AC203"/>
    <mergeCell ref="AD203:AI203"/>
    <mergeCell ref="AJ203:AT203"/>
    <mergeCell ref="AU203:BB203"/>
    <mergeCell ref="BC207:BF207"/>
    <mergeCell ref="BG207:BJ207"/>
    <mergeCell ref="BK207:BO207"/>
    <mergeCell ref="A208:R208"/>
    <mergeCell ref="S208:W208"/>
    <mergeCell ref="X208:AC208"/>
    <mergeCell ref="AD208:AI208"/>
    <mergeCell ref="AJ208:AT208"/>
    <mergeCell ref="AU208:BB208"/>
    <mergeCell ref="BC208:BF208"/>
    <mergeCell ref="A207:R207"/>
    <mergeCell ref="S207:W207"/>
    <mergeCell ref="X207:AC207"/>
    <mergeCell ref="AD207:AI207"/>
    <mergeCell ref="AJ207:AT207"/>
    <mergeCell ref="AU207:BB207"/>
    <mergeCell ref="BK205:BO205"/>
    <mergeCell ref="A206:R206"/>
    <mergeCell ref="S206:W206"/>
    <mergeCell ref="X206:AC206"/>
    <mergeCell ref="AD206:AI206"/>
    <mergeCell ref="AJ206:AT206"/>
    <mergeCell ref="AU206:BB206"/>
    <mergeCell ref="BC206:BF206"/>
    <mergeCell ref="BG206:BJ206"/>
    <mergeCell ref="BK206:BO206"/>
    <mergeCell ref="BK209:BO209"/>
    <mergeCell ref="A210:R210"/>
    <mergeCell ref="S210:W210"/>
    <mergeCell ref="X210:AC210"/>
    <mergeCell ref="AD210:AI210"/>
    <mergeCell ref="AJ210:AT210"/>
    <mergeCell ref="AU210:BB210"/>
    <mergeCell ref="BC210:BF210"/>
    <mergeCell ref="BG210:BJ210"/>
    <mergeCell ref="BK210:BO210"/>
    <mergeCell ref="BG208:BJ208"/>
    <mergeCell ref="BK208:BO208"/>
    <mergeCell ref="A209:R209"/>
    <mergeCell ref="S209:W209"/>
    <mergeCell ref="X209:AC209"/>
    <mergeCell ref="AD209:AI209"/>
    <mergeCell ref="AJ209:AT209"/>
    <mergeCell ref="AU209:BB209"/>
    <mergeCell ref="BC209:BF209"/>
    <mergeCell ref="BG209:BJ209"/>
    <mergeCell ref="BG212:BJ212"/>
    <mergeCell ref="BK212:BO212"/>
    <mergeCell ref="A213:R213"/>
    <mergeCell ref="S213:W213"/>
    <mergeCell ref="X213:AC213"/>
    <mergeCell ref="AD213:AI213"/>
    <mergeCell ref="AJ213:AT213"/>
    <mergeCell ref="AU213:BB213"/>
    <mergeCell ref="BC213:BF213"/>
    <mergeCell ref="BG213:BJ213"/>
    <mergeCell ref="BC211:BF211"/>
    <mergeCell ref="BG211:BJ211"/>
    <mergeCell ref="BK211:BO211"/>
    <mergeCell ref="A212:R212"/>
    <mergeCell ref="S212:W212"/>
    <mergeCell ref="X212:AC212"/>
    <mergeCell ref="AD212:AI212"/>
    <mergeCell ref="AJ212:AT212"/>
    <mergeCell ref="AU212:BB212"/>
    <mergeCell ref="BC212:BF212"/>
    <mergeCell ref="A211:R211"/>
    <mergeCell ref="S211:W211"/>
    <mergeCell ref="X211:AC211"/>
    <mergeCell ref="AD211:AI211"/>
    <mergeCell ref="AJ211:AT211"/>
    <mergeCell ref="AU211:BB211"/>
    <mergeCell ref="BC215:BF215"/>
    <mergeCell ref="BG215:BJ215"/>
    <mergeCell ref="BK215:BO215"/>
    <mergeCell ref="A216:R216"/>
    <mergeCell ref="S216:W216"/>
    <mergeCell ref="X216:AC216"/>
    <mergeCell ref="AD216:AI216"/>
    <mergeCell ref="AJ216:AT216"/>
    <mergeCell ref="AU216:BB216"/>
    <mergeCell ref="BC216:BF216"/>
    <mergeCell ref="A215:R215"/>
    <mergeCell ref="S215:W215"/>
    <mergeCell ref="X215:AC215"/>
    <mergeCell ref="AD215:AI215"/>
    <mergeCell ref="AJ215:AT215"/>
    <mergeCell ref="AU215:BB215"/>
    <mergeCell ref="BK213:BO213"/>
    <mergeCell ref="A214:R214"/>
    <mergeCell ref="S214:W214"/>
    <mergeCell ref="X214:AC214"/>
    <mergeCell ref="AD214:AI214"/>
    <mergeCell ref="AJ214:AT214"/>
    <mergeCell ref="AU214:BB214"/>
    <mergeCell ref="BC214:BF214"/>
    <mergeCell ref="BG214:BJ214"/>
    <mergeCell ref="BK214:BO214"/>
    <mergeCell ref="BK217:BO217"/>
    <mergeCell ref="A218:R218"/>
    <mergeCell ref="S218:W218"/>
    <mergeCell ref="X218:AC218"/>
    <mergeCell ref="AD218:AI218"/>
    <mergeCell ref="AJ218:AT218"/>
    <mergeCell ref="AU218:BB218"/>
    <mergeCell ref="BC218:BF218"/>
    <mergeCell ref="BG218:BJ218"/>
    <mergeCell ref="BK218:BO218"/>
    <mergeCell ref="BG216:BJ216"/>
    <mergeCell ref="BK216:BO216"/>
    <mergeCell ref="A217:R217"/>
    <mergeCell ref="S217:W217"/>
    <mergeCell ref="X217:AC217"/>
    <mergeCell ref="AD217:AI217"/>
    <mergeCell ref="AJ217:AT217"/>
    <mergeCell ref="AU217:BB217"/>
    <mergeCell ref="BC217:BF217"/>
    <mergeCell ref="BG217:BJ217"/>
    <mergeCell ref="BG220:BJ220"/>
    <mergeCell ref="BK220:BO220"/>
    <mergeCell ref="A221:R221"/>
    <mergeCell ref="S221:W221"/>
    <mergeCell ref="X221:AC221"/>
    <mergeCell ref="AD221:AI221"/>
    <mergeCell ref="AJ221:AT221"/>
    <mergeCell ref="AU221:BB221"/>
    <mergeCell ref="BC221:BF221"/>
    <mergeCell ref="BG221:BJ221"/>
    <mergeCell ref="BC219:BF219"/>
    <mergeCell ref="BG219:BJ219"/>
    <mergeCell ref="BK219:BO219"/>
    <mergeCell ref="A220:R220"/>
    <mergeCell ref="S220:W220"/>
    <mergeCell ref="X220:AC220"/>
    <mergeCell ref="AD220:AI220"/>
    <mergeCell ref="AJ220:AT220"/>
    <mergeCell ref="AU220:BB220"/>
    <mergeCell ref="BC220:BF220"/>
    <mergeCell ref="A219:R219"/>
    <mergeCell ref="S219:W219"/>
    <mergeCell ref="X219:AC219"/>
    <mergeCell ref="AD219:AI219"/>
    <mergeCell ref="AJ219:AT219"/>
    <mergeCell ref="AU219:BB219"/>
    <mergeCell ref="BC223:BF223"/>
    <mergeCell ref="BG223:BJ223"/>
    <mergeCell ref="BK223:BO223"/>
    <mergeCell ref="A224:R224"/>
    <mergeCell ref="S224:W224"/>
    <mergeCell ref="X224:AC224"/>
    <mergeCell ref="AD224:AI224"/>
    <mergeCell ref="AJ224:AT224"/>
    <mergeCell ref="AU224:BB224"/>
    <mergeCell ref="BC224:BF224"/>
    <mergeCell ref="A223:R223"/>
    <mergeCell ref="S223:W223"/>
    <mergeCell ref="X223:AC223"/>
    <mergeCell ref="AD223:AI223"/>
    <mergeCell ref="AJ223:AT223"/>
    <mergeCell ref="AU223:BB223"/>
    <mergeCell ref="BK221:BO221"/>
    <mergeCell ref="A222:R222"/>
    <mergeCell ref="S222:W222"/>
    <mergeCell ref="X222:AC222"/>
    <mergeCell ref="AD222:AI222"/>
    <mergeCell ref="AJ222:AT222"/>
    <mergeCell ref="AU222:BB222"/>
    <mergeCell ref="BC222:BF222"/>
    <mergeCell ref="BG222:BJ222"/>
    <mergeCell ref="BK222:BO222"/>
    <mergeCell ref="BK225:BO225"/>
    <mergeCell ref="A226:R226"/>
    <mergeCell ref="S226:W226"/>
    <mergeCell ref="X226:AC226"/>
    <mergeCell ref="AD226:AI226"/>
    <mergeCell ref="AJ226:AT226"/>
    <mergeCell ref="AU226:BB226"/>
    <mergeCell ref="BC226:BF226"/>
    <mergeCell ref="BG226:BJ226"/>
    <mergeCell ref="BK226:BO226"/>
    <mergeCell ref="BG224:BJ224"/>
    <mergeCell ref="BK224:BO224"/>
    <mergeCell ref="A225:R225"/>
    <mergeCell ref="S225:W225"/>
    <mergeCell ref="X225:AC225"/>
    <mergeCell ref="AD225:AI225"/>
    <mergeCell ref="AJ225:AT225"/>
    <mergeCell ref="AU225:BB225"/>
    <mergeCell ref="BC225:BF225"/>
    <mergeCell ref="BG225:BJ225"/>
    <mergeCell ref="BG228:BJ228"/>
    <mergeCell ref="BK228:BO228"/>
    <mergeCell ref="A229:R229"/>
    <mergeCell ref="S229:W229"/>
    <mergeCell ref="X229:AC229"/>
    <mergeCell ref="AD229:AI229"/>
    <mergeCell ref="AJ229:AT229"/>
    <mergeCell ref="AU229:BB229"/>
    <mergeCell ref="BC229:BF229"/>
    <mergeCell ref="BG229:BJ229"/>
    <mergeCell ref="BC227:BF227"/>
    <mergeCell ref="BG227:BJ227"/>
    <mergeCell ref="BK227:BO227"/>
    <mergeCell ref="A228:R228"/>
    <mergeCell ref="S228:W228"/>
    <mergeCell ref="X228:AC228"/>
    <mergeCell ref="AD228:AI228"/>
    <mergeCell ref="AJ228:AT228"/>
    <mergeCell ref="AU228:BB228"/>
    <mergeCell ref="BC228:BF228"/>
    <mergeCell ref="A227:R227"/>
    <mergeCell ref="S227:W227"/>
    <mergeCell ref="X227:AC227"/>
    <mergeCell ref="AD227:AI227"/>
    <mergeCell ref="AJ227:AT227"/>
    <mergeCell ref="AU227:BB227"/>
    <mergeCell ref="BC231:BF231"/>
    <mergeCell ref="BG231:BJ231"/>
    <mergeCell ref="BK231:BO231"/>
    <mergeCell ref="A232:R232"/>
    <mergeCell ref="S232:W232"/>
    <mergeCell ref="X232:AC232"/>
    <mergeCell ref="AD232:AI232"/>
    <mergeCell ref="AJ232:AT232"/>
    <mergeCell ref="AU232:BB232"/>
    <mergeCell ref="BC232:BF232"/>
    <mergeCell ref="A231:R231"/>
    <mergeCell ref="S231:W231"/>
    <mergeCell ref="X231:AC231"/>
    <mergeCell ref="AD231:AI231"/>
    <mergeCell ref="AJ231:AT231"/>
    <mergeCell ref="AU231:BB231"/>
    <mergeCell ref="BK229:BO229"/>
    <mergeCell ref="A230:R230"/>
    <mergeCell ref="S230:W230"/>
    <mergeCell ref="X230:AC230"/>
    <mergeCell ref="AD230:AI230"/>
    <mergeCell ref="AJ230:AT230"/>
    <mergeCell ref="AU230:BB230"/>
    <mergeCell ref="BC230:BF230"/>
    <mergeCell ref="BG230:BJ230"/>
    <mergeCell ref="BK230:BO230"/>
    <mergeCell ref="BK233:BO233"/>
    <mergeCell ref="A234:R234"/>
    <mergeCell ref="S234:W234"/>
    <mergeCell ref="X234:AC234"/>
    <mergeCell ref="AD234:AI234"/>
    <mergeCell ref="AJ234:AT234"/>
    <mergeCell ref="AU234:BB234"/>
    <mergeCell ref="BC234:BF234"/>
    <mergeCell ref="BG234:BJ234"/>
    <mergeCell ref="BK234:BO234"/>
    <mergeCell ref="BG232:BJ232"/>
    <mergeCell ref="BK232:BO232"/>
    <mergeCell ref="A233:R233"/>
    <mergeCell ref="S233:W233"/>
    <mergeCell ref="X233:AC233"/>
    <mergeCell ref="AD233:AI233"/>
    <mergeCell ref="AJ233:AT233"/>
    <mergeCell ref="AU233:BB233"/>
    <mergeCell ref="BC233:BF233"/>
    <mergeCell ref="BG233:BJ233"/>
    <mergeCell ref="BG236:BJ236"/>
    <mergeCell ref="BK236:BO236"/>
    <mergeCell ref="A237:R237"/>
    <mergeCell ref="S237:W237"/>
    <mergeCell ref="X237:AC237"/>
    <mergeCell ref="AD237:AI237"/>
    <mergeCell ref="AJ237:AT237"/>
    <mergeCell ref="AU237:BB237"/>
    <mergeCell ref="BC237:BF237"/>
    <mergeCell ref="BG237:BJ237"/>
    <mergeCell ref="BC235:BF235"/>
    <mergeCell ref="BG235:BJ235"/>
    <mergeCell ref="BK235:BO235"/>
    <mergeCell ref="A236:R236"/>
    <mergeCell ref="S236:W236"/>
    <mergeCell ref="X236:AC236"/>
    <mergeCell ref="AD236:AI236"/>
    <mergeCell ref="AJ236:AT236"/>
    <mergeCell ref="AU236:BB236"/>
    <mergeCell ref="BC236:BF236"/>
    <mergeCell ref="A235:R235"/>
    <mergeCell ref="S235:W235"/>
    <mergeCell ref="X235:AC235"/>
    <mergeCell ref="AD235:AI235"/>
    <mergeCell ref="AJ235:AT235"/>
    <mergeCell ref="AU235:BB235"/>
    <mergeCell ref="BC239:BF239"/>
    <mergeCell ref="BG239:BJ239"/>
    <mergeCell ref="BK239:BO239"/>
    <mergeCell ref="A240:R240"/>
    <mergeCell ref="S240:W240"/>
    <mergeCell ref="X240:AC240"/>
    <mergeCell ref="AD240:AI240"/>
    <mergeCell ref="AJ240:AT240"/>
    <mergeCell ref="AU240:BB240"/>
    <mergeCell ref="BC240:BF240"/>
    <mergeCell ref="A239:R239"/>
    <mergeCell ref="S239:W239"/>
    <mergeCell ref="X239:AC239"/>
    <mergeCell ref="AD239:AI239"/>
    <mergeCell ref="AJ239:AT239"/>
    <mergeCell ref="AU239:BB239"/>
    <mergeCell ref="BK237:BO237"/>
    <mergeCell ref="A238:R238"/>
    <mergeCell ref="S238:W238"/>
    <mergeCell ref="X238:AC238"/>
    <mergeCell ref="AD238:AI238"/>
    <mergeCell ref="AJ238:AT238"/>
    <mergeCell ref="AU238:BB238"/>
    <mergeCell ref="BC238:BF238"/>
    <mergeCell ref="BG238:BJ238"/>
    <mergeCell ref="BK238:BO238"/>
    <mergeCell ref="BK241:BO241"/>
    <mergeCell ref="A242:R242"/>
    <mergeCell ref="S242:W242"/>
    <mergeCell ref="X242:AC242"/>
    <mergeCell ref="AD242:AI242"/>
    <mergeCell ref="AJ242:AT242"/>
    <mergeCell ref="AU242:BB242"/>
    <mergeCell ref="BC242:BF242"/>
    <mergeCell ref="BG242:BJ242"/>
    <mergeCell ref="BK242:BO242"/>
    <mergeCell ref="BG240:BJ240"/>
    <mergeCell ref="BK240:BO240"/>
    <mergeCell ref="A241:R241"/>
    <mergeCell ref="S241:W241"/>
    <mergeCell ref="X241:AC241"/>
    <mergeCell ref="AD241:AI241"/>
    <mergeCell ref="AJ241:AT241"/>
    <mergeCell ref="AU241:BB241"/>
    <mergeCell ref="BC241:BF241"/>
    <mergeCell ref="BG241:BJ241"/>
    <mergeCell ref="BG244:BJ244"/>
    <mergeCell ref="BK244:BO244"/>
    <mergeCell ref="A245:R245"/>
    <mergeCell ref="S245:W245"/>
    <mergeCell ref="X245:AC245"/>
    <mergeCell ref="AD245:AI245"/>
    <mergeCell ref="AJ245:AT245"/>
    <mergeCell ref="AU245:BB245"/>
    <mergeCell ref="BC245:BF245"/>
    <mergeCell ref="BG245:BJ245"/>
    <mergeCell ref="BC243:BF243"/>
    <mergeCell ref="BG243:BJ243"/>
    <mergeCell ref="BK243:BO243"/>
    <mergeCell ref="A244:R244"/>
    <mergeCell ref="S244:W244"/>
    <mergeCell ref="X244:AC244"/>
    <mergeCell ref="AD244:AI244"/>
    <mergeCell ref="AJ244:AT244"/>
    <mergeCell ref="AU244:BB244"/>
    <mergeCell ref="BC244:BF244"/>
    <mergeCell ref="A243:R243"/>
    <mergeCell ref="S243:W243"/>
    <mergeCell ref="X243:AC243"/>
    <mergeCell ref="AD243:AI243"/>
    <mergeCell ref="AJ243:AT243"/>
    <mergeCell ref="AU243:BB243"/>
    <mergeCell ref="BC247:BF247"/>
    <mergeCell ref="BG247:BJ247"/>
    <mergeCell ref="BK247:BO247"/>
    <mergeCell ref="A248:R248"/>
    <mergeCell ref="S248:W248"/>
    <mergeCell ref="X248:AC248"/>
    <mergeCell ref="AD248:AI248"/>
    <mergeCell ref="AJ248:AT248"/>
    <mergeCell ref="AU248:BB248"/>
    <mergeCell ref="BC248:BF248"/>
    <mergeCell ref="A247:R247"/>
    <mergeCell ref="S247:W247"/>
    <mergeCell ref="X247:AC247"/>
    <mergeCell ref="AD247:AI247"/>
    <mergeCell ref="AJ247:AT247"/>
    <mergeCell ref="AU247:BB247"/>
    <mergeCell ref="BK245:BO245"/>
    <mergeCell ref="A246:R246"/>
    <mergeCell ref="S246:W246"/>
    <mergeCell ref="X246:AC246"/>
    <mergeCell ref="AD246:AI246"/>
    <mergeCell ref="AJ246:AT246"/>
    <mergeCell ref="AU246:BB246"/>
    <mergeCell ref="BC246:BF246"/>
    <mergeCell ref="BG246:BJ246"/>
    <mergeCell ref="BK246:BO246"/>
    <mergeCell ref="BK249:BO249"/>
    <mergeCell ref="A250:R250"/>
    <mergeCell ref="S250:W250"/>
    <mergeCell ref="X250:AC250"/>
    <mergeCell ref="AD250:AI250"/>
    <mergeCell ref="AJ250:AT250"/>
    <mergeCell ref="AU250:BB250"/>
    <mergeCell ref="BC250:BF250"/>
    <mergeCell ref="BG250:BJ250"/>
    <mergeCell ref="BK250:BO250"/>
    <mergeCell ref="BG248:BJ248"/>
    <mergeCell ref="BK248:BO248"/>
    <mergeCell ref="A249:R249"/>
    <mergeCell ref="S249:W249"/>
    <mergeCell ref="X249:AC249"/>
    <mergeCell ref="AD249:AI249"/>
    <mergeCell ref="AJ249:AT249"/>
    <mergeCell ref="AU249:BB249"/>
    <mergeCell ref="BC249:BF249"/>
    <mergeCell ref="BG249:BJ249"/>
    <mergeCell ref="BG252:BJ252"/>
    <mergeCell ref="BK252:BO252"/>
    <mergeCell ref="A253:R253"/>
    <mergeCell ref="S253:W253"/>
    <mergeCell ref="X253:AC253"/>
    <mergeCell ref="AD253:AI253"/>
    <mergeCell ref="AJ253:AT253"/>
    <mergeCell ref="AU253:BB253"/>
    <mergeCell ref="BC253:BF253"/>
    <mergeCell ref="BG253:BJ253"/>
    <mergeCell ref="BC251:BF251"/>
    <mergeCell ref="BG251:BJ251"/>
    <mergeCell ref="BK251:BO251"/>
    <mergeCell ref="A252:R252"/>
    <mergeCell ref="S252:W252"/>
    <mergeCell ref="X252:AC252"/>
    <mergeCell ref="AD252:AI252"/>
    <mergeCell ref="AJ252:AT252"/>
    <mergeCell ref="AU252:BB252"/>
    <mergeCell ref="BC252:BF252"/>
    <mergeCell ref="A251:R251"/>
    <mergeCell ref="S251:W251"/>
    <mergeCell ref="X251:AC251"/>
    <mergeCell ref="AD251:AI251"/>
    <mergeCell ref="AJ251:AT251"/>
    <mergeCell ref="AU251:BB251"/>
    <mergeCell ref="BC255:BF255"/>
    <mergeCell ref="BG255:BJ255"/>
    <mergeCell ref="BK255:BO255"/>
    <mergeCell ref="A256:R256"/>
    <mergeCell ref="S256:W256"/>
    <mergeCell ref="X256:AC256"/>
    <mergeCell ref="AD256:AI256"/>
    <mergeCell ref="AJ256:AT256"/>
    <mergeCell ref="AU256:BB256"/>
    <mergeCell ref="BC256:BF256"/>
    <mergeCell ref="A255:R255"/>
    <mergeCell ref="S255:W255"/>
    <mergeCell ref="X255:AC255"/>
    <mergeCell ref="AD255:AI255"/>
    <mergeCell ref="AJ255:AT255"/>
    <mergeCell ref="AU255:BB255"/>
    <mergeCell ref="BK253:BO253"/>
    <mergeCell ref="A254:R254"/>
    <mergeCell ref="S254:W254"/>
    <mergeCell ref="X254:AC254"/>
    <mergeCell ref="AD254:AI254"/>
    <mergeCell ref="AJ254:AT254"/>
    <mergeCell ref="AU254:BB254"/>
    <mergeCell ref="BC254:BF254"/>
    <mergeCell ref="BG254:BJ254"/>
    <mergeCell ref="BK254:BO254"/>
    <mergeCell ref="BK257:BO257"/>
    <mergeCell ref="A258:R258"/>
    <mergeCell ref="S258:W258"/>
    <mergeCell ref="X258:AC258"/>
    <mergeCell ref="AD258:AI258"/>
    <mergeCell ref="AJ258:AT258"/>
    <mergeCell ref="AU258:BB258"/>
    <mergeCell ref="BC258:BF258"/>
    <mergeCell ref="BG258:BJ258"/>
    <mergeCell ref="BK258:BO258"/>
    <mergeCell ref="BG256:BJ256"/>
    <mergeCell ref="BK256:BO256"/>
    <mergeCell ref="A257:R257"/>
    <mergeCell ref="S257:W257"/>
    <mergeCell ref="X257:AC257"/>
    <mergeCell ref="AD257:AI257"/>
    <mergeCell ref="AJ257:AT257"/>
    <mergeCell ref="AU257:BB257"/>
    <mergeCell ref="BC257:BF257"/>
    <mergeCell ref="BG257:BJ257"/>
    <mergeCell ref="BG260:BJ260"/>
    <mergeCell ref="BK260:BO260"/>
    <mergeCell ref="A261:R261"/>
    <mergeCell ref="S261:W261"/>
    <mergeCell ref="X261:AC261"/>
    <mergeCell ref="AD261:AI261"/>
    <mergeCell ref="AJ261:AT261"/>
    <mergeCell ref="AU261:BB261"/>
    <mergeCell ref="BC261:BF261"/>
    <mergeCell ref="BG261:BJ261"/>
    <mergeCell ref="BC259:BF259"/>
    <mergeCell ref="BG259:BJ259"/>
    <mergeCell ref="BK259:BO259"/>
    <mergeCell ref="A260:R260"/>
    <mergeCell ref="S260:W260"/>
    <mergeCell ref="X260:AC260"/>
    <mergeCell ref="AD260:AI260"/>
    <mergeCell ref="AJ260:AT260"/>
    <mergeCell ref="AU260:BB260"/>
    <mergeCell ref="BC260:BF260"/>
    <mergeCell ref="A259:R259"/>
    <mergeCell ref="S259:W259"/>
    <mergeCell ref="X259:AC259"/>
    <mergeCell ref="AD259:AI259"/>
    <mergeCell ref="AJ259:AT259"/>
    <mergeCell ref="AU259:BB259"/>
    <mergeCell ref="BC263:BF263"/>
    <mergeCell ref="BG263:BJ263"/>
    <mergeCell ref="BK263:BO263"/>
    <mergeCell ref="A264:R264"/>
    <mergeCell ref="S264:W264"/>
    <mergeCell ref="X264:AC264"/>
    <mergeCell ref="AD264:AI264"/>
    <mergeCell ref="AJ264:AT264"/>
    <mergeCell ref="AU264:BB264"/>
    <mergeCell ref="BC264:BF264"/>
    <mergeCell ref="A263:R263"/>
    <mergeCell ref="S263:W263"/>
    <mergeCell ref="X263:AC263"/>
    <mergeCell ref="AD263:AI263"/>
    <mergeCell ref="AJ263:AT263"/>
    <mergeCell ref="AU263:BB263"/>
    <mergeCell ref="BK261:BO261"/>
    <mergeCell ref="A262:R262"/>
    <mergeCell ref="S262:W262"/>
    <mergeCell ref="X262:AC262"/>
    <mergeCell ref="AD262:AI262"/>
    <mergeCell ref="AJ262:AT262"/>
    <mergeCell ref="AU262:BB262"/>
    <mergeCell ref="BC262:BF262"/>
    <mergeCell ref="BG262:BJ262"/>
    <mergeCell ref="BK262:BO262"/>
    <mergeCell ref="BK265:BO265"/>
    <mergeCell ref="A266:R266"/>
    <mergeCell ref="S266:W266"/>
    <mergeCell ref="X266:AC266"/>
    <mergeCell ref="AD266:AI266"/>
    <mergeCell ref="AJ266:AT266"/>
    <mergeCell ref="AU266:BB266"/>
    <mergeCell ref="BC266:BF266"/>
    <mergeCell ref="BG266:BJ266"/>
    <mergeCell ref="BK266:BO266"/>
    <mergeCell ref="BG264:BJ264"/>
    <mergeCell ref="BK264:BO264"/>
    <mergeCell ref="A265:R265"/>
    <mergeCell ref="S265:W265"/>
    <mergeCell ref="X265:AC265"/>
    <mergeCell ref="AD265:AI265"/>
    <mergeCell ref="AJ265:AT265"/>
    <mergeCell ref="AU265:BB265"/>
    <mergeCell ref="BC265:BF265"/>
    <mergeCell ref="BG265:BJ265"/>
    <mergeCell ref="BG268:BJ268"/>
    <mergeCell ref="BK268:BO268"/>
    <mergeCell ref="A269:R269"/>
    <mergeCell ref="S269:W269"/>
    <mergeCell ref="X269:AC269"/>
    <mergeCell ref="AD269:AI269"/>
    <mergeCell ref="AJ269:AT269"/>
    <mergeCell ref="AU269:BB269"/>
    <mergeCell ref="BC269:BF269"/>
    <mergeCell ref="BG269:BJ269"/>
    <mergeCell ref="BC267:BF267"/>
    <mergeCell ref="BG267:BJ267"/>
    <mergeCell ref="BK267:BO267"/>
    <mergeCell ref="A268:R268"/>
    <mergeCell ref="S268:W268"/>
    <mergeCell ref="X268:AC268"/>
    <mergeCell ref="AD268:AI268"/>
    <mergeCell ref="AJ268:AT268"/>
    <mergeCell ref="AU268:BB268"/>
    <mergeCell ref="BC268:BF268"/>
    <mergeCell ref="A267:R267"/>
    <mergeCell ref="S267:W267"/>
    <mergeCell ref="X267:AC267"/>
    <mergeCell ref="AD267:AI267"/>
    <mergeCell ref="AJ267:AT267"/>
    <mergeCell ref="AU267:BB267"/>
    <mergeCell ref="BC271:BF271"/>
    <mergeCell ref="BG271:BJ271"/>
    <mergeCell ref="BK271:BO271"/>
    <mergeCell ref="A272:R272"/>
    <mergeCell ref="S272:W272"/>
    <mergeCell ref="X272:AC272"/>
    <mergeCell ref="AD272:AI272"/>
    <mergeCell ref="AJ272:AT272"/>
    <mergeCell ref="AU272:BB272"/>
    <mergeCell ref="BC272:BF272"/>
    <mergeCell ref="A271:R271"/>
    <mergeCell ref="S271:W271"/>
    <mergeCell ref="X271:AC271"/>
    <mergeCell ref="AD271:AI271"/>
    <mergeCell ref="AJ271:AT271"/>
    <mergeCell ref="AU271:BB271"/>
    <mergeCell ref="BK269:BO269"/>
    <mergeCell ref="A270:R270"/>
    <mergeCell ref="S270:W270"/>
    <mergeCell ref="X270:AC270"/>
    <mergeCell ref="AD270:AI270"/>
    <mergeCell ref="AJ270:AT270"/>
    <mergeCell ref="AU270:BB270"/>
    <mergeCell ref="BC270:BF270"/>
    <mergeCell ref="BG270:BJ270"/>
    <mergeCell ref="BK270:BO270"/>
    <mergeCell ref="BK273:BO273"/>
    <mergeCell ref="A274:R274"/>
    <mergeCell ref="S274:W274"/>
    <mergeCell ref="X274:AC274"/>
    <mergeCell ref="AD274:AI274"/>
    <mergeCell ref="AJ274:AT274"/>
    <mergeCell ref="AU274:BB274"/>
    <mergeCell ref="BC274:BF274"/>
    <mergeCell ref="BG274:BJ274"/>
    <mergeCell ref="BK274:BO274"/>
    <mergeCell ref="BG272:BJ272"/>
    <mergeCell ref="BK272:BO272"/>
    <mergeCell ref="A273:R273"/>
    <mergeCell ref="S273:W273"/>
    <mergeCell ref="X273:AC273"/>
    <mergeCell ref="AD273:AI273"/>
    <mergeCell ref="AJ273:AT273"/>
    <mergeCell ref="AU273:BB273"/>
    <mergeCell ref="BC273:BF273"/>
    <mergeCell ref="BG273:BJ273"/>
    <mergeCell ref="BG276:BJ276"/>
    <mergeCell ref="BK276:BO276"/>
    <mergeCell ref="A277:R277"/>
    <mergeCell ref="S277:W277"/>
    <mergeCell ref="X277:AC277"/>
    <mergeCell ref="AD277:AI277"/>
    <mergeCell ref="AJ277:AT277"/>
    <mergeCell ref="AU277:BB277"/>
    <mergeCell ref="BC277:BF277"/>
    <mergeCell ref="BG277:BJ277"/>
    <mergeCell ref="BC275:BF275"/>
    <mergeCell ref="BG275:BJ275"/>
    <mergeCell ref="BK275:BO275"/>
    <mergeCell ref="A276:R276"/>
    <mergeCell ref="S276:W276"/>
    <mergeCell ref="X276:AC276"/>
    <mergeCell ref="AD276:AI276"/>
    <mergeCell ref="AJ276:AT276"/>
    <mergeCell ref="AU276:BB276"/>
    <mergeCell ref="BC276:BF276"/>
    <mergeCell ref="A275:R275"/>
    <mergeCell ref="S275:W275"/>
    <mergeCell ref="X275:AC275"/>
    <mergeCell ref="AD275:AI275"/>
    <mergeCell ref="AJ275:AT275"/>
    <mergeCell ref="AU275:BB275"/>
    <mergeCell ref="BC279:BF279"/>
    <mergeCell ref="BG279:BJ279"/>
    <mergeCell ref="BK279:BO279"/>
    <mergeCell ref="A280:R280"/>
    <mergeCell ref="S280:W280"/>
    <mergeCell ref="X280:AC280"/>
    <mergeCell ref="AD280:AI280"/>
    <mergeCell ref="AJ280:AT280"/>
    <mergeCell ref="AU280:BB280"/>
    <mergeCell ref="BC280:BF280"/>
    <mergeCell ref="A279:R279"/>
    <mergeCell ref="S279:W279"/>
    <mergeCell ref="X279:AC279"/>
    <mergeCell ref="AD279:AI279"/>
    <mergeCell ref="AJ279:AT279"/>
    <mergeCell ref="AU279:BB279"/>
    <mergeCell ref="BK277:BO277"/>
    <mergeCell ref="A278:R278"/>
    <mergeCell ref="S278:W278"/>
    <mergeCell ref="X278:AC278"/>
    <mergeCell ref="AD278:AI278"/>
    <mergeCell ref="AJ278:AT278"/>
    <mergeCell ref="AU278:BB278"/>
    <mergeCell ref="BC278:BF278"/>
    <mergeCell ref="BG278:BJ278"/>
    <mergeCell ref="BK278:BO278"/>
    <mergeCell ref="BK281:BO281"/>
    <mergeCell ref="A282:R282"/>
    <mergeCell ref="S282:W282"/>
    <mergeCell ref="X282:AC282"/>
    <mergeCell ref="AD282:AI282"/>
    <mergeCell ref="AJ282:AT282"/>
    <mergeCell ref="AU282:BB282"/>
    <mergeCell ref="BC282:BF282"/>
    <mergeCell ref="BG282:BJ282"/>
    <mergeCell ref="BK282:BO282"/>
    <mergeCell ref="BG280:BJ280"/>
    <mergeCell ref="BK280:BO280"/>
    <mergeCell ref="A281:R281"/>
    <mergeCell ref="S281:W281"/>
    <mergeCell ref="X281:AC281"/>
    <mergeCell ref="AD281:AI281"/>
    <mergeCell ref="AJ281:AT281"/>
    <mergeCell ref="AU281:BB281"/>
    <mergeCell ref="BC281:BF281"/>
    <mergeCell ref="BG281:BJ281"/>
    <mergeCell ref="BG284:BJ284"/>
    <mergeCell ref="BK284:BO284"/>
    <mergeCell ref="A285:R285"/>
    <mergeCell ref="S285:W285"/>
    <mergeCell ref="X285:AC285"/>
    <mergeCell ref="AD285:AI285"/>
    <mergeCell ref="AJ285:AT285"/>
    <mergeCell ref="AU285:BB285"/>
    <mergeCell ref="BC285:BF285"/>
    <mergeCell ref="BG285:BJ285"/>
    <mergeCell ref="BC283:BF283"/>
    <mergeCell ref="BG283:BJ283"/>
    <mergeCell ref="BK283:BO283"/>
    <mergeCell ref="A284:R284"/>
    <mergeCell ref="S284:W284"/>
    <mergeCell ref="X284:AC284"/>
    <mergeCell ref="AD284:AI284"/>
    <mergeCell ref="AJ284:AT284"/>
    <mergeCell ref="AU284:BB284"/>
    <mergeCell ref="BC284:BF284"/>
    <mergeCell ref="A283:R283"/>
    <mergeCell ref="S283:W283"/>
    <mergeCell ref="X283:AC283"/>
    <mergeCell ref="AD283:AI283"/>
    <mergeCell ref="AJ283:AT283"/>
    <mergeCell ref="AU283:BB283"/>
    <mergeCell ref="BC287:BF287"/>
    <mergeCell ref="BG287:BJ287"/>
    <mergeCell ref="BK287:BO287"/>
    <mergeCell ref="A288:R288"/>
    <mergeCell ref="S288:W288"/>
    <mergeCell ref="X288:AC288"/>
    <mergeCell ref="AD288:AI288"/>
    <mergeCell ref="AJ288:AT288"/>
    <mergeCell ref="AU288:BB288"/>
    <mergeCell ref="BC288:BF288"/>
    <mergeCell ref="A287:R287"/>
    <mergeCell ref="S287:W287"/>
    <mergeCell ref="X287:AC287"/>
    <mergeCell ref="AD287:AI287"/>
    <mergeCell ref="AJ287:AT287"/>
    <mergeCell ref="AU287:BB287"/>
    <mergeCell ref="BK285:BO285"/>
    <mergeCell ref="A286:R286"/>
    <mergeCell ref="S286:W286"/>
    <mergeCell ref="X286:AC286"/>
    <mergeCell ref="AD286:AI286"/>
    <mergeCell ref="AJ286:AT286"/>
    <mergeCell ref="AU286:BB286"/>
    <mergeCell ref="BC286:BF286"/>
    <mergeCell ref="BG286:BJ286"/>
    <mergeCell ref="BK286:BO286"/>
    <mergeCell ref="BK289:BO289"/>
    <mergeCell ref="A290:R290"/>
    <mergeCell ref="S290:W290"/>
    <mergeCell ref="X290:AC290"/>
    <mergeCell ref="AD290:AI290"/>
    <mergeCell ref="AJ290:AT290"/>
    <mergeCell ref="AU290:BB290"/>
    <mergeCell ref="BC290:BF290"/>
    <mergeCell ref="BG290:BJ290"/>
    <mergeCell ref="BK290:BO290"/>
    <mergeCell ref="BG288:BJ288"/>
    <mergeCell ref="BK288:BO288"/>
    <mergeCell ref="A289:R289"/>
    <mergeCell ref="S289:W289"/>
    <mergeCell ref="X289:AC289"/>
    <mergeCell ref="AD289:AI289"/>
    <mergeCell ref="AJ289:AT289"/>
    <mergeCell ref="AU289:BB289"/>
    <mergeCell ref="BC289:BF289"/>
    <mergeCell ref="BG289:BJ289"/>
    <mergeCell ref="BG292:BJ292"/>
    <mergeCell ref="BK292:BO292"/>
    <mergeCell ref="A293:R293"/>
    <mergeCell ref="S293:W293"/>
    <mergeCell ref="X293:AC293"/>
    <mergeCell ref="AD293:AI293"/>
    <mergeCell ref="AJ293:AT293"/>
    <mergeCell ref="AU293:BB293"/>
    <mergeCell ref="BC293:BF293"/>
    <mergeCell ref="BG293:BJ293"/>
    <mergeCell ref="BC291:BF291"/>
    <mergeCell ref="BG291:BJ291"/>
    <mergeCell ref="BK291:BO291"/>
    <mergeCell ref="A292:R292"/>
    <mergeCell ref="S292:W292"/>
    <mergeCell ref="X292:AC292"/>
    <mergeCell ref="AD292:AI292"/>
    <mergeCell ref="AJ292:AT292"/>
    <mergeCell ref="AU292:BB292"/>
    <mergeCell ref="BC292:BF292"/>
    <mergeCell ref="A291:R291"/>
    <mergeCell ref="S291:W291"/>
    <mergeCell ref="X291:AC291"/>
    <mergeCell ref="AD291:AI291"/>
    <mergeCell ref="AJ291:AT291"/>
    <mergeCell ref="AU291:BB291"/>
    <mergeCell ref="BC295:BF295"/>
    <mergeCell ref="BG295:BJ295"/>
    <mergeCell ref="BK295:BO295"/>
    <mergeCell ref="A296:R296"/>
    <mergeCell ref="S296:W296"/>
    <mergeCell ref="X296:AC296"/>
    <mergeCell ref="AD296:AI296"/>
    <mergeCell ref="AJ296:AT296"/>
    <mergeCell ref="AU296:BB296"/>
    <mergeCell ref="BC296:BF296"/>
    <mergeCell ref="A295:R295"/>
    <mergeCell ref="S295:W295"/>
    <mergeCell ref="X295:AC295"/>
    <mergeCell ref="AD295:AI295"/>
    <mergeCell ref="AJ295:AT295"/>
    <mergeCell ref="AU295:BB295"/>
    <mergeCell ref="BK293:BO293"/>
    <mergeCell ref="A294:R294"/>
    <mergeCell ref="S294:W294"/>
    <mergeCell ref="X294:AC294"/>
    <mergeCell ref="AD294:AI294"/>
    <mergeCell ref="AJ294:AT294"/>
    <mergeCell ref="AU294:BB294"/>
    <mergeCell ref="BC294:BF294"/>
    <mergeCell ref="BG294:BJ294"/>
    <mergeCell ref="BK294:BO294"/>
    <mergeCell ref="BK297:BO297"/>
    <mergeCell ref="A298:R298"/>
    <mergeCell ref="S298:W298"/>
    <mergeCell ref="X298:AC298"/>
    <mergeCell ref="AD298:AI298"/>
    <mergeCell ref="AJ298:AT298"/>
    <mergeCell ref="AU298:BB298"/>
    <mergeCell ref="BC298:BF298"/>
    <mergeCell ref="BG298:BJ298"/>
    <mergeCell ref="BK298:BO298"/>
    <mergeCell ref="BG296:BJ296"/>
    <mergeCell ref="BK296:BO296"/>
    <mergeCell ref="A297:R297"/>
    <mergeCell ref="S297:W297"/>
    <mergeCell ref="X297:AC297"/>
    <mergeCell ref="AD297:AI297"/>
    <mergeCell ref="AJ297:AT297"/>
    <mergeCell ref="AU297:BB297"/>
    <mergeCell ref="BC297:BF297"/>
    <mergeCell ref="BG297:BJ297"/>
    <mergeCell ref="BG300:BJ300"/>
    <mergeCell ref="BK300:BO300"/>
    <mergeCell ref="A301:AX301"/>
    <mergeCell ref="A302:BN302"/>
    <mergeCell ref="A303:AX303"/>
    <mergeCell ref="A304:R305"/>
    <mergeCell ref="S304:S305"/>
    <mergeCell ref="T304:W304"/>
    <mergeCell ref="X304:X305"/>
    <mergeCell ref="Y304:AC304"/>
    <mergeCell ref="BC299:BF299"/>
    <mergeCell ref="BG299:BJ299"/>
    <mergeCell ref="BK299:BO299"/>
    <mergeCell ref="A300:R300"/>
    <mergeCell ref="S300:W300"/>
    <mergeCell ref="X300:AC300"/>
    <mergeCell ref="AD300:AI300"/>
    <mergeCell ref="AJ300:AT300"/>
    <mergeCell ref="AU300:BB300"/>
    <mergeCell ref="BC300:BF300"/>
    <mergeCell ref="A299:R299"/>
    <mergeCell ref="S299:W299"/>
    <mergeCell ref="X299:AC299"/>
    <mergeCell ref="AD299:AI299"/>
    <mergeCell ref="AJ299:AT299"/>
    <mergeCell ref="AU299:BB299"/>
    <mergeCell ref="T305:W305"/>
    <mergeCell ref="Y305:AC305"/>
    <mergeCell ref="AE305:AI305"/>
    <mergeCell ref="AL305:AT305"/>
    <mergeCell ref="AV305:BB305"/>
    <mergeCell ref="BD305:BF305"/>
    <mergeCell ref="BC304:BC305"/>
    <mergeCell ref="BD304:BF304"/>
    <mergeCell ref="BG304:BG305"/>
    <mergeCell ref="BH304:BJ304"/>
    <mergeCell ref="BK304:BK305"/>
    <mergeCell ref="BL304:BO304"/>
    <mergeCell ref="BH305:BJ305"/>
    <mergeCell ref="BL305:BO305"/>
    <mergeCell ref="AD304:AD305"/>
    <mergeCell ref="AE304:AI304"/>
    <mergeCell ref="AJ304:AK305"/>
    <mergeCell ref="AL304:AT304"/>
    <mergeCell ref="AU304:AU305"/>
    <mergeCell ref="AV304:BB304"/>
    <mergeCell ref="BI308:BJ308"/>
    <mergeCell ref="BM308:BO308"/>
    <mergeCell ref="S309:T309"/>
    <mergeCell ref="U309:W309"/>
    <mergeCell ref="X309:Y309"/>
    <mergeCell ref="Z309:AC309"/>
    <mergeCell ref="AD309:AE309"/>
    <mergeCell ref="AF309:AI309"/>
    <mergeCell ref="AJ309:AL309"/>
    <mergeCell ref="AM309:AT309"/>
    <mergeCell ref="U308:W308"/>
    <mergeCell ref="Z308:AC308"/>
    <mergeCell ref="AF308:AI308"/>
    <mergeCell ref="AM308:AT308"/>
    <mergeCell ref="AX308:BB308"/>
    <mergeCell ref="BE308:BF308"/>
    <mergeCell ref="BI306:BJ306"/>
    <mergeCell ref="BM306:BO306"/>
    <mergeCell ref="U307:W307"/>
    <mergeCell ref="Z307:AC307"/>
    <mergeCell ref="AF307:AI307"/>
    <mergeCell ref="AM307:AT307"/>
    <mergeCell ref="AX307:BB307"/>
    <mergeCell ref="BE307:BF307"/>
    <mergeCell ref="BI307:BJ307"/>
    <mergeCell ref="BM307:BO307"/>
    <mergeCell ref="U306:W306"/>
    <mergeCell ref="Z306:AC306"/>
    <mergeCell ref="AF306:AI306"/>
    <mergeCell ref="AM306:AT306"/>
    <mergeCell ref="AX306:BB306"/>
    <mergeCell ref="BE306:BF306"/>
    <mergeCell ref="BK310:BO310"/>
    <mergeCell ref="A311:R311"/>
    <mergeCell ref="S311:W311"/>
    <mergeCell ref="X311:AC311"/>
    <mergeCell ref="AD311:AI311"/>
    <mergeCell ref="AJ311:AT311"/>
    <mergeCell ref="AU311:BB311"/>
    <mergeCell ref="BC311:BF311"/>
    <mergeCell ref="BG311:BJ311"/>
    <mergeCell ref="BK311:BO311"/>
    <mergeCell ref="BK309:BL309"/>
    <mergeCell ref="BM309:BO309"/>
    <mergeCell ref="A310:R310"/>
    <mergeCell ref="S310:W310"/>
    <mergeCell ref="X310:AC310"/>
    <mergeCell ref="AD310:AI310"/>
    <mergeCell ref="AJ310:AT310"/>
    <mergeCell ref="AU310:BB310"/>
    <mergeCell ref="BC310:BF310"/>
    <mergeCell ref="BG310:BJ310"/>
    <mergeCell ref="AU309:AW309"/>
    <mergeCell ref="AX309:BB309"/>
    <mergeCell ref="BC309:BD309"/>
    <mergeCell ref="BE309:BF309"/>
    <mergeCell ref="BG309:BH309"/>
    <mergeCell ref="BI309:BJ309"/>
    <mergeCell ref="BG313:BJ313"/>
    <mergeCell ref="BK313:BO313"/>
    <mergeCell ref="A314:R314"/>
    <mergeCell ref="S314:W314"/>
    <mergeCell ref="X314:AC314"/>
    <mergeCell ref="AD314:AI314"/>
    <mergeCell ref="AJ314:AT314"/>
    <mergeCell ref="AU314:BB314"/>
    <mergeCell ref="BC314:BF314"/>
    <mergeCell ref="BG314:BJ314"/>
    <mergeCell ref="BC312:BF312"/>
    <mergeCell ref="BG312:BJ312"/>
    <mergeCell ref="BK312:BO312"/>
    <mergeCell ref="A313:R313"/>
    <mergeCell ref="S313:W313"/>
    <mergeCell ref="X313:AC313"/>
    <mergeCell ref="AD313:AI313"/>
    <mergeCell ref="AJ313:AT313"/>
    <mergeCell ref="AU313:BB313"/>
    <mergeCell ref="BC313:BF313"/>
    <mergeCell ref="A312:R312"/>
    <mergeCell ref="S312:W312"/>
    <mergeCell ref="X312:AC312"/>
    <mergeCell ref="AD312:AI312"/>
    <mergeCell ref="AJ312:AT312"/>
    <mergeCell ref="AU312:BB312"/>
    <mergeCell ref="BC316:BF316"/>
    <mergeCell ref="BG316:BJ316"/>
    <mergeCell ref="BK316:BO316"/>
    <mergeCell ref="A317:R317"/>
    <mergeCell ref="S317:W317"/>
    <mergeCell ref="X317:AC317"/>
    <mergeCell ref="AD317:AI317"/>
    <mergeCell ref="AJ317:AT317"/>
    <mergeCell ref="AU317:BB317"/>
    <mergeCell ref="BC317:BF317"/>
    <mergeCell ref="A316:R316"/>
    <mergeCell ref="S316:W316"/>
    <mergeCell ref="X316:AC316"/>
    <mergeCell ref="AD316:AI316"/>
    <mergeCell ref="AJ316:AT316"/>
    <mergeCell ref="AU316:BB316"/>
    <mergeCell ref="BK314:BO314"/>
    <mergeCell ref="A315:R315"/>
    <mergeCell ref="S315:W315"/>
    <mergeCell ref="X315:AC315"/>
    <mergeCell ref="AD315:AI315"/>
    <mergeCell ref="AJ315:AT315"/>
    <mergeCell ref="AU315:BB315"/>
    <mergeCell ref="BC315:BF315"/>
    <mergeCell ref="BG315:BJ315"/>
    <mergeCell ref="BK315:BO315"/>
    <mergeCell ref="BK318:BO318"/>
    <mergeCell ref="A319:R319"/>
    <mergeCell ref="S319:W319"/>
    <mergeCell ref="X319:AC319"/>
    <mergeCell ref="AD319:AI319"/>
    <mergeCell ref="AJ319:AT319"/>
    <mergeCell ref="AU319:BB319"/>
    <mergeCell ref="BC319:BF319"/>
    <mergeCell ref="BG319:BJ319"/>
    <mergeCell ref="BK319:BO319"/>
    <mergeCell ref="BG317:BJ317"/>
    <mergeCell ref="BK317:BO317"/>
    <mergeCell ref="A318:R318"/>
    <mergeCell ref="S318:W318"/>
    <mergeCell ref="X318:AC318"/>
    <mergeCell ref="AD318:AI318"/>
    <mergeCell ref="AJ318:AT318"/>
    <mergeCell ref="AU318:BB318"/>
    <mergeCell ref="BC318:BF318"/>
    <mergeCell ref="BG318:BJ318"/>
    <mergeCell ref="BG321:BJ321"/>
    <mergeCell ref="BK321:BO321"/>
    <mergeCell ref="A322:R322"/>
    <mergeCell ref="S322:W322"/>
    <mergeCell ref="X322:AC322"/>
    <mergeCell ref="AD322:AI322"/>
    <mergeCell ref="AJ322:AT322"/>
    <mergeCell ref="AU322:BB322"/>
    <mergeCell ref="BC322:BF322"/>
    <mergeCell ref="BG322:BJ322"/>
    <mergeCell ref="BC320:BF320"/>
    <mergeCell ref="BG320:BJ320"/>
    <mergeCell ref="BK320:BO320"/>
    <mergeCell ref="A321:R321"/>
    <mergeCell ref="S321:W321"/>
    <mergeCell ref="X321:AC321"/>
    <mergeCell ref="AD321:AI321"/>
    <mergeCell ref="AJ321:AT321"/>
    <mergeCell ref="AU321:BB321"/>
    <mergeCell ref="BC321:BF321"/>
    <mergeCell ref="A320:R320"/>
    <mergeCell ref="S320:W320"/>
    <mergeCell ref="X320:AC320"/>
    <mergeCell ref="AD320:AI320"/>
    <mergeCell ref="AJ320:AT320"/>
    <mergeCell ref="AU320:BB320"/>
    <mergeCell ref="BC324:BF324"/>
    <mergeCell ref="BG324:BJ324"/>
    <mergeCell ref="BK324:BO324"/>
    <mergeCell ref="A325:R325"/>
    <mergeCell ref="S325:W325"/>
    <mergeCell ref="X325:AC325"/>
    <mergeCell ref="AD325:AI325"/>
    <mergeCell ref="AJ325:AT325"/>
    <mergeCell ref="AU325:BB325"/>
    <mergeCell ref="BC325:BF325"/>
    <mergeCell ref="A324:R324"/>
    <mergeCell ref="S324:W324"/>
    <mergeCell ref="X324:AC324"/>
    <mergeCell ref="AD324:AI324"/>
    <mergeCell ref="AJ324:AT324"/>
    <mergeCell ref="AU324:BB324"/>
    <mergeCell ref="BK322:BO322"/>
    <mergeCell ref="A323:R323"/>
    <mergeCell ref="S323:W323"/>
    <mergeCell ref="X323:AC323"/>
    <mergeCell ref="AD323:AI323"/>
    <mergeCell ref="AJ323:AT323"/>
    <mergeCell ref="AU323:BB323"/>
    <mergeCell ref="BC323:BF323"/>
    <mergeCell ref="BG323:BJ323"/>
    <mergeCell ref="BK323:BO323"/>
    <mergeCell ref="BK326:BO326"/>
    <mergeCell ref="A327:R327"/>
    <mergeCell ref="S327:W327"/>
    <mergeCell ref="X327:AC327"/>
    <mergeCell ref="AD327:AI327"/>
    <mergeCell ref="AJ327:AT327"/>
    <mergeCell ref="AU327:BB327"/>
    <mergeCell ref="BC327:BF327"/>
    <mergeCell ref="BG327:BJ327"/>
    <mergeCell ref="BK327:BO327"/>
    <mergeCell ref="BG325:BJ325"/>
    <mergeCell ref="BK325:BO325"/>
    <mergeCell ref="A326:R326"/>
    <mergeCell ref="S326:W326"/>
    <mergeCell ref="X326:AC326"/>
    <mergeCell ref="AD326:AI326"/>
    <mergeCell ref="AJ326:AT326"/>
    <mergeCell ref="AU326:BB326"/>
    <mergeCell ref="BC326:BF326"/>
    <mergeCell ref="BG326:BJ326"/>
    <mergeCell ref="BG329:BJ329"/>
    <mergeCell ref="BK329:BO329"/>
    <mergeCell ref="A330:R330"/>
    <mergeCell ref="S330:W330"/>
    <mergeCell ref="X330:AC330"/>
    <mergeCell ref="AD330:AI330"/>
    <mergeCell ref="AJ330:AT330"/>
    <mergeCell ref="AU330:BB330"/>
    <mergeCell ref="BC330:BF330"/>
    <mergeCell ref="BG330:BJ330"/>
    <mergeCell ref="BC328:BF328"/>
    <mergeCell ref="BG328:BJ328"/>
    <mergeCell ref="BK328:BO328"/>
    <mergeCell ref="A329:R329"/>
    <mergeCell ref="S329:W329"/>
    <mergeCell ref="X329:AC329"/>
    <mergeCell ref="AD329:AI329"/>
    <mergeCell ref="AJ329:AT329"/>
    <mergeCell ref="AU329:BB329"/>
    <mergeCell ref="BC329:BF329"/>
    <mergeCell ref="A328:R328"/>
    <mergeCell ref="S328:W328"/>
    <mergeCell ref="X328:AC328"/>
    <mergeCell ref="AD328:AI328"/>
    <mergeCell ref="AJ328:AT328"/>
    <mergeCell ref="AU328:BB328"/>
    <mergeCell ref="BC332:BF332"/>
    <mergeCell ref="BG332:BJ332"/>
    <mergeCell ref="BK332:BO332"/>
    <mergeCell ref="A333:R333"/>
    <mergeCell ref="S333:W333"/>
    <mergeCell ref="X333:AC333"/>
    <mergeCell ref="AD333:AI333"/>
    <mergeCell ref="AJ333:AT333"/>
    <mergeCell ref="AU333:BB333"/>
    <mergeCell ref="BC333:BF333"/>
    <mergeCell ref="A332:R332"/>
    <mergeCell ref="S332:W332"/>
    <mergeCell ref="X332:AC332"/>
    <mergeCell ref="AD332:AI332"/>
    <mergeCell ref="AJ332:AT332"/>
    <mergeCell ref="AU332:BB332"/>
    <mergeCell ref="BK330:BO330"/>
    <mergeCell ref="A331:R331"/>
    <mergeCell ref="S331:W331"/>
    <mergeCell ref="X331:AC331"/>
    <mergeCell ref="AD331:AI331"/>
    <mergeCell ref="AJ331:AT331"/>
    <mergeCell ref="AU331:BB331"/>
    <mergeCell ref="BC331:BF331"/>
    <mergeCell ref="BG331:BJ331"/>
    <mergeCell ref="BK331:BO331"/>
    <mergeCell ref="BK334:BO334"/>
    <mergeCell ref="A335:R335"/>
    <mergeCell ref="S335:W335"/>
    <mergeCell ref="X335:AC335"/>
    <mergeCell ref="AD335:AI335"/>
    <mergeCell ref="AJ335:AT335"/>
    <mergeCell ref="AU335:BB335"/>
    <mergeCell ref="BC335:BF335"/>
    <mergeCell ref="BG335:BJ335"/>
    <mergeCell ref="BK335:BO335"/>
    <mergeCell ref="BG333:BJ333"/>
    <mergeCell ref="BK333:BO333"/>
    <mergeCell ref="A334:R334"/>
    <mergeCell ref="S334:W334"/>
    <mergeCell ref="X334:AC334"/>
    <mergeCell ref="AD334:AI334"/>
    <mergeCell ref="AJ334:AT334"/>
    <mergeCell ref="AU334:BB334"/>
    <mergeCell ref="BC334:BF334"/>
    <mergeCell ref="BG334:BJ334"/>
    <mergeCell ref="BG337:BJ337"/>
    <mergeCell ref="BK337:BO337"/>
    <mergeCell ref="A338:R338"/>
    <mergeCell ref="S338:W338"/>
    <mergeCell ref="X338:AC338"/>
    <mergeCell ref="AD338:AI338"/>
    <mergeCell ref="AJ338:AT338"/>
    <mergeCell ref="AU338:BB338"/>
    <mergeCell ref="BC338:BF338"/>
    <mergeCell ref="BG338:BJ338"/>
    <mergeCell ref="BC336:BF336"/>
    <mergeCell ref="BG336:BJ336"/>
    <mergeCell ref="BK336:BO336"/>
    <mergeCell ref="A337:R337"/>
    <mergeCell ref="S337:W337"/>
    <mergeCell ref="X337:AC337"/>
    <mergeCell ref="AD337:AI337"/>
    <mergeCell ref="AJ337:AT337"/>
    <mergeCell ref="AU337:BB337"/>
    <mergeCell ref="BC337:BF337"/>
    <mergeCell ref="A336:R336"/>
    <mergeCell ref="S336:W336"/>
    <mergeCell ref="X336:AC336"/>
    <mergeCell ref="AD336:AI336"/>
    <mergeCell ref="AJ336:AT336"/>
    <mergeCell ref="AU336:BB336"/>
    <mergeCell ref="BC340:BF340"/>
    <mergeCell ref="BG340:BJ340"/>
    <mergeCell ref="BK340:BO340"/>
    <mergeCell ref="A341:R341"/>
    <mergeCell ref="S341:W341"/>
    <mergeCell ref="X341:AC341"/>
    <mergeCell ref="AD341:AI341"/>
    <mergeCell ref="AJ341:AT341"/>
    <mergeCell ref="AU341:BB341"/>
    <mergeCell ref="BC341:BF341"/>
    <mergeCell ref="A340:R340"/>
    <mergeCell ref="S340:W340"/>
    <mergeCell ref="X340:AC340"/>
    <mergeCell ref="AD340:AI340"/>
    <mergeCell ref="AJ340:AT340"/>
    <mergeCell ref="AU340:BB340"/>
    <mergeCell ref="BK338:BO338"/>
    <mergeCell ref="A339:R339"/>
    <mergeCell ref="S339:W339"/>
    <mergeCell ref="X339:AC339"/>
    <mergeCell ref="AD339:AI339"/>
    <mergeCell ref="AJ339:AT339"/>
    <mergeCell ref="AU339:BB339"/>
    <mergeCell ref="BC339:BF339"/>
    <mergeCell ref="BG339:BJ339"/>
    <mergeCell ref="BK339:BO339"/>
    <mergeCell ref="BK342:BO342"/>
    <mergeCell ref="A343:R343"/>
    <mergeCell ref="S343:W343"/>
    <mergeCell ref="X343:AC343"/>
    <mergeCell ref="AD343:AI343"/>
    <mergeCell ref="AJ343:AT343"/>
    <mergeCell ref="AU343:BB343"/>
    <mergeCell ref="BC343:BF343"/>
    <mergeCell ref="BG343:BJ343"/>
    <mergeCell ref="BK343:BO343"/>
    <mergeCell ref="BG341:BJ341"/>
    <mergeCell ref="BK341:BO341"/>
    <mergeCell ref="A342:R342"/>
    <mergeCell ref="S342:W342"/>
    <mergeCell ref="X342:AC342"/>
    <mergeCell ref="AD342:AI342"/>
    <mergeCell ref="AJ342:AT342"/>
    <mergeCell ref="AU342:BB342"/>
    <mergeCell ref="BC342:BF342"/>
    <mergeCell ref="BG342:BJ342"/>
    <mergeCell ref="BG345:BJ345"/>
    <mergeCell ref="BK345:BO345"/>
    <mergeCell ref="A346:R346"/>
    <mergeCell ref="S346:W346"/>
    <mergeCell ref="X346:AC346"/>
    <mergeCell ref="AD346:AI346"/>
    <mergeCell ref="AJ346:AT346"/>
    <mergeCell ref="AU346:BB346"/>
    <mergeCell ref="BC346:BF346"/>
    <mergeCell ref="BG346:BJ346"/>
    <mergeCell ref="BC344:BF344"/>
    <mergeCell ref="BG344:BJ344"/>
    <mergeCell ref="BK344:BO344"/>
    <mergeCell ref="A345:R345"/>
    <mergeCell ref="S345:W345"/>
    <mergeCell ref="X345:AC345"/>
    <mergeCell ref="AD345:AI345"/>
    <mergeCell ref="AJ345:AT345"/>
    <mergeCell ref="AU345:BB345"/>
    <mergeCell ref="BC345:BF345"/>
    <mergeCell ref="A344:R344"/>
    <mergeCell ref="S344:W344"/>
    <mergeCell ref="X344:AC344"/>
    <mergeCell ref="AD344:AI344"/>
    <mergeCell ref="AJ344:AT344"/>
    <mergeCell ref="AU344:BB344"/>
    <mergeCell ref="BC348:BF348"/>
    <mergeCell ref="BG348:BJ348"/>
    <mergeCell ref="BK348:BO348"/>
    <mergeCell ref="A349:R349"/>
    <mergeCell ref="S349:W349"/>
    <mergeCell ref="X349:AC349"/>
    <mergeCell ref="AD349:AI349"/>
    <mergeCell ref="AJ349:AT349"/>
    <mergeCell ref="AU349:BB349"/>
    <mergeCell ref="BC349:BF349"/>
    <mergeCell ref="A348:R348"/>
    <mergeCell ref="S348:W348"/>
    <mergeCell ref="X348:AC348"/>
    <mergeCell ref="AD348:AI348"/>
    <mergeCell ref="AJ348:AT348"/>
    <mergeCell ref="AU348:BB348"/>
    <mergeCell ref="BK346:BO346"/>
    <mergeCell ref="A347:R347"/>
    <mergeCell ref="S347:W347"/>
    <mergeCell ref="X347:AC347"/>
    <mergeCell ref="AD347:AI347"/>
    <mergeCell ref="AJ347:AT347"/>
    <mergeCell ref="AU347:BB347"/>
    <mergeCell ref="BC347:BF347"/>
    <mergeCell ref="BG347:BJ347"/>
    <mergeCell ref="BK347:BO347"/>
    <mergeCell ref="BK350:BO350"/>
    <mergeCell ref="A351:R351"/>
    <mergeCell ref="S351:W351"/>
    <mergeCell ref="X351:AC351"/>
    <mergeCell ref="AD351:AI351"/>
    <mergeCell ref="AJ351:AT351"/>
    <mergeCell ref="AU351:BB351"/>
    <mergeCell ref="BC351:BF351"/>
    <mergeCell ref="BG351:BJ351"/>
    <mergeCell ref="BK351:BO351"/>
    <mergeCell ref="BG349:BJ349"/>
    <mergeCell ref="BK349:BO349"/>
    <mergeCell ref="A350:R350"/>
    <mergeCell ref="S350:W350"/>
    <mergeCell ref="X350:AC350"/>
    <mergeCell ref="AD350:AI350"/>
    <mergeCell ref="AJ350:AT350"/>
    <mergeCell ref="AU350:BB350"/>
    <mergeCell ref="BC350:BF350"/>
    <mergeCell ref="BG350:BJ350"/>
    <mergeCell ref="BG353:BJ353"/>
    <mergeCell ref="BK353:BO353"/>
    <mergeCell ref="A354:R354"/>
    <mergeCell ref="S354:W354"/>
    <mergeCell ref="X354:AC354"/>
    <mergeCell ref="AD354:AI354"/>
    <mergeCell ref="AJ354:AT354"/>
    <mergeCell ref="AU354:BB354"/>
    <mergeCell ref="BC354:BF354"/>
    <mergeCell ref="BG354:BJ354"/>
    <mergeCell ref="BC352:BF352"/>
    <mergeCell ref="BG352:BJ352"/>
    <mergeCell ref="BK352:BO352"/>
    <mergeCell ref="A353:R353"/>
    <mergeCell ref="S353:W353"/>
    <mergeCell ref="X353:AC353"/>
    <mergeCell ref="AD353:AI353"/>
    <mergeCell ref="AJ353:AT353"/>
    <mergeCell ref="AU353:BB353"/>
    <mergeCell ref="BC353:BF353"/>
    <mergeCell ref="A352:R352"/>
    <mergeCell ref="S352:W352"/>
    <mergeCell ref="X352:AC352"/>
    <mergeCell ref="AD352:AI352"/>
    <mergeCell ref="AJ352:AT352"/>
    <mergeCell ref="AU352:BB352"/>
    <mergeCell ref="BC356:BF356"/>
    <mergeCell ref="BG356:BJ356"/>
    <mergeCell ref="BK356:BO356"/>
    <mergeCell ref="A357:R357"/>
    <mergeCell ref="S357:W357"/>
    <mergeCell ref="X357:AC357"/>
    <mergeCell ref="AD357:AI357"/>
    <mergeCell ref="AJ357:AT357"/>
    <mergeCell ref="AU357:BB357"/>
    <mergeCell ref="BC357:BF357"/>
    <mergeCell ref="A356:R356"/>
    <mergeCell ref="S356:W356"/>
    <mergeCell ref="X356:AC356"/>
    <mergeCell ref="AD356:AI356"/>
    <mergeCell ref="AJ356:AT356"/>
    <mergeCell ref="AU356:BB356"/>
    <mergeCell ref="BK354:BO354"/>
    <mergeCell ref="A355:R355"/>
    <mergeCell ref="S355:W355"/>
    <mergeCell ref="X355:AC355"/>
    <mergeCell ref="AD355:AI355"/>
    <mergeCell ref="AJ355:AT355"/>
    <mergeCell ref="AU355:BB355"/>
    <mergeCell ref="BC355:BF355"/>
    <mergeCell ref="BG355:BJ355"/>
    <mergeCell ref="BK355:BO355"/>
    <mergeCell ref="BK358:BO358"/>
    <mergeCell ref="A359:R359"/>
    <mergeCell ref="S359:W359"/>
    <mergeCell ref="X359:AC359"/>
    <mergeCell ref="AD359:AI359"/>
    <mergeCell ref="AJ359:AT359"/>
    <mergeCell ref="AU359:BB359"/>
    <mergeCell ref="BC359:BF359"/>
    <mergeCell ref="BG359:BJ359"/>
    <mergeCell ref="BK359:BO359"/>
    <mergeCell ref="BG357:BJ357"/>
    <mergeCell ref="BK357:BO357"/>
    <mergeCell ref="A358:R358"/>
    <mergeCell ref="S358:W358"/>
    <mergeCell ref="X358:AC358"/>
    <mergeCell ref="AD358:AI358"/>
    <mergeCell ref="AJ358:AT358"/>
    <mergeCell ref="AU358:BB358"/>
    <mergeCell ref="BC358:BF358"/>
    <mergeCell ref="BG358:BJ358"/>
    <mergeCell ref="BG361:BJ361"/>
    <mergeCell ref="BK361:BO361"/>
    <mergeCell ref="A362:R362"/>
    <mergeCell ref="S362:W362"/>
    <mergeCell ref="X362:AC362"/>
    <mergeCell ref="AD362:AI362"/>
    <mergeCell ref="AJ362:AT362"/>
    <mergeCell ref="AU362:BB362"/>
    <mergeCell ref="BC362:BF362"/>
    <mergeCell ref="BG362:BJ362"/>
    <mergeCell ref="BC360:BF360"/>
    <mergeCell ref="BG360:BJ360"/>
    <mergeCell ref="BK360:BO360"/>
    <mergeCell ref="A361:R361"/>
    <mergeCell ref="S361:W361"/>
    <mergeCell ref="X361:AC361"/>
    <mergeCell ref="AD361:AI361"/>
    <mergeCell ref="AJ361:AT361"/>
    <mergeCell ref="AU361:BB361"/>
    <mergeCell ref="BC361:BF361"/>
    <mergeCell ref="A360:R360"/>
    <mergeCell ref="S360:W360"/>
    <mergeCell ref="X360:AC360"/>
    <mergeCell ref="AD360:AI360"/>
    <mergeCell ref="AJ360:AT360"/>
    <mergeCell ref="AU360:BB360"/>
    <mergeCell ref="BC364:BF364"/>
    <mergeCell ref="BG364:BJ364"/>
    <mergeCell ref="BK364:BO364"/>
    <mergeCell ref="A365:R365"/>
    <mergeCell ref="S365:W365"/>
    <mergeCell ref="X365:AC365"/>
    <mergeCell ref="AD365:AI365"/>
    <mergeCell ref="AJ365:AT365"/>
    <mergeCell ref="AU365:BB365"/>
    <mergeCell ref="BC365:BF365"/>
    <mergeCell ref="A364:R364"/>
    <mergeCell ref="S364:W364"/>
    <mergeCell ref="X364:AC364"/>
    <mergeCell ref="AD364:AI364"/>
    <mergeCell ref="AJ364:AT364"/>
    <mergeCell ref="AU364:BB364"/>
    <mergeCell ref="BK362:BO362"/>
    <mergeCell ref="A363:R363"/>
    <mergeCell ref="S363:W363"/>
    <mergeCell ref="X363:AC363"/>
    <mergeCell ref="AD363:AI363"/>
    <mergeCell ref="AJ363:AT363"/>
    <mergeCell ref="AU363:BB363"/>
    <mergeCell ref="BC363:BF363"/>
    <mergeCell ref="BG363:BJ363"/>
    <mergeCell ref="BK363:BO363"/>
    <mergeCell ref="BK366:BO366"/>
    <mergeCell ref="A367:R367"/>
    <mergeCell ref="S367:W367"/>
    <mergeCell ref="X367:AC367"/>
    <mergeCell ref="AD367:AI367"/>
    <mergeCell ref="AJ367:AT367"/>
    <mergeCell ref="AU367:BB367"/>
    <mergeCell ref="BC367:BF367"/>
    <mergeCell ref="BG367:BJ367"/>
    <mergeCell ref="BK367:BO367"/>
    <mergeCell ref="BG365:BJ365"/>
    <mergeCell ref="BK365:BO365"/>
    <mergeCell ref="A366:R366"/>
    <mergeCell ref="S366:W366"/>
    <mergeCell ref="X366:AC366"/>
    <mergeCell ref="AD366:AI366"/>
    <mergeCell ref="AJ366:AT366"/>
    <mergeCell ref="AU366:BB366"/>
    <mergeCell ref="BC366:BF366"/>
    <mergeCell ref="BG366:BJ366"/>
    <mergeCell ref="BG369:BJ369"/>
    <mergeCell ref="BK369:BO369"/>
    <mergeCell ref="A370:R370"/>
    <mergeCell ref="S370:W370"/>
    <mergeCell ref="X370:AC370"/>
    <mergeCell ref="AD370:AI370"/>
    <mergeCell ref="AJ370:AT370"/>
    <mergeCell ref="AU370:BB370"/>
    <mergeCell ref="BC370:BF370"/>
    <mergeCell ref="BG370:BJ370"/>
    <mergeCell ref="BC368:BF368"/>
    <mergeCell ref="BG368:BJ368"/>
    <mergeCell ref="BK368:BO368"/>
    <mergeCell ref="A369:R369"/>
    <mergeCell ref="S369:W369"/>
    <mergeCell ref="X369:AC369"/>
    <mergeCell ref="AD369:AI369"/>
    <mergeCell ref="AJ369:AT369"/>
    <mergeCell ref="AU369:BB369"/>
    <mergeCell ref="BC369:BF369"/>
    <mergeCell ref="A368:R368"/>
    <mergeCell ref="S368:W368"/>
    <mergeCell ref="X368:AC368"/>
    <mergeCell ref="AD368:AI368"/>
    <mergeCell ref="AJ368:AT368"/>
    <mergeCell ref="AU368:BB368"/>
    <mergeCell ref="BC372:BF372"/>
    <mergeCell ref="BG372:BJ372"/>
    <mergeCell ref="BK372:BO372"/>
    <mergeCell ref="A373:R373"/>
    <mergeCell ref="S373:W373"/>
    <mergeCell ref="X373:AC373"/>
    <mergeCell ref="AD373:AI373"/>
    <mergeCell ref="AJ373:AT373"/>
    <mergeCell ref="AU373:BB373"/>
    <mergeCell ref="BC373:BF373"/>
    <mergeCell ref="A372:R372"/>
    <mergeCell ref="S372:W372"/>
    <mergeCell ref="X372:AC372"/>
    <mergeCell ref="AD372:AI372"/>
    <mergeCell ref="AJ372:AT372"/>
    <mergeCell ref="AU372:BB372"/>
    <mergeCell ref="BK370:BO370"/>
    <mergeCell ref="A371:R371"/>
    <mergeCell ref="S371:W371"/>
    <mergeCell ref="X371:AC371"/>
    <mergeCell ref="AD371:AI371"/>
    <mergeCell ref="AJ371:AT371"/>
    <mergeCell ref="AU371:BB371"/>
    <mergeCell ref="BC371:BF371"/>
    <mergeCell ref="BG371:BJ371"/>
    <mergeCell ref="BK371:BO371"/>
    <mergeCell ref="BK374:BO374"/>
    <mergeCell ref="A375:R375"/>
    <mergeCell ref="S375:W375"/>
    <mergeCell ref="X375:AC375"/>
    <mergeCell ref="AD375:AI375"/>
    <mergeCell ref="AJ375:AT375"/>
    <mergeCell ref="AU375:BB375"/>
    <mergeCell ref="BC375:BF375"/>
    <mergeCell ref="BG375:BJ375"/>
    <mergeCell ref="BK375:BO375"/>
    <mergeCell ref="BG373:BJ373"/>
    <mergeCell ref="BK373:BO373"/>
    <mergeCell ref="A374:R374"/>
    <mergeCell ref="S374:W374"/>
    <mergeCell ref="X374:AC374"/>
    <mergeCell ref="AD374:AI374"/>
    <mergeCell ref="AJ374:AT374"/>
    <mergeCell ref="AU374:BB374"/>
    <mergeCell ref="BC374:BF374"/>
    <mergeCell ref="BG374:BJ374"/>
    <mergeCell ref="BG377:BJ377"/>
    <mergeCell ref="BK377:BO377"/>
    <mergeCell ref="A378:R378"/>
    <mergeCell ref="S378:W378"/>
    <mergeCell ref="X378:AC378"/>
    <mergeCell ref="AD378:AI378"/>
    <mergeCell ref="AJ378:AT378"/>
    <mergeCell ref="AU378:BB378"/>
    <mergeCell ref="BC378:BF378"/>
    <mergeCell ref="BG378:BJ378"/>
    <mergeCell ref="BC376:BF376"/>
    <mergeCell ref="BG376:BJ376"/>
    <mergeCell ref="BK376:BO376"/>
    <mergeCell ref="A377:R377"/>
    <mergeCell ref="S377:W377"/>
    <mergeCell ref="X377:AC377"/>
    <mergeCell ref="AD377:AI377"/>
    <mergeCell ref="AJ377:AT377"/>
    <mergeCell ref="AU377:BB377"/>
    <mergeCell ref="BC377:BF377"/>
    <mergeCell ref="A376:R376"/>
    <mergeCell ref="S376:W376"/>
    <mergeCell ref="X376:AC376"/>
    <mergeCell ref="AD376:AI376"/>
    <mergeCell ref="AJ376:AT376"/>
    <mergeCell ref="AU376:BB376"/>
    <mergeCell ref="BC380:BF380"/>
    <mergeCell ref="BG380:BJ380"/>
    <mergeCell ref="BK380:BO380"/>
    <mergeCell ref="A381:R381"/>
    <mergeCell ref="S381:W381"/>
    <mergeCell ref="X381:AC381"/>
    <mergeCell ref="AD381:AI381"/>
    <mergeCell ref="AJ381:AT381"/>
    <mergeCell ref="AU381:BB381"/>
    <mergeCell ref="BC381:BF381"/>
    <mergeCell ref="A380:R380"/>
    <mergeCell ref="S380:W380"/>
    <mergeCell ref="X380:AC380"/>
    <mergeCell ref="AD380:AI380"/>
    <mergeCell ref="AJ380:AT380"/>
    <mergeCell ref="AU380:BB380"/>
    <mergeCell ref="BK378:BO378"/>
    <mergeCell ref="A379:R379"/>
    <mergeCell ref="S379:W379"/>
    <mergeCell ref="X379:AC379"/>
    <mergeCell ref="AD379:AI379"/>
    <mergeCell ref="AJ379:AT379"/>
    <mergeCell ref="AU379:BB379"/>
    <mergeCell ref="BC379:BF379"/>
    <mergeCell ref="BG379:BJ379"/>
    <mergeCell ref="BK379:BO379"/>
    <mergeCell ref="BK382:BO382"/>
    <mergeCell ref="A383:R383"/>
    <mergeCell ref="S383:W383"/>
    <mergeCell ref="X383:AC383"/>
    <mergeCell ref="AD383:AI383"/>
    <mergeCell ref="AJ383:AT383"/>
    <mergeCell ref="AU383:BB383"/>
    <mergeCell ref="BC383:BF383"/>
    <mergeCell ref="BG383:BJ383"/>
    <mergeCell ref="BK383:BO383"/>
    <mergeCell ref="BG381:BJ381"/>
    <mergeCell ref="BK381:BO381"/>
    <mergeCell ref="A382:R382"/>
    <mergeCell ref="S382:W382"/>
    <mergeCell ref="X382:AC382"/>
    <mergeCell ref="AD382:AI382"/>
    <mergeCell ref="AJ382:AT382"/>
    <mergeCell ref="AU382:BB382"/>
    <mergeCell ref="BC382:BF382"/>
    <mergeCell ref="BG382:BJ382"/>
    <mergeCell ref="BG385:BJ385"/>
    <mergeCell ref="BK385:BO385"/>
    <mergeCell ref="A386:R386"/>
    <mergeCell ref="S386:W386"/>
    <mergeCell ref="X386:AC386"/>
    <mergeCell ref="AD386:AI386"/>
    <mergeCell ref="AJ386:AT386"/>
    <mergeCell ref="AU386:BB386"/>
    <mergeCell ref="BC386:BF386"/>
    <mergeCell ref="BG386:BJ386"/>
    <mergeCell ref="BC384:BF384"/>
    <mergeCell ref="BG384:BJ384"/>
    <mergeCell ref="BK384:BO384"/>
    <mergeCell ref="A385:R385"/>
    <mergeCell ref="S385:W385"/>
    <mergeCell ref="X385:AC385"/>
    <mergeCell ref="AD385:AI385"/>
    <mergeCell ref="AJ385:AT385"/>
    <mergeCell ref="AU385:BB385"/>
    <mergeCell ref="BC385:BF385"/>
    <mergeCell ref="A384:R384"/>
    <mergeCell ref="S384:W384"/>
    <mergeCell ref="X384:AC384"/>
    <mergeCell ref="AD384:AI384"/>
    <mergeCell ref="AJ384:AT384"/>
    <mergeCell ref="AU384:BB384"/>
    <mergeCell ref="BC388:BF388"/>
    <mergeCell ref="BG388:BJ388"/>
    <mergeCell ref="BK388:BO388"/>
    <mergeCell ref="A389:R389"/>
    <mergeCell ref="S389:W389"/>
    <mergeCell ref="X389:AC389"/>
    <mergeCell ref="AD389:AI389"/>
    <mergeCell ref="AJ389:AT389"/>
    <mergeCell ref="AU389:BB389"/>
    <mergeCell ref="BC389:BF389"/>
    <mergeCell ref="A388:R388"/>
    <mergeCell ref="S388:W388"/>
    <mergeCell ref="X388:AC388"/>
    <mergeCell ref="AD388:AI388"/>
    <mergeCell ref="AJ388:AT388"/>
    <mergeCell ref="AU388:BB388"/>
    <mergeCell ref="BK386:BO386"/>
    <mergeCell ref="A387:R387"/>
    <mergeCell ref="S387:W387"/>
    <mergeCell ref="X387:AC387"/>
    <mergeCell ref="AD387:AI387"/>
    <mergeCell ref="AJ387:AT387"/>
    <mergeCell ref="AU387:BB387"/>
    <mergeCell ref="BC387:BF387"/>
    <mergeCell ref="BG387:BJ387"/>
    <mergeCell ref="BK387:BO387"/>
    <mergeCell ref="BK390:BO390"/>
    <mergeCell ref="A391:R391"/>
    <mergeCell ref="S391:W391"/>
    <mergeCell ref="X391:AC391"/>
    <mergeCell ref="AD391:AI391"/>
    <mergeCell ref="AJ391:AT391"/>
    <mergeCell ref="AU391:BB391"/>
    <mergeCell ref="BC391:BF391"/>
    <mergeCell ref="BG391:BJ391"/>
    <mergeCell ref="BK391:BO391"/>
    <mergeCell ref="BG389:BJ389"/>
    <mergeCell ref="BK389:BO389"/>
    <mergeCell ref="A390:R390"/>
    <mergeCell ref="S390:W390"/>
    <mergeCell ref="X390:AC390"/>
    <mergeCell ref="AD390:AI390"/>
    <mergeCell ref="AJ390:AT390"/>
    <mergeCell ref="AU390:BB390"/>
    <mergeCell ref="BC390:BF390"/>
    <mergeCell ref="BG390:BJ390"/>
    <mergeCell ref="BG393:BJ393"/>
    <mergeCell ref="BK393:BO393"/>
    <mergeCell ref="A394:R394"/>
    <mergeCell ref="S394:W394"/>
    <mergeCell ref="X394:AC394"/>
    <mergeCell ref="AD394:AI394"/>
    <mergeCell ref="AJ394:AT394"/>
    <mergeCell ref="AU394:BB394"/>
    <mergeCell ref="BC394:BF394"/>
    <mergeCell ref="BG394:BJ394"/>
    <mergeCell ref="BC392:BF392"/>
    <mergeCell ref="BG392:BJ392"/>
    <mergeCell ref="BK392:BO392"/>
    <mergeCell ref="A393:R393"/>
    <mergeCell ref="S393:W393"/>
    <mergeCell ref="X393:AC393"/>
    <mergeCell ref="AD393:AI393"/>
    <mergeCell ref="AJ393:AT393"/>
    <mergeCell ref="AU393:BB393"/>
    <mergeCell ref="BC393:BF393"/>
    <mergeCell ref="A392:R392"/>
    <mergeCell ref="S392:W392"/>
    <mergeCell ref="X392:AC392"/>
    <mergeCell ref="AD392:AI392"/>
    <mergeCell ref="AJ392:AT392"/>
    <mergeCell ref="AU392:BB392"/>
    <mergeCell ref="BC396:BF396"/>
    <mergeCell ref="BG396:BJ396"/>
    <mergeCell ref="BK396:BO396"/>
    <mergeCell ref="A397:R397"/>
    <mergeCell ref="S397:W397"/>
    <mergeCell ref="X397:AC397"/>
    <mergeCell ref="AD397:AI397"/>
    <mergeCell ref="AJ397:AT397"/>
    <mergeCell ref="AU397:BB397"/>
    <mergeCell ref="BC397:BF397"/>
    <mergeCell ref="A396:R396"/>
    <mergeCell ref="S396:W396"/>
    <mergeCell ref="X396:AC396"/>
    <mergeCell ref="AD396:AI396"/>
    <mergeCell ref="AJ396:AT396"/>
    <mergeCell ref="AU396:BB396"/>
    <mergeCell ref="BK394:BO394"/>
    <mergeCell ref="A395:R395"/>
    <mergeCell ref="S395:W395"/>
    <mergeCell ref="X395:AC395"/>
    <mergeCell ref="AD395:AI395"/>
    <mergeCell ref="AJ395:AT395"/>
    <mergeCell ref="AU395:BB395"/>
    <mergeCell ref="BC395:BF395"/>
    <mergeCell ref="BG395:BJ395"/>
    <mergeCell ref="BK395:BO395"/>
    <mergeCell ref="BK398:BO398"/>
    <mergeCell ref="A399:R399"/>
    <mergeCell ref="S399:W399"/>
    <mergeCell ref="X399:AC399"/>
    <mergeCell ref="AD399:AI399"/>
    <mergeCell ref="AJ399:AT399"/>
    <mergeCell ref="AU399:BB399"/>
    <mergeCell ref="BC399:BF399"/>
    <mergeCell ref="BG399:BJ399"/>
    <mergeCell ref="BK399:BO399"/>
    <mergeCell ref="BG397:BJ397"/>
    <mergeCell ref="BK397:BO397"/>
    <mergeCell ref="A398:R398"/>
    <mergeCell ref="S398:W398"/>
    <mergeCell ref="X398:AC398"/>
    <mergeCell ref="AD398:AI398"/>
    <mergeCell ref="AJ398:AT398"/>
    <mergeCell ref="AU398:BB398"/>
    <mergeCell ref="BC398:BF398"/>
    <mergeCell ref="BG398:BJ398"/>
    <mergeCell ref="AE404:AI404"/>
    <mergeCell ref="AL404:AT404"/>
    <mergeCell ref="AV404:BB404"/>
    <mergeCell ref="BD404:BF404"/>
    <mergeCell ref="AJ403:AK404"/>
    <mergeCell ref="AL403:AT403"/>
    <mergeCell ref="AU403:AU404"/>
    <mergeCell ref="AV403:BB403"/>
    <mergeCell ref="BC403:BC404"/>
    <mergeCell ref="BD403:BF403"/>
    <mergeCell ref="A400:AX400"/>
    <mergeCell ref="A401:BN401"/>
    <mergeCell ref="A402:AX402"/>
    <mergeCell ref="A403:R404"/>
    <mergeCell ref="S403:S404"/>
    <mergeCell ref="T403:W403"/>
    <mergeCell ref="X403:X404"/>
    <mergeCell ref="Y403:AC403"/>
    <mergeCell ref="AD403:AD404"/>
    <mergeCell ref="AE403:AI403"/>
    <mergeCell ref="BI406:BJ406"/>
    <mergeCell ref="BM406:BO406"/>
    <mergeCell ref="U407:W407"/>
    <mergeCell ref="Z407:AC407"/>
    <mergeCell ref="AF407:AI407"/>
    <mergeCell ref="AM407:AT407"/>
    <mergeCell ref="AX407:BB407"/>
    <mergeCell ref="BE407:BF407"/>
    <mergeCell ref="BI407:BJ407"/>
    <mergeCell ref="BM407:BO407"/>
    <mergeCell ref="U406:W406"/>
    <mergeCell ref="Z406:AC406"/>
    <mergeCell ref="AF406:AI406"/>
    <mergeCell ref="AM406:AT406"/>
    <mergeCell ref="AX406:BB406"/>
    <mergeCell ref="BE406:BF406"/>
    <mergeCell ref="BH404:BJ404"/>
    <mergeCell ref="BL404:BO404"/>
    <mergeCell ref="U405:W405"/>
    <mergeCell ref="Z405:AC405"/>
    <mergeCell ref="AF405:AI405"/>
    <mergeCell ref="AM405:AT405"/>
    <mergeCell ref="AX405:BB405"/>
    <mergeCell ref="BE405:BF405"/>
    <mergeCell ref="BI405:BJ405"/>
    <mergeCell ref="BM405:BO405"/>
    <mergeCell ref="BG403:BG404"/>
    <mergeCell ref="BH403:BJ403"/>
    <mergeCell ref="BK403:BK404"/>
    <mergeCell ref="BL403:BO403"/>
    <mergeCell ref="T404:W404"/>
    <mergeCell ref="Y404:AC404"/>
    <mergeCell ref="BC409:BF409"/>
    <mergeCell ref="BG409:BJ409"/>
    <mergeCell ref="BK409:BO409"/>
    <mergeCell ref="A410:R410"/>
    <mergeCell ref="S410:W410"/>
    <mergeCell ref="X410:AC410"/>
    <mergeCell ref="AD410:AI410"/>
    <mergeCell ref="AJ410:AT410"/>
    <mergeCell ref="AU410:BB410"/>
    <mergeCell ref="BC410:BF410"/>
    <mergeCell ref="BG408:BH408"/>
    <mergeCell ref="BI408:BJ408"/>
    <mergeCell ref="BK408:BL408"/>
    <mergeCell ref="BM408:BO408"/>
    <mergeCell ref="A409:R409"/>
    <mergeCell ref="S409:W409"/>
    <mergeCell ref="X409:AC409"/>
    <mergeCell ref="AD409:AI409"/>
    <mergeCell ref="AJ409:AT409"/>
    <mergeCell ref="AU409:BB409"/>
    <mergeCell ref="AJ408:AL408"/>
    <mergeCell ref="AM408:AT408"/>
    <mergeCell ref="AU408:AW408"/>
    <mergeCell ref="AX408:BB408"/>
    <mergeCell ref="BC408:BD408"/>
    <mergeCell ref="BE408:BF408"/>
    <mergeCell ref="S408:T408"/>
    <mergeCell ref="U408:W408"/>
    <mergeCell ref="X408:Y408"/>
    <mergeCell ref="Z408:AC408"/>
    <mergeCell ref="AD408:AE408"/>
    <mergeCell ref="AF408:AI408"/>
    <mergeCell ref="BK411:BO411"/>
    <mergeCell ref="A412:R412"/>
    <mergeCell ref="S412:W412"/>
    <mergeCell ref="X412:AC412"/>
    <mergeCell ref="AD412:AI412"/>
    <mergeCell ref="AJ412:AT412"/>
    <mergeCell ref="AU412:BB412"/>
    <mergeCell ref="BC412:BF412"/>
    <mergeCell ref="BG412:BJ412"/>
    <mergeCell ref="BK412:BO412"/>
    <mergeCell ref="BG410:BJ410"/>
    <mergeCell ref="BK410:BO410"/>
    <mergeCell ref="A411:R411"/>
    <mergeCell ref="S411:W411"/>
    <mergeCell ref="X411:AC411"/>
    <mergeCell ref="AD411:AI411"/>
    <mergeCell ref="AJ411:AT411"/>
    <mergeCell ref="AU411:BB411"/>
    <mergeCell ref="BC411:BF411"/>
    <mergeCell ref="BG411:BJ411"/>
    <mergeCell ref="BG414:BJ414"/>
    <mergeCell ref="BK414:BO414"/>
    <mergeCell ref="A415:R415"/>
    <mergeCell ref="S415:W415"/>
    <mergeCell ref="X415:AC415"/>
    <mergeCell ref="AD415:AI415"/>
    <mergeCell ref="AJ415:AT415"/>
    <mergeCell ref="AU415:BB415"/>
    <mergeCell ref="BC415:BF415"/>
    <mergeCell ref="BG415:BJ415"/>
    <mergeCell ref="BC413:BF413"/>
    <mergeCell ref="BG413:BJ413"/>
    <mergeCell ref="BK413:BO413"/>
    <mergeCell ref="A414:R414"/>
    <mergeCell ref="S414:W414"/>
    <mergeCell ref="X414:AC414"/>
    <mergeCell ref="AD414:AI414"/>
    <mergeCell ref="AJ414:AT414"/>
    <mergeCell ref="AU414:BB414"/>
    <mergeCell ref="BC414:BF414"/>
    <mergeCell ref="A413:R413"/>
    <mergeCell ref="S413:W413"/>
    <mergeCell ref="X413:AC413"/>
    <mergeCell ref="AD413:AI413"/>
    <mergeCell ref="AJ413:AT413"/>
    <mergeCell ref="AU413:BB413"/>
    <mergeCell ref="BC417:BF417"/>
    <mergeCell ref="BG417:BJ417"/>
    <mergeCell ref="BK417:BO417"/>
    <mergeCell ref="A418:R418"/>
    <mergeCell ref="S418:W418"/>
    <mergeCell ref="X418:AC418"/>
    <mergeCell ref="AD418:AI418"/>
    <mergeCell ref="AJ418:AT418"/>
    <mergeCell ref="AU418:BB418"/>
    <mergeCell ref="BC418:BF418"/>
    <mergeCell ref="A417:R417"/>
    <mergeCell ref="S417:W417"/>
    <mergeCell ref="X417:AC417"/>
    <mergeCell ref="AD417:AI417"/>
    <mergeCell ref="AJ417:AT417"/>
    <mergeCell ref="AU417:BB417"/>
    <mergeCell ref="BK415:BO415"/>
    <mergeCell ref="A416:R416"/>
    <mergeCell ref="S416:W416"/>
    <mergeCell ref="X416:AC416"/>
    <mergeCell ref="AD416:AI416"/>
    <mergeCell ref="AJ416:AT416"/>
    <mergeCell ref="AU416:BB416"/>
    <mergeCell ref="BC416:BF416"/>
    <mergeCell ref="BG416:BJ416"/>
    <mergeCell ref="BK416:BO416"/>
    <mergeCell ref="BK419:BO419"/>
    <mergeCell ref="A420:R420"/>
    <mergeCell ref="S420:W420"/>
    <mergeCell ref="X420:AC420"/>
    <mergeCell ref="AD420:AI420"/>
    <mergeCell ref="AJ420:AT420"/>
    <mergeCell ref="AU420:BB420"/>
    <mergeCell ref="BC420:BF420"/>
    <mergeCell ref="BG420:BJ420"/>
    <mergeCell ref="BK420:BO420"/>
    <mergeCell ref="BG418:BJ418"/>
    <mergeCell ref="BK418:BO418"/>
    <mergeCell ref="A419:R419"/>
    <mergeCell ref="S419:W419"/>
    <mergeCell ref="X419:AC419"/>
    <mergeCell ref="AD419:AI419"/>
    <mergeCell ref="AJ419:AT419"/>
    <mergeCell ref="AU419:BB419"/>
    <mergeCell ref="BC419:BF419"/>
    <mergeCell ref="BG419:BJ419"/>
    <mergeCell ref="BG422:BJ422"/>
    <mergeCell ref="BK422:BO422"/>
    <mergeCell ref="A423:R423"/>
    <mergeCell ref="S423:W423"/>
    <mergeCell ref="X423:AC423"/>
    <mergeCell ref="AD423:AI423"/>
    <mergeCell ref="AJ423:AT423"/>
    <mergeCell ref="AU423:BB423"/>
    <mergeCell ref="BC423:BF423"/>
    <mergeCell ref="BG423:BJ423"/>
    <mergeCell ref="BC421:BF421"/>
    <mergeCell ref="BG421:BJ421"/>
    <mergeCell ref="BK421:BO421"/>
    <mergeCell ref="A422:R422"/>
    <mergeCell ref="S422:W422"/>
    <mergeCell ref="X422:AC422"/>
    <mergeCell ref="AD422:AI422"/>
    <mergeCell ref="AJ422:AT422"/>
    <mergeCell ref="AU422:BB422"/>
    <mergeCell ref="BC422:BF422"/>
    <mergeCell ref="A421:R421"/>
    <mergeCell ref="S421:W421"/>
    <mergeCell ref="X421:AC421"/>
    <mergeCell ref="AD421:AI421"/>
    <mergeCell ref="AJ421:AT421"/>
    <mergeCell ref="AU421:BB421"/>
    <mergeCell ref="BC425:BF425"/>
    <mergeCell ref="BG425:BJ425"/>
    <mergeCell ref="BK425:BO425"/>
    <mergeCell ref="A426:R426"/>
    <mergeCell ref="S426:W426"/>
    <mergeCell ref="X426:AC426"/>
    <mergeCell ref="AD426:AI426"/>
    <mergeCell ref="AJ426:AT426"/>
    <mergeCell ref="AU426:BB426"/>
    <mergeCell ref="BC426:BF426"/>
    <mergeCell ref="A425:R425"/>
    <mergeCell ref="S425:W425"/>
    <mergeCell ref="X425:AC425"/>
    <mergeCell ref="AD425:AI425"/>
    <mergeCell ref="AJ425:AT425"/>
    <mergeCell ref="AU425:BB425"/>
    <mergeCell ref="BK423:BO423"/>
    <mergeCell ref="A424:R424"/>
    <mergeCell ref="S424:W424"/>
    <mergeCell ref="X424:AC424"/>
    <mergeCell ref="AD424:AI424"/>
    <mergeCell ref="AJ424:AT424"/>
    <mergeCell ref="AU424:BB424"/>
    <mergeCell ref="BC424:BF424"/>
    <mergeCell ref="BG424:BJ424"/>
    <mergeCell ref="BK424:BO424"/>
    <mergeCell ref="BK427:BO427"/>
    <mergeCell ref="A428:R428"/>
    <mergeCell ref="S428:W428"/>
    <mergeCell ref="X428:AC428"/>
    <mergeCell ref="AD428:AI428"/>
    <mergeCell ref="AJ428:AT428"/>
    <mergeCell ref="AU428:BB428"/>
    <mergeCell ref="BC428:BF428"/>
    <mergeCell ref="BG428:BJ428"/>
    <mergeCell ref="BK428:BO428"/>
    <mergeCell ref="BG426:BJ426"/>
    <mergeCell ref="BK426:BO426"/>
    <mergeCell ref="A427:R427"/>
    <mergeCell ref="S427:W427"/>
    <mergeCell ref="X427:AC427"/>
    <mergeCell ref="AD427:AI427"/>
    <mergeCell ref="AJ427:AT427"/>
    <mergeCell ref="AU427:BB427"/>
    <mergeCell ref="BC427:BF427"/>
    <mergeCell ref="BG427:BJ427"/>
    <mergeCell ref="BG430:BJ430"/>
    <mergeCell ref="BK430:BO430"/>
    <mergeCell ref="A431:R431"/>
    <mergeCell ref="S431:W431"/>
    <mergeCell ref="X431:AC431"/>
    <mergeCell ref="AD431:AI431"/>
    <mergeCell ref="AJ431:AT431"/>
    <mergeCell ref="AU431:BB431"/>
    <mergeCell ref="BC431:BF431"/>
    <mergeCell ref="BG431:BJ431"/>
    <mergeCell ref="BC429:BF429"/>
    <mergeCell ref="BG429:BJ429"/>
    <mergeCell ref="BK429:BO429"/>
    <mergeCell ref="A430:R430"/>
    <mergeCell ref="S430:W430"/>
    <mergeCell ref="X430:AC430"/>
    <mergeCell ref="AD430:AI430"/>
    <mergeCell ref="AJ430:AT430"/>
    <mergeCell ref="AU430:BB430"/>
    <mergeCell ref="BC430:BF430"/>
    <mergeCell ref="A429:R429"/>
    <mergeCell ref="S429:W429"/>
    <mergeCell ref="X429:AC429"/>
    <mergeCell ref="AD429:AI429"/>
    <mergeCell ref="AJ429:AT429"/>
    <mergeCell ref="AU429:BB429"/>
    <mergeCell ref="BC433:BF433"/>
    <mergeCell ref="BG433:BJ433"/>
    <mergeCell ref="BK433:BO433"/>
    <mergeCell ref="A434:R434"/>
    <mergeCell ref="S434:W434"/>
    <mergeCell ref="X434:AC434"/>
    <mergeCell ref="AD434:AI434"/>
    <mergeCell ref="AJ434:AT434"/>
    <mergeCell ref="AU434:BB434"/>
    <mergeCell ref="BC434:BF434"/>
    <mergeCell ref="A433:R433"/>
    <mergeCell ref="S433:W433"/>
    <mergeCell ref="X433:AC433"/>
    <mergeCell ref="AD433:AI433"/>
    <mergeCell ref="AJ433:AT433"/>
    <mergeCell ref="AU433:BB433"/>
    <mergeCell ref="BK431:BO431"/>
    <mergeCell ref="A432:R432"/>
    <mergeCell ref="S432:W432"/>
    <mergeCell ref="X432:AC432"/>
    <mergeCell ref="AD432:AI432"/>
    <mergeCell ref="AJ432:AT432"/>
    <mergeCell ref="AU432:BB432"/>
    <mergeCell ref="BC432:BF432"/>
    <mergeCell ref="BG432:BJ432"/>
    <mergeCell ref="BK432:BO432"/>
    <mergeCell ref="BK435:BO435"/>
    <mergeCell ref="A436:R436"/>
    <mergeCell ref="S436:W436"/>
    <mergeCell ref="X436:AC436"/>
    <mergeCell ref="AD436:AI436"/>
    <mergeCell ref="AJ436:AT436"/>
    <mergeCell ref="AU436:BB436"/>
    <mergeCell ref="BC436:BF436"/>
    <mergeCell ref="BG436:BJ436"/>
    <mergeCell ref="BK436:BO436"/>
    <mergeCell ref="BG434:BJ434"/>
    <mergeCell ref="BK434:BO434"/>
    <mergeCell ref="A435:R435"/>
    <mergeCell ref="S435:W435"/>
    <mergeCell ref="X435:AC435"/>
    <mergeCell ref="AD435:AI435"/>
    <mergeCell ref="AJ435:AT435"/>
    <mergeCell ref="AU435:BB435"/>
    <mergeCell ref="BC435:BF435"/>
    <mergeCell ref="BG435:BJ435"/>
    <mergeCell ref="BG438:BJ438"/>
    <mergeCell ref="BK438:BO438"/>
    <mergeCell ref="A439:R439"/>
    <mergeCell ref="S439:W439"/>
    <mergeCell ref="X439:AC439"/>
    <mergeCell ref="AD439:AI439"/>
    <mergeCell ref="AJ439:AT439"/>
    <mergeCell ref="AU439:BB439"/>
    <mergeCell ref="BC439:BF439"/>
    <mergeCell ref="BG439:BJ439"/>
    <mergeCell ref="BC437:BF437"/>
    <mergeCell ref="BG437:BJ437"/>
    <mergeCell ref="BK437:BO437"/>
    <mergeCell ref="A438:R438"/>
    <mergeCell ref="S438:W438"/>
    <mergeCell ref="X438:AC438"/>
    <mergeCell ref="AD438:AI438"/>
    <mergeCell ref="AJ438:AT438"/>
    <mergeCell ref="AU438:BB438"/>
    <mergeCell ref="BC438:BF438"/>
    <mergeCell ref="A437:R437"/>
    <mergeCell ref="S437:W437"/>
    <mergeCell ref="X437:AC437"/>
    <mergeCell ref="AD437:AI437"/>
    <mergeCell ref="AJ437:AT437"/>
    <mergeCell ref="AU437:BB437"/>
    <mergeCell ref="BC441:BF441"/>
    <mergeCell ref="BG441:BJ441"/>
    <mergeCell ref="BK441:BO441"/>
    <mergeCell ref="A442:R442"/>
    <mergeCell ref="S442:W442"/>
    <mergeCell ref="X442:AC442"/>
    <mergeCell ref="AD442:AI442"/>
    <mergeCell ref="AJ442:AT442"/>
    <mergeCell ref="AU442:BB442"/>
    <mergeCell ref="BC442:BF442"/>
    <mergeCell ref="A441:R441"/>
    <mergeCell ref="S441:W441"/>
    <mergeCell ref="X441:AC441"/>
    <mergeCell ref="AD441:AI441"/>
    <mergeCell ref="AJ441:AT441"/>
    <mergeCell ref="AU441:BB441"/>
    <mergeCell ref="BK439:BO439"/>
    <mergeCell ref="A440:R440"/>
    <mergeCell ref="S440:W440"/>
    <mergeCell ref="X440:AC440"/>
    <mergeCell ref="AD440:AI440"/>
    <mergeCell ref="AJ440:AT440"/>
    <mergeCell ref="AU440:BB440"/>
    <mergeCell ref="BC440:BF440"/>
    <mergeCell ref="BG440:BJ440"/>
    <mergeCell ref="BK440:BO440"/>
    <mergeCell ref="BK443:BO443"/>
    <mergeCell ref="A444:R444"/>
    <mergeCell ref="S444:W444"/>
    <mergeCell ref="X444:AC444"/>
    <mergeCell ref="AD444:AI444"/>
    <mergeCell ref="AJ444:AT444"/>
    <mergeCell ref="AU444:BB444"/>
    <mergeCell ref="BC444:BF444"/>
    <mergeCell ref="BG444:BJ444"/>
    <mergeCell ref="BK444:BO444"/>
    <mergeCell ref="BG442:BJ442"/>
    <mergeCell ref="BK442:BO442"/>
    <mergeCell ref="A443:R443"/>
    <mergeCell ref="S443:W443"/>
    <mergeCell ref="X443:AC443"/>
    <mergeCell ref="AD443:AI443"/>
    <mergeCell ref="AJ443:AT443"/>
    <mergeCell ref="AU443:BB443"/>
    <mergeCell ref="BC443:BF443"/>
    <mergeCell ref="BG443:BJ443"/>
    <mergeCell ref="BG446:BJ446"/>
    <mergeCell ref="BK446:BO446"/>
    <mergeCell ref="A447:R447"/>
    <mergeCell ref="S447:W447"/>
    <mergeCell ref="X447:AC447"/>
    <mergeCell ref="AD447:AI447"/>
    <mergeCell ref="AJ447:AT447"/>
    <mergeCell ref="AU447:BB447"/>
    <mergeCell ref="BC447:BF447"/>
    <mergeCell ref="BG447:BJ447"/>
    <mergeCell ref="BC445:BF445"/>
    <mergeCell ref="BG445:BJ445"/>
    <mergeCell ref="BK445:BO445"/>
    <mergeCell ref="A446:R446"/>
    <mergeCell ref="S446:W446"/>
    <mergeCell ref="X446:AC446"/>
    <mergeCell ref="AD446:AI446"/>
    <mergeCell ref="AJ446:AT446"/>
    <mergeCell ref="AU446:BB446"/>
    <mergeCell ref="BC446:BF446"/>
    <mergeCell ref="A445:R445"/>
    <mergeCell ref="S445:W445"/>
    <mergeCell ref="X445:AC445"/>
    <mergeCell ref="AD445:AI445"/>
    <mergeCell ref="AJ445:AT445"/>
    <mergeCell ref="AU445:BB445"/>
    <mergeCell ref="BC449:BF449"/>
    <mergeCell ref="BG449:BJ449"/>
    <mergeCell ref="BK449:BO449"/>
    <mergeCell ref="A450:R450"/>
    <mergeCell ref="S450:W450"/>
    <mergeCell ref="X450:AC450"/>
    <mergeCell ref="AD450:AI450"/>
    <mergeCell ref="AJ450:AT450"/>
    <mergeCell ref="AU450:BB450"/>
    <mergeCell ref="BC450:BF450"/>
    <mergeCell ref="A449:R449"/>
    <mergeCell ref="S449:W449"/>
    <mergeCell ref="X449:AC449"/>
    <mergeCell ref="AD449:AI449"/>
    <mergeCell ref="AJ449:AT449"/>
    <mergeCell ref="AU449:BB449"/>
    <mergeCell ref="BK447:BO447"/>
    <mergeCell ref="A448:R448"/>
    <mergeCell ref="S448:W448"/>
    <mergeCell ref="X448:AC448"/>
    <mergeCell ref="AD448:AI448"/>
    <mergeCell ref="AJ448:AT448"/>
    <mergeCell ref="AU448:BB448"/>
    <mergeCell ref="BC448:BF448"/>
    <mergeCell ref="BG448:BJ448"/>
    <mergeCell ref="BK448:BO448"/>
    <mergeCell ref="BK451:BO451"/>
    <mergeCell ref="A452:R452"/>
    <mergeCell ref="S452:W452"/>
    <mergeCell ref="X452:AC452"/>
    <mergeCell ref="AD452:AI452"/>
    <mergeCell ref="AJ452:AT452"/>
    <mergeCell ref="AU452:BB452"/>
    <mergeCell ref="BC452:BF452"/>
    <mergeCell ref="BG452:BJ452"/>
    <mergeCell ref="BK452:BO452"/>
    <mergeCell ref="BG450:BJ450"/>
    <mergeCell ref="BK450:BO450"/>
    <mergeCell ref="A451:R451"/>
    <mergeCell ref="S451:W451"/>
    <mergeCell ref="X451:AC451"/>
    <mergeCell ref="AD451:AI451"/>
    <mergeCell ref="AJ451:AT451"/>
    <mergeCell ref="AU451:BB451"/>
    <mergeCell ref="BC451:BF451"/>
    <mergeCell ref="BG451:BJ451"/>
    <mergeCell ref="BG454:BJ454"/>
    <mergeCell ref="BK454:BO454"/>
    <mergeCell ref="A455:R455"/>
    <mergeCell ref="S455:W455"/>
    <mergeCell ref="X455:AC455"/>
    <mergeCell ref="AD455:AI455"/>
    <mergeCell ref="AJ455:AT455"/>
    <mergeCell ref="AU455:BB455"/>
    <mergeCell ref="BC455:BF455"/>
    <mergeCell ref="BG455:BJ455"/>
    <mergeCell ref="BC453:BF453"/>
    <mergeCell ref="BG453:BJ453"/>
    <mergeCell ref="BK453:BO453"/>
    <mergeCell ref="A454:R454"/>
    <mergeCell ref="S454:W454"/>
    <mergeCell ref="X454:AC454"/>
    <mergeCell ref="AD454:AI454"/>
    <mergeCell ref="AJ454:AT454"/>
    <mergeCell ref="AU454:BB454"/>
    <mergeCell ref="BC454:BF454"/>
    <mergeCell ref="A453:R453"/>
    <mergeCell ref="S453:W453"/>
    <mergeCell ref="X453:AC453"/>
    <mergeCell ref="AD453:AI453"/>
    <mergeCell ref="AJ453:AT453"/>
    <mergeCell ref="AU453:BB453"/>
    <mergeCell ref="BC457:BF457"/>
    <mergeCell ref="BG457:BJ457"/>
    <mergeCell ref="BK457:BO457"/>
    <mergeCell ref="A458:R458"/>
    <mergeCell ref="S458:W458"/>
    <mergeCell ref="X458:AC458"/>
    <mergeCell ref="AD458:AI458"/>
    <mergeCell ref="AJ458:AT458"/>
    <mergeCell ref="AU458:BB458"/>
    <mergeCell ref="BC458:BF458"/>
    <mergeCell ref="A457:R457"/>
    <mergeCell ref="S457:W457"/>
    <mergeCell ref="X457:AC457"/>
    <mergeCell ref="AD457:AI457"/>
    <mergeCell ref="AJ457:AT457"/>
    <mergeCell ref="AU457:BB457"/>
    <mergeCell ref="BK455:BO455"/>
    <mergeCell ref="A456:R456"/>
    <mergeCell ref="S456:W456"/>
    <mergeCell ref="X456:AC456"/>
    <mergeCell ref="AD456:AI456"/>
    <mergeCell ref="AJ456:AT456"/>
    <mergeCell ref="AU456:BB456"/>
    <mergeCell ref="BC456:BF456"/>
    <mergeCell ref="BG456:BJ456"/>
    <mergeCell ref="BK456:BO456"/>
    <mergeCell ref="BK459:BO459"/>
    <mergeCell ref="A460:R460"/>
    <mergeCell ref="S460:W460"/>
    <mergeCell ref="X460:AC460"/>
    <mergeCell ref="AD460:AI460"/>
    <mergeCell ref="AJ460:AT460"/>
    <mergeCell ref="AU460:BB460"/>
    <mergeCell ref="BC460:BF460"/>
    <mergeCell ref="BG460:BJ460"/>
    <mergeCell ref="BK460:BO460"/>
    <mergeCell ref="BG458:BJ458"/>
    <mergeCell ref="BK458:BO458"/>
    <mergeCell ref="A459:R459"/>
    <mergeCell ref="S459:W459"/>
    <mergeCell ref="X459:AC459"/>
    <mergeCell ref="AD459:AI459"/>
    <mergeCell ref="AJ459:AT459"/>
    <mergeCell ref="AU459:BB459"/>
    <mergeCell ref="BC459:BF459"/>
    <mergeCell ref="BG459:BJ459"/>
    <mergeCell ref="BG462:BJ462"/>
    <mergeCell ref="BK462:BO462"/>
    <mergeCell ref="A463:R463"/>
    <mergeCell ref="S463:W463"/>
    <mergeCell ref="X463:AC463"/>
    <mergeCell ref="AD463:AI463"/>
    <mergeCell ref="AJ463:AT463"/>
    <mergeCell ref="AU463:BB463"/>
    <mergeCell ref="BC463:BF463"/>
    <mergeCell ref="BG463:BJ463"/>
    <mergeCell ref="BC461:BF461"/>
    <mergeCell ref="BG461:BJ461"/>
    <mergeCell ref="BK461:BO461"/>
    <mergeCell ref="A462:R462"/>
    <mergeCell ref="S462:W462"/>
    <mergeCell ref="X462:AC462"/>
    <mergeCell ref="AD462:AI462"/>
    <mergeCell ref="AJ462:AT462"/>
    <mergeCell ref="AU462:BB462"/>
    <mergeCell ref="BC462:BF462"/>
    <mergeCell ref="A461:R461"/>
    <mergeCell ref="S461:W461"/>
    <mergeCell ref="X461:AC461"/>
    <mergeCell ref="AD461:AI461"/>
    <mergeCell ref="AJ461:AT461"/>
    <mergeCell ref="AU461:BB461"/>
    <mergeCell ref="BC465:BF465"/>
    <mergeCell ref="BG465:BJ465"/>
    <mergeCell ref="BK465:BO465"/>
    <mergeCell ref="A466:AX466"/>
    <mergeCell ref="A467:AX467"/>
    <mergeCell ref="A468:AX468"/>
    <mergeCell ref="A465:R465"/>
    <mergeCell ref="S465:W465"/>
    <mergeCell ref="X465:AC465"/>
    <mergeCell ref="AD465:AI465"/>
    <mergeCell ref="AJ465:AT465"/>
    <mergeCell ref="AU465:BB465"/>
    <mergeCell ref="BK463:BO463"/>
    <mergeCell ref="A464:R464"/>
    <mergeCell ref="S464:W464"/>
    <mergeCell ref="X464:AC464"/>
    <mergeCell ref="AD464:AI464"/>
    <mergeCell ref="AJ464:AT464"/>
    <mergeCell ref="AU464:BB464"/>
    <mergeCell ref="BC464:BF464"/>
    <mergeCell ref="BG464:BJ464"/>
    <mergeCell ref="BK464:BO464"/>
    <mergeCell ref="A481:AX481"/>
    <mergeCell ref="A482:F482"/>
    <mergeCell ref="G482:AM482"/>
    <mergeCell ref="A483:AM483"/>
    <mergeCell ref="B484:C484"/>
    <mergeCell ref="D484:G484"/>
    <mergeCell ref="N484:P484"/>
    <mergeCell ref="Q484:AA484"/>
    <mergeCell ref="AB484:AH484"/>
    <mergeCell ref="AI484:AP484"/>
    <mergeCell ref="A475:AX475"/>
    <mergeCell ref="A476:AX476"/>
    <mergeCell ref="A477:AX477"/>
    <mergeCell ref="A478:AX478"/>
    <mergeCell ref="A479:AX479"/>
    <mergeCell ref="A480:AX480"/>
    <mergeCell ref="A469:AX469"/>
    <mergeCell ref="A470:AX470"/>
    <mergeCell ref="A471:AX471"/>
    <mergeCell ref="A472:AX472"/>
    <mergeCell ref="A473:BN473"/>
    <mergeCell ref="A474:AX474"/>
    <mergeCell ref="AB485:AH487"/>
    <mergeCell ref="AI485:AP487"/>
    <mergeCell ref="AQ485:AQ488"/>
    <mergeCell ref="AR485:AR488"/>
    <mergeCell ref="AS485:AS488"/>
    <mergeCell ref="N486:P486"/>
    <mergeCell ref="N487:P488"/>
    <mergeCell ref="Q488:AP488"/>
    <mergeCell ref="K485:K488"/>
    <mergeCell ref="L485:L488"/>
    <mergeCell ref="M485:M488"/>
    <mergeCell ref="N485:P485"/>
    <mergeCell ref="Q485:Q487"/>
    <mergeCell ref="R485:AA487"/>
    <mergeCell ref="A485:A488"/>
    <mergeCell ref="B485:C488"/>
    <mergeCell ref="D485:G488"/>
    <mergeCell ref="H485:H488"/>
    <mergeCell ref="I485:I488"/>
    <mergeCell ref="J485:J488"/>
    <mergeCell ref="AI489:AP491"/>
    <mergeCell ref="AQ489:AQ492"/>
    <mergeCell ref="AR489:AR492"/>
    <mergeCell ref="N490:P490"/>
    <mergeCell ref="N491:P492"/>
    <mergeCell ref="Q492:AP492"/>
    <mergeCell ref="L489:L492"/>
    <mergeCell ref="M489:M492"/>
    <mergeCell ref="N489:P489"/>
    <mergeCell ref="Q489:Q491"/>
    <mergeCell ref="R489:AA491"/>
    <mergeCell ref="AB489:AH491"/>
    <mergeCell ref="A489:A492"/>
    <mergeCell ref="B489:C492"/>
    <mergeCell ref="D489:G492"/>
    <mergeCell ref="I489:I492"/>
    <mergeCell ref="J489:J492"/>
    <mergeCell ref="K489:K492"/>
    <mergeCell ref="AB493:AH494"/>
    <mergeCell ref="AI493:AP494"/>
    <mergeCell ref="AQ493:AQ496"/>
    <mergeCell ref="AR493:AR496"/>
    <mergeCell ref="AS493:AS496"/>
    <mergeCell ref="N494:P495"/>
    <mergeCell ref="Q495:AP496"/>
    <mergeCell ref="N496:P496"/>
    <mergeCell ref="K493:K496"/>
    <mergeCell ref="L493:L496"/>
    <mergeCell ref="M493:M496"/>
    <mergeCell ref="N493:P493"/>
    <mergeCell ref="Q493:Q494"/>
    <mergeCell ref="R493:AA494"/>
    <mergeCell ref="A493:A496"/>
    <mergeCell ref="B493:C496"/>
    <mergeCell ref="D493:G496"/>
    <mergeCell ref="H493:H496"/>
    <mergeCell ref="I493:I496"/>
    <mergeCell ref="J493:J496"/>
    <mergeCell ref="AI497:AP498"/>
    <mergeCell ref="AQ497:AQ500"/>
    <mergeCell ref="AR497:AR500"/>
    <mergeCell ref="N498:P499"/>
    <mergeCell ref="Q499:AP500"/>
    <mergeCell ref="N500:P500"/>
    <mergeCell ref="L497:L500"/>
    <mergeCell ref="M497:M500"/>
    <mergeCell ref="N497:P497"/>
    <mergeCell ref="Q497:Q498"/>
    <mergeCell ref="R497:AA498"/>
    <mergeCell ref="AB497:AH498"/>
    <mergeCell ref="A497:A500"/>
    <mergeCell ref="B497:C500"/>
    <mergeCell ref="D497:G500"/>
    <mergeCell ref="I497:I500"/>
    <mergeCell ref="J497:J500"/>
    <mergeCell ref="K497:K500"/>
    <mergeCell ref="AB501:AH502"/>
    <mergeCell ref="AI501:AP502"/>
    <mergeCell ref="AQ501:AQ504"/>
    <mergeCell ref="AR501:AR504"/>
    <mergeCell ref="AS501:AS504"/>
    <mergeCell ref="N502:P503"/>
    <mergeCell ref="Q503:AP504"/>
    <mergeCell ref="N504:P504"/>
    <mergeCell ref="K501:K504"/>
    <mergeCell ref="L501:L504"/>
    <mergeCell ref="M501:M504"/>
    <mergeCell ref="N501:P501"/>
    <mergeCell ref="Q501:Q502"/>
    <mergeCell ref="R501:AA502"/>
    <mergeCell ref="A501:A504"/>
    <mergeCell ref="B501:C504"/>
    <mergeCell ref="D501:G504"/>
    <mergeCell ref="H501:H504"/>
    <mergeCell ref="I501:I504"/>
    <mergeCell ref="J501:J504"/>
    <mergeCell ref="AI505:AP507"/>
    <mergeCell ref="AQ505:AQ508"/>
    <mergeCell ref="AR505:AR508"/>
    <mergeCell ref="N506:P506"/>
    <mergeCell ref="N507:P508"/>
    <mergeCell ref="Q508:AP508"/>
    <mergeCell ref="L505:L508"/>
    <mergeCell ref="M505:M508"/>
    <mergeCell ref="N505:P505"/>
    <mergeCell ref="Q505:Q507"/>
    <mergeCell ref="R505:AA507"/>
    <mergeCell ref="AB505:AH507"/>
    <mergeCell ref="A505:A508"/>
    <mergeCell ref="B505:C508"/>
    <mergeCell ref="D505:G508"/>
    <mergeCell ref="I505:I508"/>
    <mergeCell ref="J505:J508"/>
    <mergeCell ref="K505:K508"/>
    <mergeCell ref="AB509:AH510"/>
    <mergeCell ref="AI509:AP510"/>
    <mergeCell ref="AQ509:AQ512"/>
    <mergeCell ref="AR509:AR512"/>
    <mergeCell ref="AS509:AS512"/>
    <mergeCell ref="N510:P511"/>
    <mergeCell ref="Q511:AP512"/>
    <mergeCell ref="N512:P512"/>
    <mergeCell ref="K509:K512"/>
    <mergeCell ref="L509:L512"/>
    <mergeCell ref="M509:M512"/>
    <mergeCell ref="N509:P509"/>
    <mergeCell ref="Q509:Q510"/>
    <mergeCell ref="R509:AA510"/>
    <mergeCell ref="A509:A512"/>
    <mergeCell ref="B509:C512"/>
    <mergeCell ref="D509:G512"/>
    <mergeCell ref="H509:H512"/>
    <mergeCell ref="I509:I512"/>
    <mergeCell ref="J509:J512"/>
    <mergeCell ref="AI513:AP514"/>
    <mergeCell ref="AQ513:AQ516"/>
    <mergeCell ref="AR513:AR516"/>
    <mergeCell ref="N514:P515"/>
    <mergeCell ref="Q515:AP516"/>
    <mergeCell ref="N516:P516"/>
    <mergeCell ref="L513:L516"/>
    <mergeCell ref="M513:M516"/>
    <mergeCell ref="N513:P513"/>
    <mergeCell ref="Q513:Q514"/>
    <mergeCell ref="R513:AA514"/>
    <mergeCell ref="AB513:AH514"/>
    <mergeCell ref="A513:A516"/>
    <mergeCell ref="B513:C516"/>
    <mergeCell ref="D513:G516"/>
    <mergeCell ref="I513:I516"/>
    <mergeCell ref="J513:J516"/>
    <mergeCell ref="K513:K516"/>
    <mergeCell ref="AB517:AH518"/>
    <mergeCell ref="AI517:AP518"/>
    <mergeCell ref="AQ517:AQ520"/>
    <mergeCell ref="AR517:AR520"/>
    <mergeCell ref="AS517:AS520"/>
    <mergeCell ref="N518:P519"/>
    <mergeCell ref="Q519:AP520"/>
    <mergeCell ref="N520:P520"/>
    <mergeCell ref="K517:K520"/>
    <mergeCell ref="L517:L520"/>
    <mergeCell ref="M517:M520"/>
    <mergeCell ref="N517:P517"/>
    <mergeCell ref="Q517:Q518"/>
    <mergeCell ref="R517:AA518"/>
    <mergeCell ref="A517:A520"/>
    <mergeCell ref="B517:C520"/>
    <mergeCell ref="D517:G520"/>
    <mergeCell ref="H517:H520"/>
    <mergeCell ref="I517:I520"/>
    <mergeCell ref="J517:J520"/>
    <mergeCell ref="AI521:AP522"/>
    <mergeCell ref="AQ521:AQ524"/>
    <mergeCell ref="AR521:AR524"/>
    <mergeCell ref="N522:P523"/>
    <mergeCell ref="Q523:AP524"/>
    <mergeCell ref="N524:P524"/>
    <mergeCell ref="L521:L524"/>
    <mergeCell ref="M521:M524"/>
    <mergeCell ref="N521:P521"/>
    <mergeCell ref="Q521:Q522"/>
    <mergeCell ref="R521:AA522"/>
    <mergeCell ref="AB521:AH522"/>
    <mergeCell ref="A521:A524"/>
    <mergeCell ref="B521:C524"/>
    <mergeCell ref="D521:G524"/>
    <mergeCell ref="I521:I524"/>
    <mergeCell ref="J521:J524"/>
    <mergeCell ref="K521:K524"/>
    <mergeCell ref="A537:AX537"/>
    <mergeCell ref="A538:AX538"/>
    <mergeCell ref="A539:AX539"/>
    <mergeCell ref="A540:AX540"/>
    <mergeCell ref="A541:AX541"/>
    <mergeCell ref="A542:AX542"/>
    <mergeCell ref="A531:AX531"/>
    <mergeCell ref="A532:O532"/>
    <mergeCell ref="P532:AN532"/>
    <mergeCell ref="A533:AX533"/>
    <mergeCell ref="A534:AX534"/>
    <mergeCell ref="A535:B536"/>
    <mergeCell ref="C535:AV535"/>
    <mergeCell ref="AW535:AX536"/>
    <mergeCell ref="C536:AV536"/>
    <mergeCell ref="A525:AS525"/>
    <mergeCell ref="A526:AD526"/>
    <mergeCell ref="A527:AX527"/>
    <mergeCell ref="A528:AX528"/>
    <mergeCell ref="A529:AX529"/>
    <mergeCell ref="A530:AX530"/>
    <mergeCell ref="BJ548:BL548"/>
    <mergeCell ref="BB549:BE549"/>
    <mergeCell ref="BF549:BI549"/>
    <mergeCell ref="BB546:BE546"/>
    <mergeCell ref="BF546:BL546"/>
    <mergeCell ref="A547:E550"/>
    <mergeCell ref="F547:V550"/>
    <mergeCell ref="W547:Z550"/>
    <mergeCell ref="AA547:AB550"/>
    <mergeCell ref="AC547:AG550"/>
    <mergeCell ref="AH547:AJ550"/>
    <mergeCell ref="AK547:AO550"/>
    <mergeCell ref="AP547:AY550"/>
    <mergeCell ref="A543:AX543"/>
    <mergeCell ref="A544:AX544"/>
    <mergeCell ref="A545:AX545"/>
    <mergeCell ref="A546:E546"/>
    <mergeCell ref="F546:V546"/>
    <mergeCell ref="W546:Z546"/>
    <mergeCell ref="AA546:AG546"/>
    <mergeCell ref="AH546:AJ546"/>
    <mergeCell ref="AK546:AO546"/>
    <mergeCell ref="AP546:BA546"/>
    <mergeCell ref="A557:AX557"/>
    <mergeCell ref="A558:AX558"/>
    <mergeCell ref="A559:AX559"/>
    <mergeCell ref="A552:BO552"/>
    <mergeCell ref="A553:D553"/>
    <mergeCell ref="E553:AS553"/>
    <mergeCell ref="A554:AX554"/>
    <mergeCell ref="A555:AX555"/>
    <mergeCell ref="A556:AX556"/>
    <mergeCell ref="AK551:AO551"/>
    <mergeCell ref="AP551:AY551"/>
    <mergeCell ref="AZ551:BA551"/>
    <mergeCell ref="BB551:BE551"/>
    <mergeCell ref="BF551:BI551"/>
    <mergeCell ref="BJ551:BL551"/>
    <mergeCell ref="BJ549:BL549"/>
    <mergeCell ref="BB550:BE550"/>
    <mergeCell ref="BF550:BI550"/>
    <mergeCell ref="BJ550:BL550"/>
    <mergeCell ref="A551:E551"/>
    <mergeCell ref="F551:V551"/>
    <mergeCell ref="W551:Z551"/>
    <mergeCell ref="AA551:AB551"/>
    <mergeCell ref="AC551:AG551"/>
    <mergeCell ref="AH551:AJ551"/>
    <mergeCell ref="AZ547:BA550"/>
    <mergeCell ref="BB547:BE547"/>
    <mergeCell ref="BF547:BI547"/>
    <mergeCell ref="BJ547:BL547"/>
    <mergeCell ref="BM547:BM550"/>
    <mergeCell ref="BB548:BE548"/>
    <mergeCell ref="BF548:BI54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9ED5-1CFF-1045-8340-7197E79B2231}">
  <sheetPr>
    <tabColor theme="8" tint="0.59999389629810485"/>
  </sheetPr>
  <dimension ref="B2:AI22"/>
  <sheetViews>
    <sheetView showGridLines="0" workbookViewId="0">
      <selection activeCell="B2" sqref="B2:Q3"/>
    </sheetView>
  </sheetViews>
  <sheetFormatPr baseColWidth="10" defaultRowHeight="16" x14ac:dyDescent="0.2"/>
  <cols>
    <col min="1" max="1" width="8.5" style="5" customWidth="1"/>
    <col min="2" max="2" width="26.6640625" style="5" customWidth="1"/>
    <col min="3" max="15" width="19.5" style="11" hidden="1" customWidth="1"/>
    <col min="16" max="19" width="18.83203125" style="5" customWidth="1"/>
    <col min="20" max="21" width="18.83203125" style="11" hidden="1" customWidth="1"/>
    <col min="22" max="22" width="18.83203125" style="5" hidden="1" customWidth="1"/>
    <col min="23" max="23" width="18.83203125" style="11" hidden="1" customWidth="1"/>
    <col min="24" max="35" width="18.83203125" style="5" customWidth="1"/>
    <col min="36" max="37" width="10.83203125" style="5" customWidth="1"/>
    <col min="38" max="16384" width="10.83203125" style="5"/>
  </cols>
  <sheetData>
    <row r="2" spans="2:35" ht="16" customHeight="1" x14ac:dyDescent="0.2">
      <c r="B2" s="1145" t="s">
        <v>1371</v>
      </c>
      <c r="C2" s="1146"/>
      <c r="D2" s="1146"/>
      <c r="E2" s="1146"/>
      <c r="F2" s="1146"/>
      <c r="G2" s="1146"/>
      <c r="H2" s="1146"/>
      <c r="I2" s="1146"/>
      <c r="J2" s="1146"/>
      <c r="K2" s="1146"/>
      <c r="L2" s="1146"/>
      <c r="M2" s="1146"/>
      <c r="N2" s="1146"/>
      <c r="O2" s="1146"/>
      <c r="P2" s="1146"/>
      <c r="Q2" s="1147"/>
    </row>
    <row r="3" spans="2:35" ht="16" customHeight="1" x14ac:dyDescent="0.2">
      <c r="B3" s="1148"/>
      <c r="C3" s="1149"/>
      <c r="D3" s="1149"/>
      <c r="E3" s="1149"/>
      <c r="F3" s="1149"/>
      <c r="G3" s="1149"/>
      <c r="H3" s="1149"/>
      <c r="I3" s="1149"/>
      <c r="J3" s="1149"/>
      <c r="K3" s="1149"/>
      <c r="L3" s="1149"/>
      <c r="M3" s="1149"/>
      <c r="N3" s="1149"/>
      <c r="O3" s="1149"/>
      <c r="P3" s="1149"/>
      <c r="Q3" s="1150"/>
    </row>
    <row r="5" spans="2:35" ht="51" x14ac:dyDescent="0.2">
      <c r="B5" s="116" t="s">
        <v>1202</v>
      </c>
      <c r="C5" s="117" t="s">
        <v>305</v>
      </c>
      <c r="D5" s="117" t="s">
        <v>292</v>
      </c>
      <c r="E5" s="117" t="s">
        <v>1229</v>
      </c>
      <c r="F5" s="117" t="s">
        <v>1230</v>
      </c>
      <c r="G5" s="117" t="s">
        <v>1231</v>
      </c>
      <c r="H5" s="117" t="s">
        <v>1232</v>
      </c>
      <c r="I5" s="117" t="s">
        <v>334</v>
      </c>
      <c r="J5" s="117" t="s">
        <v>1233</v>
      </c>
      <c r="K5" s="117" t="s">
        <v>347</v>
      </c>
      <c r="L5" s="117" t="s">
        <v>1236</v>
      </c>
      <c r="M5" s="117" t="s">
        <v>1234</v>
      </c>
      <c r="N5" s="117" t="s">
        <v>1235</v>
      </c>
      <c r="O5" s="117" t="s">
        <v>1238</v>
      </c>
      <c r="P5" s="116" t="s">
        <v>1203</v>
      </c>
      <c r="Q5" s="118" t="s">
        <v>1204</v>
      </c>
      <c r="R5" s="118" t="s">
        <v>1205</v>
      </c>
      <c r="S5" s="118" t="s">
        <v>1206</v>
      </c>
      <c r="T5" s="117" t="s">
        <v>1226</v>
      </c>
      <c r="U5" s="117" t="s">
        <v>1227</v>
      </c>
      <c r="V5" s="118" t="s">
        <v>1228</v>
      </c>
      <c r="W5" s="117" t="s">
        <v>1225</v>
      </c>
      <c r="X5" s="118" t="s">
        <v>1207</v>
      </c>
      <c r="Y5" s="118" t="s">
        <v>1208</v>
      </c>
      <c r="Z5" s="118" t="s">
        <v>1209</v>
      </c>
      <c r="AA5" s="118" t="s">
        <v>1210</v>
      </c>
      <c r="AB5" s="118" t="s">
        <v>1211</v>
      </c>
      <c r="AC5" s="118" t="s">
        <v>1224</v>
      </c>
      <c r="AD5" s="118" t="s">
        <v>1212</v>
      </c>
      <c r="AE5" s="118" t="s">
        <v>1213</v>
      </c>
      <c r="AF5" s="119" t="s">
        <v>1214</v>
      </c>
      <c r="AG5" s="112" t="s">
        <v>1215</v>
      </c>
      <c r="AH5" s="112" t="s">
        <v>371</v>
      </c>
      <c r="AI5" s="113" t="s">
        <v>372</v>
      </c>
    </row>
    <row r="6" spans="2:35" x14ac:dyDescent="0.2">
      <c r="B6" s="126" t="s">
        <v>1216</v>
      </c>
      <c r="C6" s="368">
        <v>57616884</v>
      </c>
      <c r="D6" s="368">
        <v>40746735</v>
      </c>
      <c r="E6" s="368">
        <v>9190580</v>
      </c>
      <c r="F6" s="368">
        <v>5396472</v>
      </c>
      <c r="G6" s="368">
        <v>136494</v>
      </c>
      <c r="H6" s="368">
        <v>8659767</v>
      </c>
      <c r="I6" s="369">
        <f>9795621-H6</f>
        <v>1135854</v>
      </c>
      <c r="J6" s="368">
        <v>7492124</v>
      </c>
      <c r="K6" s="368">
        <v>6387006</v>
      </c>
      <c r="L6" s="368">
        <v>34992</v>
      </c>
      <c r="M6" s="369">
        <v>58447</v>
      </c>
      <c r="N6" s="368">
        <v>832426</v>
      </c>
      <c r="O6" s="370">
        <f>(AA6*C6)/(C6*1.22/365)</f>
        <v>44.966540195541789</v>
      </c>
      <c r="P6" s="371">
        <f>D6/C6</f>
        <v>0.70720129537029464</v>
      </c>
      <c r="Q6" s="372">
        <f>E6/C6</f>
        <v>0.15951192362294359</v>
      </c>
      <c r="R6" s="372">
        <f>F6/C6</f>
        <v>9.3661295532746963E-2</v>
      </c>
      <c r="S6" s="372">
        <f>G6/C6</f>
        <v>2.3689930889008158E-3</v>
      </c>
      <c r="T6" s="373">
        <v>13713494</v>
      </c>
      <c r="U6" s="373">
        <v>1400853</v>
      </c>
      <c r="V6" s="374">
        <f>T6/(T6+U6)</f>
        <v>0.90731633989877303</v>
      </c>
      <c r="W6" s="373">
        <v>434113</v>
      </c>
      <c r="X6" s="372">
        <f>(W6*(1-V6))/(U6+T6)</f>
        <v>2.6620522697754622E-3</v>
      </c>
      <c r="Y6" s="372">
        <f>(W6*V6)/(T6)</f>
        <v>2.8721915673895804E-2</v>
      </c>
      <c r="Z6" s="372">
        <f>L6/C6</f>
        <v>6.0732197874498043E-4</v>
      </c>
      <c r="AA6" s="372">
        <f>H6/C6</f>
        <v>0.15029912065359174</v>
      </c>
      <c r="AB6" s="372">
        <f>I6/C6</f>
        <v>1.9713908860465278E-2</v>
      </c>
      <c r="AC6" s="372">
        <f>J6/D6</f>
        <v>0.18387053588465432</v>
      </c>
      <c r="AD6" s="372">
        <f>K6/D6</f>
        <v>0.15674890270349268</v>
      </c>
      <c r="AE6" s="372">
        <f>J6/C6</f>
        <v>0.13003348115805777</v>
      </c>
      <c r="AF6" s="215">
        <f>N6/C6</f>
        <v>1.4447605323467337E-2</v>
      </c>
      <c r="AG6" s="371">
        <v>3.04E-2</v>
      </c>
      <c r="AH6" s="372">
        <v>8.9800000000000005E-2</v>
      </c>
      <c r="AI6" s="215">
        <v>8.1000000000000003E-2</v>
      </c>
    </row>
    <row r="7" spans="2:35" x14ac:dyDescent="0.2">
      <c r="B7" s="128" t="s">
        <v>1217</v>
      </c>
      <c r="C7" s="375">
        <v>32585062</v>
      </c>
      <c r="D7" s="375">
        <v>22885536</v>
      </c>
      <c r="E7" s="375"/>
      <c r="F7" s="375"/>
      <c r="G7" s="375"/>
      <c r="H7" s="375"/>
      <c r="I7" s="375"/>
      <c r="J7" s="375"/>
      <c r="K7" s="375"/>
      <c r="L7" s="375"/>
      <c r="M7" s="375"/>
      <c r="N7" s="375"/>
      <c r="O7" s="376">
        <f t="shared" ref="O7:O14" si="0">(AA7*C7)/(C7*1.22/365)</f>
        <v>46.573579746650694</v>
      </c>
      <c r="P7" s="238">
        <f>D7/C7</f>
        <v>0.70233212998029593</v>
      </c>
      <c r="Q7" s="239">
        <f>4713095/C7</f>
        <v>0.14463974320503056</v>
      </c>
      <c r="R7" s="239">
        <f>2681925/C7</f>
        <v>8.230535206592518E-2</v>
      </c>
      <c r="S7" s="239">
        <v>0</v>
      </c>
      <c r="T7" s="377">
        <v>16672665</v>
      </c>
      <c r="U7" s="377">
        <v>20902923</v>
      </c>
      <c r="V7" s="378">
        <f t="shared" ref="V7:V14" si="1">T7/(T7+U7)</f>
        <v>0.44371002258168257</v>
      </c>
      <c r="W7" s="377">
        <v>1737633</v>
      </c>
      <c r="X7" s="239">
        <f t="shared" ref="X7:X13" si="2">(W7*(1-V7))/(U7+T7)</f>
        <v>2.5724888785009118E-2</v>
      </c>
      <c r="Y7" s="239">
        <f t="shared" ref="Y7:Y14" si="3">(W7*V7)/(T7)</f>
        <v>4.6243667564164266E-2</v>
      </c>
      <c r="Z7" s="239">
        <f>(153+5374)/C7</f>
        <v>1.6961759962279648E-4</v>
      </c>
      <c r="AA7" s="239">
        <f>5072536/C7</f>
        <v>0.15567059531757221</v>
      </c>
      <c r="AB7" s="239">
        <f>(12595990-5072536)/C7</f>
        <v>0.23088659459969724</v>
      </c>
      <c r="AC7" s="239">
        <f>9013430/D7</f>
        <v>0.39384832411178833</v>
      </c>
      <c r="AD7" s="239">
        <f>7743380/D7</f>
        <v>0.33835257343328118</v>
      </c>
      <c r="AE7" s="239">
        <f>332754/C7</f>
        <v>1.0211857200087575E-2</v>
      </c>
      <c r="AF7" s="240">
        <f>17462210/C7</f>
        <v>0.53589617230128328</v>
      </c>
      <c r="AG7" s="238">
        <v>6.8900000000000003E-2</v>
      </c>
      <c r="AH7" s="239">
        <v>6.5799999999999997E-2</v>
      </c>
      <c r="AI7" s="240">
        <v>5.1900000000000002E-2</v>
      </c>
    </row>
    <row r="8" spans="2:35" x14ac:dyDescent="0.2">
      <c r="B8" s="128" t="s">
        <v>1218</v>
      </c>
      <c r="C8" s="375">
        <v>32440820</v>
      </c>
      <c r="D8" s="375">
        <v>24111988</v>
      </c>
      <c r="E8" s="379">
        <v>4318196</v>
      </c>
      <c r="F8" s="379">
        <v>3984151</v>
      </c>
      <c r="G8" s="375">
        <v>0</v>
      </c>
      <c r="H8" s="379">
        <v>4136369</v>
      </c>
      <c r="I8" s="375">
        <f>9161304-H8</f>
        <v>5024935</v>
      </c>
      <c r="J8" s="375">
        <v>17800000</v>
      </c>
      <c r="K8" s="379">
        <v>7957316</v>
      </c>
      <c r="L8" s="375">
        <v>3298</v>
      </c>
      <c r="M8" s="379">
        <v>179493</v>
      </c>
      <c r="N8" s="379">
        <v>163736</v>
      </c>
      <c r="O8" s="376">
        <f t="shared" si="0"/>
        <v>38.147008417375311</v>
      </c>
      <c r="P8" s="238">
        <f>D8/C8</f>
        <v>0.74326074371732898</v>
      </c>
      <c r="Q8" s="239">
        <f>D9/C9</f>
        <v>0.82715605999110375</v>
      </c>
      <c r="R8" s="239">
        <f>F8/C8</f>
        <v>0.12281289437196717</v>
      </c>
      <c r="S8" s="239">
        <v>0</v>
      </c>
      <c r="T8" s="377">
        <v>14338592</v>
      </c>
      <c r="U8" s="377">
        <v>5242259</v>
      </c>
      <c r="V8" s="378">
        <f t="shared" si="1"/>
        <v>0.73227624274348446</v>
      </c>
      <c r="W8" s="377">
        <v>396335</v>
      </c>
      <c r="X8" s="239">
        <f t="shared" si="2"/>
        <v>5.4189828282877536E-3</v>
      </c>
      <c r="Y8" s="239">
        <f t="shared" si="3"/>
        <v>2.0240948669697761E-2</v>
      </c>
      <c r="Z8" s="239">
        <f>L8/C8</f>
        <v>1.0166204183494746E-4</v>
      </c>
      <c r="AA8" s="239">
        <f>H8/C8</f>
        <v>0.12750506923067911</v>
      </c>
      <c r="AB8" s="239">
        <f>I8/C8</f>
        <v>0.15489543729165908</v>
      </c>
      <c r="AC8" s="239">
        <f>J8/C8</f>
        <v>0.54869143258400987</v>
      </c>
      <c r="AD8" s="239">
        <f>K8/D8</f>
        <v>0.33001492867365395</v>
      </c>
      <c r="AE8" s="239">
        <f>M8/C8</f>
        <v>5.5329365903821178E-3</v>
      </c>
      <c r="AF8" s="240">
        <f>N8/C8</f>
        <v>5.047221371099744E-3</v>
      </c>
      <c r="AG8" s="238">
        <v>1.03E-2</v>
      </c>
      <c r="AH8" s="239">
        <v>1.84E-2</v>
      </c>
      <c r="AI8" s="240">
        <v>2.3E-3</v>
      </c>
    </row>
    <row r="9" spans="2:35" x14ac:dyDescent="0.2">
      <c r="B9" s="128" t="s">
        <v>1219</v>
      </c>
      <c r="C9" s="375">
        <v>19516027</v>
      </c>
      <c r="D9" s="375">
        <f>P9*C9</f>
        <v>16142800</v>
      </c>
      <c r="E9" s="375"/>
      <c r="F9" s="375"/>
      <c r="G9" s="375"/>
      <c r="H9" s="375"/>
      <c r="I9" s="375"/>
      <c r="J9" s="375"/>
      <c r="K9" s="375"/>
      <c r="L9" s="375"/>
      <c r="M9" s="375"/>
      <c r="N9" s="375"/>
      <c r="O9" s="376">
        <f t="shared" si="0"/>
        <v>31.172106501551138</v>
      </c>
      <c r="P9" s="238">
        <f>16142800/19516027</f>
        <v>0.82715605999110375</v>
      </c>
      <c r="Q9" s="239">
        <f>1670812/19516027</f>
        <v>8.5612302135060589E-2</v>
      </c>
      <c r="R9" s="239">
        <f>934172/19516027</f>
        <v>4.7866914715787183E-2</v>
      </c>
      <c r="S9" s="239">
        <f>110000/19516027</f>
        <v>5.6363931039857653E-3</v>
      </c>
      <c r="T9" s="377">
        <v>5259426</v>
      </c>
      <c r="U9" s="377">
        <v>1383136</v>
      </c>
      <c r="V9" s="378">
        <f t="shared" si="1"/>
        <v>0.79177672711221969</v>
      </c>
      <c r="W9" s="377">
        <v>136127</v>
      </c>
      <c r="X9" s="239">
        <f t="shared" si="2"/>
        <v>4.2671501550749346E-3</v>
      </c>
      <c r="Y9" s="239">
        <f t="shared" si="3"/>
        <v>2.0493147071867751E-2</v>
      </c>
      <c r="Z9" s="239">
        <f>24663/19516027</f>
        <v>1.2637305738509175E-3</v>
      </c>
      <c r="AA9" s="239">
        <f>2033408/C9</f>
        <v>0.10419169844354079</v>
      </c>
      <c r="AB9" s="239">
        <f>(2353999-2033408)/C9</f>
        <v>1.6427062741817277E-2</v>
      </c>
      <c r="AC9" s="239">
        <f>733759/D9</f>
        <v>4.545425824516193E-2</v>
      </c>
      <c r="AD9" s="239">
        <f>2093228/D9</f>
        <v>0.12966945015734568</v>
      </c>
      <c r="AE9" s="239">
        <f>21415/C9</f>
        <v>1.0973032574714105E-3</v>
      </c>
      <c r="AF9" s="240">
        <f>443529/C9</f>
        <v>2.2726398154706385E-2</v>
      </c>
      <c r="AG9" s="238">
        <v>-1.2699999999999999E-2</v>
      </c>
      <c r="AH9" s="239">
        <v>-4.6300000000000001E-2</v>
      </c>
      <c r="AI9" s="240">
        <v>-7.9399999999999998E-2</v>
      </c>
    </row>
    <row r="10" spans="2:35" x14ac:dyDescent="0.2">
      <c r="B10" s="128" t="s">
        <v>71</v>
      </c>
      <c r="C10" s="379">
        <v>19062158</v>
      </c>
      <c r="D10" s="379">
        <v>18128912</v>
      </c>
      <c r="E10" s="379">
        <v>1383987</v>
      </c>
      <c r="F10" s="379">
        <v>2500</v>
      </c>
      <c r="G10" s="375">
        <v>0</v>
      </c>
      <c r="H10" s="379">
        <v>2709211</v>
      </c>
      <c r="I10" s="379">
        <f>3534191-H10</f>
        <v>824980</v>
      </c>
      <c r="J10" s="375">
        <v>0</v>
      </c>
      <c r="K10" s="379">
        <v>938037</v>
      </c>
      <c r="L10" s="379">
        <v>22408</v>
      </c>
      <c r="M10" s="379">
        <v>126</v>
      </c>
      <c r="N10" s="379">
        <v>796</v>
      </c>
      <c r="O10" s="376">
        <f t="shared" si="0"/>
        <v>42.521032259091633</v>
      </c>
      <c r="P10" s="238">
        <f>D10/C10</f>
        <v>0.95104195443139228</v>
      </c>
      <c r="Q10" s="239">
        <f>D10/C10</f>
        <v>0.95104195443139228</v>
      </c>
      <c r="R10" s="239">
        <f>F10/C10</f>
        <v>1.3114989394170376E-4</v>
      </c>
      <c r="S10" s="239">
        <f>G10/C10</f>
        <v>0</v>
      </c>
      <c r="T10" s="377">
        <v>2904083</v>
      </c>
      <c r="U10" s="377">
        <v>109899</v>
      </c>
      <c r="V10" s="378">
        <f t="shared" si="1"/>
        <v>0.96353694215824781</v>
      </c>
      <c r="W10" s="377">
        <v>9023</v>
      </c>
      <c r="X10" s="239">
        <f t="shared" si="2"/>
        <v>1.0915996542319431E-4</v>
      </c>
      <c r="Y10" s="239">
        <f t="shared" si="3"/>
        <v>2.9937139637861141E-3</v>
      </c>
      <c r="Z10" s="239">
        <f>L10/C10</f>
        <v>1.1755227293782792E-3</v>
      </c>
      <c r="AA10" s="239">
        <f>H10/C10</f>
        <v>0.14212509412627888</v>
      </c>
      <c r="AB10" s="239">
        <f>I10/C10</f>
        <v>4.3278415801610709E-2</v>
      </c>
      <c r="AC10" s="239">
        <f>J9/C9</f>
        <v>0</v>
      </c>
      <c r="AD10" s="239">
        <f>K10/D10</f>
        <v>5.1742597680434432E-2</v>
      </c>
      <c r="AE10" s="239">
        <f>M10/C10</f>
        <v>6.6099546546618701E-6</v>
      </c>
      <c r="AF10" s="240">
        <f>N10/C10</f>
        <v>4.1758126231038482E-5</v>
      </c>
      <c r="AG10" s="238">
        <v>5.7999999999999996E-3</v>
      </c>
      <c r="AH10" s="239">
        <v>2.5000000000000001E-2</v>
      </c>
      <c r="AI10" s="240">
        <v>1.5599999999999999E-2</v>
      </c>
    </row>
    <row r="11" spans="2:35" x14ac:dyDescent="0.2">
      <c r="B11" s="128" t="s">
        <v>1220</v>
      </c>
      <c r="C11" s="379">
        <v>15607657</v>
      </c>
      <c r="D11" s="379">
        <v>11242690</v>
      </c>
      <c r="E11" s="379">
        <v>2610510</v>
      </c>
      <c r="F11" s="379">
        <v>1290406</v>
      </c>
      <c r="G11" s="375">
        <v>0</v>
      </c>
      <c r="H11" s="379">
        <v>1886858</v>
      </c>
      <c r="I11" s="375">
        <f>2406141-H11</f>
        <v>519283</v>
      </c>
      <c r="J11" s="379">
        <v>4030465</v>
      </c>
      <c r="K11" s="379">
        <v>3411923</v>
      </c>
      <c r="L11" s="379">
        <v>30062</v>
      </c>
      <c r="M11" s="379">
        <v>74713</v>
      </c>
      <c r="N11" s="379">
        <v>528860</v>
      </c>
      <c r="O11" s="376">
        <f t="shared" si="0"/>
        <v>36.168836557720816</v>
      </c>
      <c r="P11" s="238">
        <f t="shared" ref="P11:P14" si="4">D11/C11</f>
        <v>0.72033169360397908</v>
      </c>
      <c r="Q11" s="239">
        <f t="shared" ref="Q11:Q14" si="5">D11/C11</f>
        <v>0.72033169360397908</v>
      </c>
      <c r="R11" s="239">
        <f t="shared" ref="R11:R14" si="6">F11/C11</f>
        <v>8.2677752336561466E-2</v>
      </c>
      <c r="S11" s="239">
        <f t="shared" ref="S11:S14" si="7">G11/C11</f>
        <v>0</v>
      </c>
      <c r="T11" s="377">
        <v>5693509</v>
      </c>
      <c r="U11" s="377">
        <v>2141485</v>
      </c>
      <c r="V11" s="378">
        <f t="shared" si="1"/>
        <v>0.72667688067151037</v>
      </c>
      <c r="W11" s="377">
        <v>153139</v>
      </c>
      <c r="X11" s="239">
        <f t="shared" si="2"/>
        <v>5.3422413815308054E-3</v>
      </c>
      <c r="Y11" s="239">
        <f t="shared" si="3"/>
        <v>1.9545515925091964E-2</v>
      </c>
      <c r="Z11" s="239">
        <f t="shared" ref="Z11:Z14" si="8">L11/C11</f>
        <v>1.9261058850793555E-3</v>
      </c>
      <c r="AA11" s="239">
        <f t="shared" ref="AA11:AA14" si="9">H11/C11</f>
        <v>0.12089309753539561</v>
      </c>
      <c r="AB11" s="239">
        <f t="shared" ref="AB11:AB14" si="10">I11/C11</f>
        <v>3.3271041258787271E-2</v>
      </c>
      <c r="AC11" s="239">
        <f>J11/D11</f>
        <v>0.35849649861376592</v>
      </c>
      <c r="AD11" s="239">
        <f t="shared" ref="AD11:AD14" si="11">K11/D11</f>
        <v>0.30347923850964492</v>
      </c>
      <c r="AE11" s="239">
        <f t="shared" ref="AE11:AE14" si="12">M11/C11</f>
        <v>4.7869452794868572E-3</v>
      </c>
      <c r="AF11" s="240">
        <f t="shared" ref="AF11:AF14" si="13">N11/C11</f>
        <v>3.3884650335409085E-2</v>
      </c>
      <c r="AG11" s="238">
        <v>1.8200000000000001E-2</v>
      </c>
      <c r="AH11" s="239">
        <v>3.3300000000000003E-2</v>
      </c>
      <c r="AI11" s="240">
        <v>2.5999999999999999E-2</v>
      </c>
    </row>
    <row r="12" spans="2:35" x14ac:dyDescent="0.2">
      <c r="B12" s="128" t="s">
        <v>1221</v>
      </c>
      <c r="C12" s="379">
        <v>10748162</v>
      </c>
      <c r="D12" s="379">
        <v>8042729</v>
      </c>
      <c r="E12" s="379">
        <v>1042479</v>
      </c>
      <c r="F12" s="379">
        <v>1065444</v>
      </c>
      <c r="G12" s="375">
        <v>0</v>
      </c>
      <c r="H12" s="379">
        <v>1351939</v>
      </c>
      <c r="I12" s="375">
        <f>1359755-H12</f>
        <v>7816</v>
      </c>
      <c r="J12" s="379">
        <v>1163582</v>
      </c>
      <c r="K12" s="375">
        <f>962516+38909</f>
        <v>1001425</v>
      </c>
      <c r="L12" s="375">
        <v>1525</v>
      </c>
      <c r="M12" s="379">
        <v>46451</v>
      </c>
      <c r="N12" s="379">
        <v>37712</v>
      </c>
      <c r="O12" s="376">
        <f t="shared" si="0"/>
        <v>37.631880993111984</v>
      </c>
      <c r="P12" s="238">
        <f t="shared" si="4"/>
        <v>0.74828877718813691</v>
      </c>
      <c r="Q12" s="239">
        <f t="shared" si="5"/>
        <v>0.74828877718813691</v>
      </c>
      <c r="R12" s="239">
        <f t="shared" si="6"/>
        <v>9.9128018353277517E-2</v>
      </c>
      <c r="S12" s="239">
        <f t="shared" si="7"/>
        <v>0</v>
      </c>
      <c r="T12" s="377">
        <v>1982965</v>
      </c>
      <c r="U12" s="377">
        <v>801814</v>
      </c>
      <c r="V12" s="378">
        <f t="shared" si="1"/>
        <v>0.712072663575817</v>
      </c>
      <c r="W12" s="377">
        <v>110269</v>
      </c>
      <c r="X12" s="239">
        <f t="shared" si="2"/>
        <v>1.1401069693558532E-2</v>
      </c>
      <c r="Y12" s="239">
        <f t="shared" si="3"/>
        <v>3.959703804143884E-2</v>
      </c>
      <c r="Z12" s="239">
        <f t="shared" si="8"/>
        <v>1.4188472410445619E-4</v>
      </c>
      <c r="AA12" s="239">
        <f t="shared" si="9"/>
        <v>0.12578327345642912</v>
      </c>
      <c r="AB12" s="239">
        <f t="shared" si="10"/>
        <v>7.2719410072159319E-4</v>
      </c>
      <c r="AC12" s="239">
        <f t="shared" ref="AC12:AC14" si="14">J12/D12</f>
        <v>0.14467502261980977</v>
      </c>
      <c r="AD12" s="239">
        <f t="shared" si="11"/>
        <v>0.12451308504861969</v>
      </c>
      <c r="AE12" s="239">
        <f t="shared" si="12"/>
        <v>4.3217621766400618E-3</v>
      </c>
      <c r="AF12" s="240">
        <f t="shared" si="13"/>
        <v>3.5086929281490176E-3</v>
      </c>
      <c r="AG12" s="238">
        <v>1.9400000000000001E-2</v>
      </c>
      <c r="AH12" s="239">
        <v>4.2500000000000003E-2</v>
      </c>
      <c r="AI12" s="240">
        <v>1.4200000000000001E-2</v>
      </c>
    </row>
    <row r="13" spans="2:35" x14ac:dyDescent="0.2">
      <c r="B13" s="128" t="s">
        <v>1222</v>
      </c>
      <c r="C13" s="379">
        <v>10390781</v>
      </c>
      <c r="D13" s="379">
        <v>6575130</v>
      </c>
      <c r="E13" s="379">
        <v>1487344</v>
      </c>
      <c r="F13" s="379">
        <v>1159640</v>
      </c>
      <c r="G13" s="375">
        <v>0</v>
      </c>
      <c r="H13" s="379">
        <v>1185050</v>
      </c>
      <c r="I13" s="375">
        <f>1637695-H13</f>
        <v>452645</v>
      </c>
      <c r="J13" s="379">
        <v>640373</v>
      </c>
      <c r="K13" s="379">
        <v>766889</v>
      </c>
      <c r="L13" s="379">
        <v>72321</v>
      </c>
      <c r="M13" s="375">
        <v>21209</v>
      </c>
      <c r="N13" s="379">
        <v>241888</v>
      </c>
      <c r="O13" s="376">
        <f t="shared" si="0"/>
        <v>34.120981622169076</v>
      </c>
      <c r="P13" s="238">
        <f t="shared" si="4"/>
        <v>0.63278496582691912</v>
      </c>
      <c r="Q13" s="239">
        <f t="shared" si="5"/>
        <v>0.63278496582691912</v>
      </c>
      <c r="R13" s="239">
        <f t="shared" si="6"/>
        <v>0.1116027755757724</v>
      </c>
      <c r="S13" s="239">
        <f t="shared" si="7"/>
        <v>0</v>
      </c>
      <c r="T13" s="377">
        <v>1541499</v>
      </c>
      <c r="U13" s="377">
        <v>61295</v>
      </c>
      <c r="V13" s="378">
        <f t="shared" si="1"/>
        <v>0.9617574061295463</v>
      </c>
      <c r="W13" s="377">
        <v>8344</v>
      </c>
      <c r="X13" s="239">
        <f t="shared" si="2"/>
        <v>1.9908747053898736E-4</v>
      </c>
      <c r="Y13" s="239">
        <f t="shared" si="3"/>
        <v>5.2059091810925167E-3</v>
      </c>
      <c r="Z13" s="239">
        <f t="shared" si="8"/>
        <v>6.9601120454756962E-3</v>
      </c>
      <c r="AA13" s="239">
        <f t="shared" si="9"/>
        <v>0.11404821254533225</v>
      </c>
      <c r="AB13" s="239">
        <f t="shared" si="10"/>
        <v>4.3562173045510244E-2</v>
      </c>
      <c r="AC13" s="239">
        <f t="shared" si="14"/>
        <v>9.7393207434681897E-2</v>
      </c>
      <c r="AD13" s="239">
        <f t="shared" si="11"/>
        <v>0.1166348041787767</v>
      </c>
      <c r="AE13" s="239">
        <f t="shared" si="12"/>
        <v>2.0411362726247429E-3</v>
      </c>
      <c r="AF13" s="240">
        <f t="shared" si="13"/>
        <v>2.3279097115029179E-2</v>
      </c>
      <c r="AG13" s="238">
        <v>9.4100000000000003E-2</v>
      </c>
      <c r="AH13" s="239">
        <v>0.17269999999999999</v>
      </c>
      <c r="AI13" s="240">
        <v>9.7100000000000006E-2</v>
      </c>
    </row>
    <row r="14" spans="2:35" x14ac:dyDescent="0.2">
      <c r="B14" s="136" t="s">
        <v>1223</v>
      </c>
      <c r="C14" s="380">
        <v>9337427</v>
      </c>
      <c r="D14" s="380">
        <v>6451185</v>
      </c>
      <c r="E14" s="380">
        <v>915711</v>
      </c>
      <c r="F14" s="380">
        <v>1280628</v>
      </c>
      <c r="G14" s="381">
        <v>0</v>
      </c>
      <c r="H14" s="380">
        <v>1624118</v>
      </c>
      <c r="I14" s="381">
        <f>1813449-H14</f>
        <v>189331</v>
      </c>
      <c r="J14" s="380">
        <v>419563</v>
      </c>
      <c r="K14" s="380">
        <v>1148054</v>
      </c>
      <c r="L14" s="381">
        <v>57</v>
      </c>
      <c r="M14" s="380">
        <v>209</v>
      </c>
      <c r="N14" s="380">
        <v>218429</v>
      </c>
      <c r="O14" s="382">
        <f t="shared" si="0"/>
        <v>52.038335157822914</v>
      </c>
      <c r="P14" s="241">
        <f t="shared" si="4"/>
        <v>0.69089536121674633</v>
      </c>
      <c r="Q14" s="242">
        <f t="shared" si="5"/>
        <v>0.69089536121674633</v>
      </c>
      <c r="R14" s="242">
        <f t="shared" si="6"/>
        <v>0.1371499878928103</v>
      </c>
      <c r="S14" s="242">
        <f t="shared" si="7"/>
        <v>0</v>
      </c>
      <c r="T14" s="383">
        <v>1397702</v>
      </c>
      <c r="U14" s="383">
        <v>0</v>
      </c>
      <c r="V14" s="384">
        <f t="shared" si="1"/>
        <v>1</v>
      </c>
      <c r="W14" s="383">
        <v>1</v>
      </c>
      <c r="X14" s="242"/>
      <c r="Y14" s="242">
        <f t="shared" si="3"/>
        <v>7.1546009092066831E-7</v>
      </c>
      <c r="Z14" s="242">
        <f t="shared" si="8"/>
        <v>6.1044653950172783E-6</v>
      </c>
      <c r="AA14" s="242">
        <f t="shared" si="9"/>
        <v>0.1739363531302574</v>
      </c>
      <c r="AB14" s="242">
        <f t="shared" si="10"/>
        <v>2.0276570836912568E-2</v>
      </c>
      <c r="AC14" s="242">
        <f t="shared" si="14"/>
        <v>6.5036578551072394E-2</v>
      </c>
      <c r="AD14" s="242">
        <f t="shared" si="11"/>
        <v>0.17796017320848806</v>
      </c>
      <c r="AE14" s="242">
        <f t="shared" si="12"/>
        <v>2.238303978173002E-5</v>
      </c>
      <c r="AF14" s="243">
        <f t="shared" si="13"/>
        <v>2.3392846873126826E-2</v>
      </c>
      <c r="AG14" s="241">
        <v>3.9699999999999999E-2</v>
      </c>
      <c r="AH14" s="242">
        <v>9.9699999999999997E-2</v>
      </c>
      <c r="AI14" s="243">
        <v>5.4800000000000001E-2</v>
      </c>
    </row>
    <row r="15" spans="2:35" x14ac:dyDescent="0.2">
      <c r="B15" s="114" t="s">
        <v>1237</v>
      </c>
      <c r="C15" s="110"/>
      <c r="D15" s="110"/>
      <c r="E15" s="110"/>
      <c r="F15" s="110"/>
      <c r="G15" s="110"/>
      <c r="H15" s="110"/>
      <c r="I15" s="110"/>
      <c r="J15" s="110"/>
      <c r="K15" s="110"/>
      <c r="L15" s="110"/>
      <c r="M15" s="110"/>
      <c r="N15" s="110"/>
      <c r="O15" s="121">
        <f>AVERAGE(O6:O14)</f>
        <v>40.371144605670594</v>
      </c>
      <c r="P15" s="120">
        <f>AVERAGE(P6:P14)</f>
        <v>0.74703255348068842</v>
      </c>
      <c r="Q15" s="111">
        <f t="shared" ref="Q15:AI15" si="15">AVERAGE(Q6:Q14)</f>
        <v>0.55114030902459032</v>
      </c>
      <c r="R15" s="111">
        <f t="shared" si="15"/>
        <v>8.6370682304309984E-2</v>
      </c>
      <c r="S15" s="111">
        <f t="shared" si="15"/>
        <v>8.8948735476517568E-4</v>
      </c>
      <c r="T15" s="111">
        <f t="shared" si="15"/>
        <v>7055992.777777778</v>
      </c>
      <c r="U15" s="111">
        <f t="shared" si="15"/>
        <v>3560407.111111111</v>
      </c>
      <c r="V15" s="111">
        <f t="shared" si="15"/>
        <v>0.80434702498569799</v>
      </c>
      <c r="W15" s="111">
        <f t="shared" si="15"/>
        <v>331664.88888888888</v>
      </c>
      <c r="X15" s="111">
        <f t="shared" si="15"/>
        <v>6.8905790686498488E-3</v>
      </c>
      <c r="Y15" s="111">
        <f t="shared" si="15"/>
        <v>2.0338063505680664E-2</v>
      </c>
      <c r="Z15" s="111">
        <f t="shared" si="15"/>
        <v>1.3724513381651608E-3</v>
      </c>
      <c r="AA15" s="111">
        <f t="shared" si="15"/>
        <v>0.13493916827100855</v>
      </c>
      <c r="AB15" s="111">
        <f t="shared" si="15"/>
        <v>6.2559822059686812E-2</v>
      </c>
      <c r="AC15" s="111">
        <f t="shared" si="15"/>
        <v>0.20416287311610498</v>
      </c>
      <c r="AD15" s="111">
        <f t="shared" si="15"/>
        <v>0.19212397262152636</v>
      </c>
      <c r="AE15" s="111">
        <f t="shared" si="15"/>
        <v>1.7561601658798547E-2</v>
      </c>
      <c r="AF15" s="115">
        <f t="shared" si="15"/>
        <v>7.3580493614277986E-2</v>
      </c>
      <c r="AG15" s="111">
        <f t="shared" si="15"/>
        <v>3.0455555555555555E-2</v>
      </c>
      <c r="AH15" s="111">
        <f t="shared" si="15"/>
        <v>5.5655555555555555E-2</v>
      </c>
      <c r="AI15" s="115">
        <f t="shared" si="15"/>
        <v>2.9277777777777778E-2</v>
      </c>
    </row>
    <row r="18" spans="32:35" x14ac:dyDescent="0.2">
      <c r="AF18" s="5" t="s">
        <v>1239</v>
      </c>
      <c r="AG18" s="25">
        <v>4.4699999999999997E-2</v>
      </c>
      <c r="AH18" s="5" t="s">
        <v>1241</v>
      </c>
      <c r="AI18" s="5" t="s">
        <v>1240</v>
      </c>
    </row>
    <row r="19" spans="32:35" ht="17" x14ac:dyDescent="0.2">
      <c r="AG19" s="123" t="s">
        <v>1215</v>
      </c>
      <c r="AH19" s="112" t="s">
        <v>371</v>
      </c>
      <c r="AI19" s="113" t="s">
        <v>372</v>
      </c>
    </row>
    <row r="20" spans="32:35" x14ac:dyDescent="0.2">
      <c r="AF20" s="6">
        <v>2025</v>
      </c>
      <c r="AG20" s="371">
        <f>AG15*(1+$AG$18)</f>
        <v>3.1816918888888886E-2</v>
      </c>
      <c r="AH20" s="372">
        <f t="shared" ref="AH20:AI20" si="16">AH15*(1+$AG$18)</f>
        <v>5.8143358888888885E-2</v>
      </c>
      <c r="AI20" s="215">
        <f t="shared" si="16"/>
        <v>3.0586494444444442E-2</v>
      </c>
    </row>
    <row r="21" spans="32:35" x14ac:dyDescent="0.2">
      <c r="AF21" s="122">
        <v>2026</v>
      </c>
      <c r="AG21" s="238">
        <f>AG20*(1+$AG$18)</f>
        <v>3.3239135163222217E-2</v>
      </c>
      <c r="AH21" s="239">
        <f t="shared" ref="AH21:AI21" si="17">AH20*(1+$AG$18)</f>
        <v>6.0742367031222218E-2</v>
      </c>
      <c r="AI21" s="240">
        <f t="shared" si="17"/>
        <v>3.1953710746111107E-2</v>
      </c>
    </row>
    <row r="22" spans="32:35" x14ac:dyDescent="0.2">
      <c r="AF22" s="109">
        <v>2027</v>
      </c>
      <c r="AG22" s="241">
        <f>AG21*(1+$AG$18)</f>
        <v>3.4724924505018247E-2</v>
      </c>
      <c r="AH22" s="242">
        <f t="shared" ref="AH22" si="18">AH21*(1+$AG$18)</f>
        <v>6.3457550837517848E-2</v>
      </c>
      <c r="AI22" s="243">
        <f t="shared" ref="AI22" si="19">AI21*(1+$AG$18)</f>
        <v>3.3382041616462271E-2</v>
      </c>
    </row>
  </sheetData>
  <mergeCells count="1">
    <mergeCell ref="B2:Q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F457-39E1-4F47-8853-3F1E007BA6E2}">
  <sheetPr>
    <tabColor theme="8" tint="0.59999389629810485"/>
  </sheetPr>
  <dimension ref="B2:G54"/>
  <sheetViews>
    <sheetView showGridLines="0" workbookViewId="0">
      <selection activeCell="B2" sqref="B2"/>
    </sheetView>
  </sheetViews>
  <sheetFormatPr baseColWidth="10" defaultRowHeight="16" x14ac:dyDescent="0.2"/>
  <cols>
    <col min="2" max="7" width="19.33203125" customWidth="1"/>
  </cols>
  <sheetData>
    <row r="2" spans="2:7" ht="21" x14ac:dyDescent="0.25">
      <c r="B2" s="822" t="s">
        <v>1615</v>
      </c>
      <c r="C2" s="822" t="s">
        <v>1636</v>
      </c>
      <c r="D2" s="799"/>
      <c r="E2" s="799"/>
      <c r="F2" s="799"/>
      <c r="G2" s="799"/>
    </row>
    <row r="4" spans="2:7" ht="19" x14ac:dyDescent="0.25">
      <c r="B4" s="823" t="s">
        <v>1616</v>
      </c>
      <c r="C4" s="824" t="s">
        <v>1617</v>
      </c>
      <c r="D4" s="825">
        <v>2021</v>
      </c>
      <c r="E4" s="825">
        <v>2022</v>
      </c>
      <c r="F4" s="825">
        <v>2023</v>
      </c>
      <c r="G4" s="826">
        <v>2024</v>
      </c>
    </row>
    <row r="5" spans="2:7" x14ac:dyDescent="0.2">
      <c r="B5" s="815" t="s">
        <v>73</v>
      </c>
      <c r="C5" s="816" t="s">
        <v>1618</v>
      </c>
      <c r="D5" s="603">
        <v>9.0200000000000002E-2</v>
      </c>
      <c r="E5" s="603">
        <v>5.4100000000000002E-2</v>
      </c>
      <c r="F5" s="603">
        <v>5.28E-2</v>
      </c>
      <c r="G5" s="617">
        <v>7.3400000000000007E-2</v>
      </c>
    </row>
    <row r="6" spans="2:7" x14ac:dyDescent="0.2">
      <c r="B6" s="811" t="s">
        <v>1619</v>
      </c>
      <c r="C6" s="604" t="s">
        <v>1620</v>
      </c>
      <c r="D6" s="603">
        <v>-1.8700000000000001E-2</v>
      </c>
      <c r="E6" s="603">
        <v>-3.8999999999999998E-3</v>
      </c>
      <c r="F6" s="603">
        <v>3.0200000000000001E-2</v>
      </c>
      <c r="G6" s="617">
        <v>-1.2699999999999999E-2</v>
      </c>
    </row>
    <row r="7" spans="2:7" x14ac:dyDescent="0.2">
      <c r="B7" s="811" t="s">
        <v>1621</v>
      </c>
      <c r="C7" s="604" t="s">
        <v>9</v>
      </c>
      <c r="D7" s="603">
        <v>-1.2200000000000001E-2</v>
      </c>
      <c r="E7" s="603">
        <v>5.6599999999999998E-2</v>
      </c>
      <c r="F7" s="603">
        <v>6.9500000000000006E-2</v>
      </c>
      <c r="G7" s="617">
        <v>6.8900000000000003E-2</v>
      </c>
    </row>
    <row r="8" spans="2:7" x14ac:dyDescent="0.2">
      <c r="B8" s="811" t="s">
        <v>1622</v>
      </c>
      <c r="C8" s="604" t="s">
        <v>214</v>
      </c>
      <c r="D8" s="603">
        <v>1.18E-2</v>
      </c>
      <c r="E8" s="603">
        <v>-4.1000000000000003E-3</v>
      </c>
      <c r="F8" s="603">
        <v>0</v>
      </c>
      <c r="G8" s="617">
        <v>1.03E-2</v>
      </c>
    </row>
    <row r="9" spans="2:7" x14ac:dyDescent="0.2">
      <c r="B9" s="811" t="s">
        <v>1623</v>
      </c>
      <c r="C9" s="604" t="s">
        <v>1624</v>
      </c>
      <c r="D9" s="809" t="s">
        <v>535</v>
      </c>
      <c r="E9" s="603">
        <v>7.6300000000000007E-2</v>
      </c>
      <c r="F9" s="603">
        <v>8.4400000000000003E-2</v>
      </c>
      <c r="G9" s="617">
        <v>3.9699999999999999E-2</v>
      </c>
    </row>
    <row r="10" spans="2:7" x14ac:dyDescent="0.2">
      <c r="B10" s="811" t="s">
        <v>1625</v>
      </c>
      <c r="C10" s="604" t="s">
        <v>1626</v>
      </c>
      <c r="D10" s="603">
        <v>0.12889999999999999</v>
      </c>
      <c r="E10" s="603">
        <v>6.1400000000000003E-2</v>
      </c>
      <c r="F10" s="603">
        <v>0.1275</v>
      </c>
      <c r="G10" s="617">
        <v>9.4100000000000003E-2</v>
      </c>
    </row>
    <row r="11" spans="2:7" x14ac:dyDescent="0.2">
      <c r="B11" s="811" t="s">
        <v>1625</v>
      </c>
      <c r="C11" s="604" t="s">
        <v>1628</v>
      </c>
      <c r="D11" s="603">
        <v>-1.7600000000000001E-2</v>
      </c>
      <c r="E11" s="603">
        <v>1.15E-2</v>
      </c>
      <c r="F11" s="603">
        <v>1.32E-2</v>
      </c>
      <c r="G11" s="617">
        <v>1.8200000000000001E-2</v>
      </c>
    </row>
    <row r="12" spans="2:7" x14ac:dyDescent="0.2">
      <c r="B12" s="811" t="s">
        <v>33</v>
      </c>
      <c r="C12" s="604" t="s">
        <v>1618</v>
      </c>
      <c r="D12" s="603">
        <v>-1.6999999999999999E-3</v>
      </c>
      <c r="E12" s="603">
        <v>3.3599999999999998E-2</v>
      </c>
      <c r="F12" s="603">
        <v>3.1199999999999999E-2</v>
      </c>
      <c r="G12" s="617">
        <v>3.04E-2</v>
      </c>
    </row>
    <row r="13" spans="2:7" x14ac:dyDescent="0.2">
      <c r="B13" s="811" t="s">
        <v>71</v>
      </c>
      <c r="C13" s="604"/>
      <c r="D13" s="603">
        <v>2.0400000000000001E-2</v>
      </c>
      <c r="E13" s="603">
        <v>1.17E-2</v>
      </c>
      <c r="F13" s="603">
        <v>7.1000000000000004E-3</v>
      </c>
      <c r="G13" s="603">
        <v>5.7999999999999996E-3</v>
      </c>
    </row>
    <row r="14" spans="2:7" x14ac:dyDescent="0.2">
      <c r="B14" s="812" t="s">
        <v>93</v>
      </c>
      <c r="C14" s="810" t="s">
        <v>1627</v>
      </c>
      <c r="D14" s="813">
        <v>1.9699999999999999E-2</v>
      </c>
      <c r="E14" s="813">
        <v>2.4199999999999999E-2</v>
      </c>
      <c r="F14" s="813">
        <v>1.4999999999999999E-2</v>
      </c>
      <c r="G14" s="814">
        <v>1.9400000000000001E-2</v>
      </c>
    </row>
    <row r="17" spans="2:7" ht="19" x14ac:dyDescent="0.25">
      <c r="B17" s="823" t="s">
        <v>1616</v>
      </c>
      <c r="C17" s="824" t="s">
        <v>1617</v>
      </c>
      <c r="D17" s="825">
        <v>2021</v>
      </c>
      <c r="E17" s="825">
        <v>2022</v>
      </c>
      <c r="F17" s="825">
        <v>2023</v>
      </c>
      <c r="G17" s="826">
        <v>2024</v>
      </c>
    </row>
    <row r="18" spans="2:7" x14ac:dyDescent="0.2">
      <c r="B18" s="815" t="s">
        <v>73</v>
      </c>
      <c r="C18" s="816" t="s">
        <v>1618</v>
      </c>
      <c r="D18" s="817">
        <v>0.12239999999999999</v>
      </c>
      <c r="E18" s="818">
        <v>7.0599999999999996E-2</v>
      </c>
      <c r="F18" s="818">
        <v>7.5399999999999995E-2</v>
      </c>
      <c r="G18" s="819">
        <v>0.1099</v>
      </c>
    </row>
    <row r="19" spans="2:7" x14ac:dyDescent="0.2">
      <c r="B19" s="811" t="s">
        <v>1619</v>
      </c>
      <c r="C19" s="604" t="s">
        <v>1620</v>
      </c>
      <c r="D19" s="616">
        <v>-7.6200000000000004E-2</v>
      </c>
      <c r="E19" s="603">
        <v>-1.6799999999999999E-2</v>
      </c>
      <c r="F19" s="603">
        <v>0.11119999999999999</v>
      </c>
      <c r="G19" s="617">
        <v>-4.6300000000000001E-2</v>
      </c>
    </row>
    <row r="20" spans="2:7" x14ac:dyDescent="0.2">
      <c r="B20" s="811" t="s">
        <v>1621</v>
      </c>
      <c r="C20" s="604" t="s">
        <v>9</v>
      </c>
      <c r="D20" s="616">
        <v>-1.14E-2</v>
      </c>
      <c r="E20" s="603">
        <v>3.39E-2</v>
      </c>
      <c r="F20" s="603">
        <v>5.4699999999999999E-2</v>
      </c>
      <c r="G20" s="617">
        <v>6.5799999999999997E-2</v>
      </c>
    </row>
    <row r="21" spans="2:7" x14ac:dyDescent="0.2">
      <c r="B21" s="811" t="s">
        <v>1622</v>
      </c>
      <c r="C21" s="604" t="s">
        <v>214</v>
      </c>
      <c r="D21" s="616">
        <v>2.5899999999999999E-2</v>
      </c>
      <c r="E21" s="603">
        <v>-6.6E-3</v>
      </c>
      <c r="F21" s="603">
        <v>0</v>
      </c>
      <c r="G21" s="617">
        <v>1.84E-2</v>
      </c>
    </row>
    <row r="22" spans="2:7" x14ac:dyDescent="0.2">
      <c r="B22" s="811" t="s">
        <v>1623</v>
      </c>
      <c r="C22" s="604" t="s">
        <v>1624</v>
      </c>
      <c r="D22" s="820" t="s">
        <v>535</v>
      </c>
      <c r="E22" s="603">
        <v>0.32229999999999998</v>
      </c>
      <c r="F22" s="603">
        <v>0.24129999999999999</v>
      </c>
      <c r="G22" s="617">
        <v>9.9699999999999997E-2</v>
      </c>
    </row>
    <row r="23" spans="2:7" x14ac:dyDescent="0.2">
      <c r="B23" s="811" t="s">
        <v>1625</v>
      </c>
      <c r="C23" s="604" t="s">
        <v>1626</v>
      </c>
      <c r="D23" s="616">
        <v>0.19950000000000001</v>
      </c>
      <c r="E23" s="603">
        <v>0.10150000000000001</v>
      </c>
      <c r="F23" s="603">
        <v>0.23300000000000001</v>
      </c>
      <c r="G23" s="617">
        <v>0.17269999999999999</v>
      </c>
    </row>
    <row r="24" spans="2:7" x14ac:dyDescent="0.2">
      <c r="B24" s="811" t="s">
        <v>1625</v>
      </c>
      <c r="C24" s="604" t="s">
        <v>1628</v>
      </c>
      <c r="D24" s="616">
        <v>-2.63E-2</v>
      </c>
      <c r="E24" s="603">
        <v>1.9199999999999998E-2</v>
      </c>
      <c r="F24" s="603">
        <v>2.1600000000000001E-2</v>
      </c>
      <c r="G24" s="617">
        <v>3.3300000000000003E-2</v>
      </c>
    </row>
    <row r="25" spans="2:7" x14ac:dyDescent="0.2">
      <c r="B25" s="811" t="s">
        <v>33</v>
      </c>
      <c r="C25" s="604" t="s">
        <v>1618</v>
      </c>
      <c r="D25" s="616">
        <v>-3.8E-3</v>
      </c>
      <c r="E25" s="603">
        <v>8.8300000000000003E-2</v>
      </c>
      <c r="F25" s="603">
        <v>8.6699999999999999E-2</v>
      </c>
      <c r="G25" s="617">
        <v>8.9800000000000005E-2</v>
      </c>
    </row>
    <row r="26" spans="2:7" x14ac:dyDescent="0.2">
      <c r="B26" s="811" t="s">
        <v>71</v>
      </c>
      <c r="C26" s="604"/>
      <c r="D26" s="616">
        <v>0.08</v>
      </c>
      <c r="E26" s="603">
        <v>4.9000000000000002E-2</v>
      </c>
      <c r="F26" s="603">
        <v>3.2199999999999999E-2</v>
      </c>
      <c r="G26" s="617">
        <v>2.5000000000000001E-2</v>
      </c>
    </row>
    <row r="27" spans="2:7" x14ac:dyDescent="0.2">
      <c r="B27" s="812" t="s">
        <v>93</v>
      </c>
      <c r="C27" s="810" t="s">
        <v>1627</v>
      </c>
      <c r="D27" s="821">
        <v>3.3799999999999997E-2</v>
      </c>
      <c r="E27" s="813">
        <v>5.11E-2</v>
      </c>
      <c r="F27" s="813">
        <v>3.1600000000000003E-2</v>
      </c>
      <c r="G27" s="814">
        <v>4.2500000000000003E-2</v>
      </c>
    </row>
    <row r="30" spans="2:7" ht="19" x14ac:dyDescent="0.25">
      <c r="B30" s="823" t="s">
        <v>1616</v>
      </c>
      <c r="C30" s="824" t="s">
        <v>1617</v>
      </c>
      <c r="D30" s="825">
        <v>2021</v>
      </c>
      <c r="E30" s="825">
        <v>2022</v>
      </c>
      <c r="F30" s="825">
        <v>2023</v>
      </c>
      <c r="G30" s="826">
        <v>2024</v>
      </c>
    </row>
    <row r="31" spans="2:7" x14ac:dyDescent="0.2">
      <c r="B31" s="815" t="s">
        <v>73</v>
      </c>
      <c r="C31" s="816" t="s">
        <v>1618</v>
      </c>
      <c r="D31" s="817">
        <v>0.26379999999999998</v>
      </c>
      <c r="E31" s="818">
        <v>0.1552</v>
      </c>
      <c r="F31" s="818">
        <v>0.11459999999999999</v>
      </c>
      <c r="G31" s="819">
        <v>0.1638</v>
      </c>
    </row>
    <row r="32" spans="2:7" x14ac:dyDescent="0.2">
      <c r="B32" s="811" t="s">
        <v>1619</v>
      </c>
      <c r="C32" s="604" t="s">
        <v>1620</v>
      </c>
      <c r="D32" s="616">
        <v>-0.1268</v>
      </c>
      <c r="E32" s="603">
        <v>-2.87E-2</v>
      </c>
      <c r="F32" s="603">
        <v>8.3500000000000005E-2</v>
      </c>
      <c r="G32" s="617">
        <v>-7.9399999999999998E-2</v>
      </c>
    </row>
    <row r="33" spans="2:7" x14ac:dyDescent="0.2">
      <c r="B33" s="811" t="s">
        <v>1621</v>
      </c>
      <c r="C33" s="604" t="s">
        <v>9</v>
      </c>
      <c r="D33" s="616">
        <v>-5.0599999999999999E-2</v>
      </c>
      <c r="E33" s="603">
        <v>4.2999999999999997E-2</v>
      </c>
      <c r="F33" s="603">
        <v>5.4199999999999998E-2</v>
      </c>
      <c r="G33" s="617">
        <v>5.1900000000000002E-2</v>
      </c>
    </row>
    <row r="34" spans="2:7" x14ac:dyDescent="0.2">
      <c r="B34" s="811" t="s">
        <v>1622</v>
      </c>
      <c r="C34" s="604" t="s">
        <v>214</v>
      </c>
      <c r="D34" s="616">
        <v>5.4899999999999997E-2</v>
      </c>
      <c r="E34" s="603">
        <v>2.9600000000000001E-2</v>
      </c>
      <c r="F34" s="603">
        <v>5.9999999999999995E-4</v>
      </c>
      <c r="G34" s="617">
        <v>2.3E-3</v>
      </c>
    </row>
    <row r="35" spans="2:7" x14ac:dyDescent="0.2">
      <c r="B35" s="811" t="s">
        <v>1623</v>
      </c>
      <c r="C35" s="604" t="s">
        <v>1624</v>
      </c>
      <c r="D35" s="820" t="s">
        <v>535</v>
      </c>
      <c r="E35" s="603">
        <v>0.14960000000000001</v>
      </c>
      <c r="F35" s="603">
        <v>0.13220000000000001</v>
      </c>
      <c r="G35" s="617">
        <v>5.4800000000000001E-2</v>
      </c>
    </row>
    <row r="36" spans="2:7" x14ac:dyDescent="0.2">
      <c r="B36" s="811" t="s">
        <v>1625</v>
      </c>
      <c r="C36" s="604" t="s">
        <v>1626</v>
      </c>
      <c r="D36" s="616">
        <v>0.113</v>
      </c>
      <c r="E36" s="603">
        <v>6.1899999999999997E-2</v>
      </c>
      <c r="F36" s="603">
        <v>0.13700000000000001</v>
      </c>
      <c r="G36" s="617">
        <v>9.7100000000000006E-2</v>
      </c>
    </row>
    <row r="37" spans="2:7" x14ac:dyDescent="0.2">
      <c r="B37" s="811" t="s">
        <v>1625</v>
      </c>
      <c r="C37" s="604" t="s">
        <v>1628</v>
      </c>
      <c r="D37" s="616">
        <v>-0.05</v>
      </c>
      <c r="E37" s="603">
        <v>2.3300000000000001E-2</v>
      </c>
      <c r="F37" s="603">
        <v>1.03E-2</v>
      </c>
      <c r="G37" s="617">
        <v>2.5999999999999999E-2</v>
      </c>
    </row>
    <row r="38" spans="2:7" x14ac:dyDescent="0.2">
      <c r="B38" s="811" t="s">
        <v>33</v>
      </c>
      <c r="C38" s="604" t="s">
        <v>1618</v>
      </c>
      <c r="D38" s="616">
        <v>-1.7000000000000001E-2</v>
      </c>
      <c r="E38" s="603">
        <v>0.12640000000000001</v>
      </c>
      <c r="F38" s="603">
        <v>9.0999999999999998E-2</v>
      </c>
      <c r="G38" s="617">
        <v>8.1000000000000003E-2</v>
      </c>
    </row>
    <row r="39" spans="2:7" x14ac:dyDescent="0.2">
      <c r="B39" s="811" t="s">
        <v>71</v>
      </c>
      <c r="C39" s="604"/>
      <c r="D39" s="616">
        <v>3.78E-2</v>
      </c>
      <c r="E39" s="603">
        <v>1.7299999999999999E-2</v>
      </c>
      <c r="F39" s="603">
        <v>8.2000000000000007E-3</v>
      </c>
      <c r="G39" s="617">
        <v>1.5599999999999999E-2</v>
      </c>
    </row>
    <row r="40" spans="2:7" x14ac:dyDescent="0.2">
      <c r="B40" s="812" t="s">
        <v>93</v>
      </c>
      <c r="C40" s="810" t="s">
        <v>1627</v>
      </c>
      <c r="D40" s="821">
        <v>2.9000000000000001E-2</v>
      </c>
      <c r="E40" s="813">
        <v>4.24E-2</v>
      </c>
      <c r="F40" s="813">
        <v>7.1000000000000004E-3</v>
      </c>
      <c r="G40" s="814">
        <v>1.4200000000000001E-2</v>
      </c>
    </row>
    <row r="44" spans="2:7" ht="19" x14ac:dyDescent="0.25">
      <c r="B44" s="823" t="s">
        <v>1616</v>
      </c>
      <c r="C44" s="824" t="s">
        <v>1617</v>
      </c>
      <c r="D44" s="827" t="s">
        <v>1629</v>
      </c>
      <c r="E44" s="826" t="s">
        <v>1635</v>
      </c>
    </row>
    <row r="45" spans="2:7" x14ac:dyDescent="0.2">
      <c r="B45" s="197" t="s">
        <v>33</v>
      </c>
      <c r="C45" s="604" t="s">
        <v>1618</v>
      </c>
      <c r="D45" s="586" t="s">
        <v>1630</v>
      </c>
      <c r="E45" s="200">
        <v>57620000</v>
      </c>
    </row>
    <row r="46" spans="2:7" x14ac:dyDescent="0.2">
      <c r="B46" s="197" t="s">
        <v>1621</v>
      </c>
      <c r="C46" s="604" t="s">
        <v>9</v>
      </c>
      <c r="D46" s="586" t="s">
        <v>1631</v>
      </c>
      <c r="E46" s="200">
        <v>32590000</v>
      </c>
    </row>
    <row r="47" spans="2:7" x14ac:dyDescent="0.2">
      <c r="B47" s="197" t="s">
        <v>1622</v>
      </c>
      <c r="C47" s="604" t="s">
        <v>10</v>
      </c>
      <c r="D47" s="586" t="s">
        <v>1631</v>
      </c>
      <c r="E47" s="200">
        <v>32440000</v>
      </c>
    </row>
    <row r="48" spans="2:7" x14ac:dyDescent="0.2">
      <c r="B48" s="197" t="s">
        <v>1632</v>
      </c>
      <c r="C48" s="604" t="s">
        <v>1618</v>
      </c>
      <c r="D48" s="586" t="s">
        <v>1630</v>
      </c>
      <c r="E48" s="200">
        <v>21460000</v>
      </c>
    </row>
    <row r="49" spans="2:5" x14ac:dyDescent="0.2">
      <c r="B49" s="197" t="s">
        <v>1619</v>
      </c>
      <c r="C49" s="604" t="s">
        <v>1620</v>
      </c>
      <c r="D49" s="586" t="s">
        <v>1630</v>
      </c>
      <c r="E49" s="200">
        <v>19520000</v>
      </c>
    </row>
    <row r="50" spans="2:5" x14ac:dyDescent="0.2">
      <c r="B50" s="197" t="s">
        <v>71</v>
      </c>
      <c r="C50" s="604"/>
      <c r="D50" s="586" t="s">
        <v>1631</v>
      </c>
      <c r="E50" s="200">
        <v>19060000</v>
      </c>
    </row>
    <row r="51" spans="2:5" x14ac:dyDescent="0.2">
      <c r="B51" s="197" t="s">
        <v>1633</v>
      </c>
      <c r="C51" s="604" t="s">
        <v>1628</v>
      </c>
      <c r="D51" s="586" t="s">
        <v>1630</v>
      </c>
      <c r="E51" s="200">
        <v>15610000</v>
      </c>
    </row>
    <row r="52" spans="2:5" x14ac:dyDescent="0.2">
      <c r="B52" s="197" t="s">
        <v>93</v>
      </c>
      <c r="C52" s="604" t="s">
        <v>1627</v>
      </c>
      <c r="D52" s="586" t="s">
        <v>1631</v>
      </c>
      <c r="E52" s="200">
        <v>10750000</v>
      </c>
    </row>
    <row r="53" spans="2:5" x14ac:dyDescent="0.2">
      <c r="B53" s="197" t="s">
        <v>1625</v>
      </c>
      <c r="C53" s="604" t="s">
        <v>1634</v>
      </c>
      <c r="D53" s="586" t="s">
        <v>1630</v>
      </c>
      <c r="E53" s="200">
        <v>10390000</v>
      </c>
    </row>
    <row r="54" spans="2:5" x14ac:dyDescent="0.2">
      <c r="B54" s="271" t="s">
        <v>1623</v>
      </c>
      <c r="C54" s="810" t="s">
        <v>1624</v>
      </c>
      <c r="D54" s="278" t="s">
        <v>1630</v>
      </c>
      <c r="E54" s="228">
        <v>9340000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20</vt:i4>
      </vt:variant>
    </vt:vector>
  </HeadingPairs>
  <TitlesOfParts>
    <vt:vector size="20" baseType="lpstr">
      <vt:lpstr>anagrafica</vt:lpstr>
      <vt:lpstr>calcs →</vt:lpstr>
      <vt:lpstr>REVENUE MODEL</vt:lpstr>
      <vt:lpstr>COSTI DI GESTIONE &amp; BEP</vt:lpstr>
      <vt:lpstr>HR</vt:lpstr>
      <vt:lpstr>INV</vt:lpstr>
      <vt:lpstr>CCN</vt:lpstr>
      <vt:lpstr>FONTI</vt:lpstr>
      <vt:lpstr>TAX</vt:lpstr>
      <vt:lpstr>incidenze</vt:lpstr>
      <vt:lpstr>main sheets →</vt:lpstr>
      <vt:lpstr>BP</vt:lpstr>
      <vt:lpstr>ANALISI</vt:lpstr>
      <vt:lpstr>RI</vt:lpstr>
      <vt:lpstr>extras →</vt:lpstr>
      <vt:lpstr>B. calcolo prezzi medi di vend</vt:lpstr>
      <vt:lpstr>B. linea prodotti Bomè</vt:lpstr>
      <vt:lpstr>C. bilanci</vt:lpstr>
      <vt:lpstr>D. Benchmark di settore</vt:lpstr>
      <vt:lpstr>D. situazione competitiva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Box, Alif Mahajan Fuhad</dc:creator>
  <cp:lastModifiedBy>Box, Alif Mahajan Fuhad</cp:lastModifiedBy>
  <dcterms:created xsi:type="dcterms:W3CDTF">2026-04-08T14:02:00Z</dcterms:created>
  <dcterms:modified xsi:type="dcterms:W3CDTF">2026-06-02T17:06:25Z</dcterms:modified>
</cp:coreProperties>
</file>