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1 Academic Programs\Undergrad\C School Year 2016-17\1 Summer 2017\"/>
    </mc:Choice>
  </mc:AlternateContent>
  <xr:revisionPtr revIDLastSave="0" documentId="13_ncr:1_{FA171941-F441-4AEF-BE06-6E2E1B5B33A6}" xr6:coauthVersionLast="45" xr6:coauthVersionMax="45" xr10:uidLastSave="{00000000-0000-0000-0000-000000000000}"/>
  <bookViews>
    <workbookView xWindow="1980" yWindow="3677" windowWidth="24686" windowHeight="13149" xr2:uid="{00000000-000D-0000-FFFF-FFFF00000000}"/>
  </bookViews>
  <sheets>
    <sheet name="CH8 Master Budget Template" sheetId="1" r:id="rId1"/>
    <sheet name="CH 10 Decentralized Performance" sheetId="4" r:id="rId2"/>
    <sheet name="CH 11 Capital Budgeting" sheetId="3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3" l="1"/>
  <c r="M21" i="3"/>
  <c r="M20" i="3"/>
  <c r="M19" i="3"/>
  <c r="M10" i="3"/>
  <c r="M9" i="3"/>
  <c r="M11" i="3" s="1"/>
  <c r="M5" i="3"/>
  <c r="H20" i="3"/>
  <c r="H14" i="3"/>
  <c r="H5" i="3"/>
  <c r="J10" i="3"/>
  <c r="H11" i="3" s="1"/>
  <c r="B27" i="3"/>
  <c r="B25" i="3"/>
  <c r="B19" i="3"/>
  <c r="D19" i="3" s="1"/>
  <c r="B20" i="3" s="1"/>
  <c r="D20" i="3" s="1"/>
  <c r="B21" i="3" s="1"/>
  <c r="B15" i="3"/>
  <c r="D11" i="3"/>
  <c r="B16" i="3" s="1"/>
  <c r="D9" i="3"/>
  <c r="D4" i="3"/>
  <c r="H4" i="4"/>
  <c r="G18" i="4"/>
  <c r="G16" i="4"/>
  <c r="G13" i="4" s="1"/>
  <c r="G14" i="4" s="1"/>
  <c r="G9" i="4"/>
  <c r="G7" i="4"/>
  <c r="B21" i="4"/>
  <c r="D14" i="4"/>
  <c r="D8" i="4"/>
  <c r="B5" i="4" s="1"/>
  <c r="D4" i="4" s="1"/>
  <c r="G19" i="4" l="1"/>
  <c r="B19" i="4"/>
  <c r="D19" i="4" s="1"/>
  <c r="D21" i="4" s="1"/>
  <c r="H19" i="3"/>
  <c r="J19" i="3" s="1"/>
  <c r="D21" i="3"/>
  <c r="D15" i="3"/>
  <c r="G4" i="4"/>
  <c r="G5" i="4" s="1"/>
  <c r="G10" i="4"/>
  <c r="D13" i="4"/>
  <c r="D15" i="4" s="1"/>
  <c r="B22" i="3" l="1"/>
  <c r="AJ48" i="1"/>
  <c r="AB48" i="1"/>
  <c r="X44" i="1"/>
  <c r="AF48" i="1"/>
  <c r="X48" i="1"/>
  <c r="AJ37" i="1"/>
  <c r="AF37" i="1"/>
  <c r="AB37" i="1"/>
  <c r="X37" i="1"/>
  <c r="AC9" i="1" s="1"/>
  <c r="AJ35" i="1"/>
  <c r="AF35" i="1"/>
  <c r="AB35" i="1"/>
  <c r="X35" i="1"/>
  <c r="V31" i="1"/>
  <c r="U31" i="1"/>
  <c r="U30" i="1"/>
  <c r="R72" i="1"/>
  <c r="P69" i="1"/>
  <c r="P71" i="1" s="1"/>
  <c r="P73" i="1" s="1"/>
  <c r="AI36" i="1" s="1"/>
  <c r="O69" i="1"/>
  <c r="O71" i="1" s="1"/>
  <c r="O73" i="1" s="1"/>
  <c r="AH36" i="1" s="1"/>
  <c r="N69" i="1"/>
  <c r="N71" i="1" s="1"/>
  <c r="L69" i="1"/>
  <c r="L71" i="1" s="1"/>
  <c r="L73" i="1" s="1"/>
  <c r="AE36" i="1" s="1"/>
  <c r="K69" i="1"/>
  <c r="K71" i="1" s="1"/>
  <c r="K73" i="1" s="1"/>
  <c r="AD36" i="1" s="1"/>
  <c r="J69" i="1"/>
  <c r="J71" i="1" s="1"/>
  <c r="H69" i="1"/>
  <c r="H71" i="1" s="1"/>
  <c r="H73" i="1" s="1"/>
  <c r="AA36" i="1" s="1"/>
  <c r="G69" i="1"/>
  <c r="G71" i="1" s="1"/>
  <c r="G73" i="1" s="1"/>
  <c r="Z36" i="1" s="1"/>
  <c r="F69" i="1"/>
  <c r="F71" i="1" s="1"/>
  <c r="D69" i="1"/>
  <c r="D71" i="1" s="1"/>
  <c r="D73" i="1" s="1"/>
  <c r="W36" i="1" s="1"/>
  <c r="C69" i="1"/>
  <c r="C71" i="1" s="1"/>
  <c r="C73" i="1" s="1"/>
  <c r="V36" i="1" s="1"/>
  <c r="B69" i="1"/>
  <c r="B71" i="1" s="1"/>
  <c r="P13" i="1"/>
  <c r="O13" i="1"/>
  <c r="N14" i="1" s="1"/>
  <c r="N13" i="1"/>
  <c r="Q13" i="1" s="1"/>
  <c r="L13" i="1"/>
  <c r="K14" i="1" s="1"/>
  <c r="L15" i="1" s="1"/>
  <c r="K13" i="1"/>
  <c r="J14" i="1" s="1"/>
  <c r="J13" i="1"/>
  <c r="M13" i="1" s="1"/>
  <c r="H13" i="1"/>
  <c r="G14" i="1" s="1"/>
  <c r="H15" i="1" s="1"/>
  <c r="G13" i="1"/>
  <c r="F14" i="1" s="1"/>
  <c r="F13" i="1"/>
  <c r="I13" i="1" s="1"/>
  <c r="D13" i="1"/>
  <c r="C14" i="1" s="1"/>
  <c r="D15" i="1" s="1"/>
  <c r="C13" i="1"/>
  <c r="B14" i="1" s="1"/>
  <c r="B13" i="1"/>
  <c r="B15" i="1" s="1"/>
  <c r="O61" i="1"/>
  <c r="K61" i="1"/>
  <c r="G61" i="1"/>
  <c r="C61" i="1"/>
  <c r="B57" i="1"/>
  <c r="P7" i="1"/>
  <c r="AI16" i="1" s="1"/>
  <c r="O7" i="1"/>
  <c r="AH16" i="1" s="1"/>
  <c r="N7" i="1"/>
  <c r="AG16" i="1" s="1"/>
  <c r="L7" i="1"/>
  <c r="AE16" i="1" s="1"/>
  <c r="K7" i="1"/>
  <c r="AD16" i="1" s="1"/>
  <c r="J7" i="1"/>
  <c r="AC16" i="1" s="1"/>
  <c r="H7" i="1"/>
  <c r="AA16" i="1" s="1"/>
  <c r="G7" i="1"/>
  <c r="Z16" i="1" s="1"/>
  <c r="F7" i="1"/>
  <c r="Y16" i="1" s="1"/>
  <c r="D7" i="1"/>
  <c r="W16" i="1" s="1"/>
  <c r="C7" i="1"/>
  <c r="V16" i="1" s="1"/>
  <c r="B7" i="1"/>
  <c r="E7" i="1" s="1"/>
  <c r="B56" i="1"/>
  <c r="B55" i="1"/>
  <c r="Q5" i="1"/>
  <c r="M5" i="1"/>
  <c r="I5" i="1"/>
  <c r="E5" i="1"/>
  <c r="R5" i="1" s="1"/>
  <c r="E69" i="1" l="1"/>
  <c r="I69" i="1"/>
  <c r="M69" i="1"/>
  <c r="Q69" i="1"/>
  <c r="B59" i="1"/>
  <c r="D22" i="3"/>
  <c r="B23" i="3" s="1"/>
  <c r="D23" i="3" s="1"/>
  <c r="B26" i="3"/>
  <c r="D25" i="3" s="1"/>
  <c r="U32" i="1"/>
  <c r="AK35" i="1"/>
  <c r="AK37" i="1"/>
  <c r="AI6" i="1"/>
  <c r="AK48" i="1"/>
  <c r="G15" i="1"/>
  <c r="G16" i="1" s="1"/>
  <c r="B73" i="1"/>
  <c r="E71" i="1"/>
  <c r="F73" i="1"/>
  <c r="I71" i="1"/>
  <c r="J73" i="1"/>
  <c r="M71" i="1"/>
  <c r="N73" i="1"/>
  <c r="Q71" i="1"/>
  <c r="P62" i="1"/>
  <c r="K62" i="1"/>
  <c r="K63" i="1" s="1"/>
  <c r="N62" i="1"/>
  <c r="H62" i="1"/>
  <c r="C62" i="1"/>
  <c r="C63" i="1" s="1"/>
  <c r="L62" i="1"/>
  <c r="G62" i="1"/>
  <c r="G63" i="1" s="1"/>
  <c r="B62" i="1"/>
  <c r="E14" i="1"/>
  <c r="C15" i="1"/>
  <c r="E15" i="1" s="1"/>
  <c r="P15" i="1"/>
  <c r="O15" i="1"/>
  <c r="K15" i="1"/>
  <c r="K16" i="1" s="1"/>
  <c r="AB16" i="1"/>
  <c r="V5" i="1" s="1"/>
  <c r="Y20" i="1"/>
  <c r="Y18" i="1"/>
  <c r="Z21" i="1"/>
  <c r="AF16" i="1"/>
  <c r="AC20" i="1"/>
  <c r="AC18" i="1"/>
  <c r="AD21" i="1"/>
  <c r="AJ16" i="1"/>
  <c r="X5" i="1" s="1"/>
  <c r="AG20" i="1"/>
  <c r="AG18" i="1"/>
  <c r="AH21" i="1"/>
  <c r="D14" i="1"/>
  <c r="F15" i="1" s="1"/>
  <c r="H14" i="1"/>
  <c r="J15" i="1" s="1"/>
  <c r="L14" i="1"/>
  <c r="N15" i="1" s="1"/>
  <c r="B16" i="1"/>
  <c r="F16" i="1"/>
  <c r="J16" i="1"/>
  <c r="N16" i="1"/>
  <c r="U16" i="1"/>
  <c r="V20" i="1"/>
  <c r="V18" i="1"/>
  <c r="W21" i="1"/>
  <c r="Z20" i="1"/>
  <c r="Z18" i="1"/>
  <c r="AA21" i="1"/>
  <c r="AD20" i="1"/>
  <c r="AD18" i="1"/>
  <c r="AE21" i="1"/>
  <c r="AH20" i="1"/>
  <c r="AH18" i="1"/>
  <c r="D61" i="1"/>
  <c r="H61" i="1"/>
  <c r="L61" i="1"/>
  <c r="P61" i="1"/>
  <c r="Y21" i="1"/>
  <c r="W18" i="1"/>
  <c r="W20" i="1"/>
  <c r="AC21" i="1"/>
  <c r="AA18" i="1"/>
  <c r="AA20" i="1"/>
  <c r="AG21" i="1"/>
  <c r="AE18" i="1"/>
  <c r="AE20" i="1"/>
  <c r="AI18" i="1"/>
  <c r="AI20" i="1"/>
  <c r="D16" i="1"/>
  <c r="H16" i="1"/>
  <c r="L16" i="1"/>
  <c r="I7" i="1"/>
  <c r="M7" i="1"/>
  <c r="Q7" i="1"/>
  <c r="B61" i="1"/>
  <c r="E61" i="1" s="1"/>
  <c r="F61" i="1"/>
  <c r="I61" i="1" s="1"/>
  <c r="J61" i="1"/>
  <c r="M61" i="1" s="1"/>
  <c r="N61" i="1"/>
  <c r="Q61" i="1" s="1"/>
  <c r="E13" i="1"/>
  <c r="R13" i="1" s="1"/>
  <c r="R7" i="1" l="1"/>
  <c r="M15" i="1"/>
  <c r="D62" i="1"/>
  <c r="I15" i="1"/>
  <c r="C16" i="1"/>
  <c r="E16" i="1" s="1"/>
  <c r="AC8" i="1" s="1"/>
  <c r="J62" i="1"/>
  <c r="J63" i="1" s="1"/>
  <c r="O62" i="1"/>
  <c r="O63" i="1" s="1"/>
  <c r="AD22" i="1"/>
  <c r="AD45" i="1" s="1"/>
  <c r="F62" i="1"/>
  <c r="F63" i="1" s="1"/>
  <c r="R69" i="1"/>
  <c r="AA22" i="1"/>
  <c r="AA45" i="1" s="1"/>
  <c r="AB21" i="1"/>
  <c r="AF21" i="1"/>
  <c r="AI21" i="1"/>
  <c r="AJ21" i="1" s="1"/>
  <c r="W5" i="1"/>
  <c r="C45" i="1"/>
  <c r="C47" i="1" s="1"/>
  <c r="C49" i="1" s="1"/>
  <c r="V34" i="1" s="1"/>
  <c r="C35" i="1"/>
  <c r="C37" i="1" s="1"/>
  <c r="C39" i="1" s="1"/>
  <c r="V33" i="1" s="1"/>
  <c r="C22" i="1"/>
  <c r="C24" i="1" s="1"/>
  <c r="U21" i="1"/>
  <c r="X16" i="1"/>
  <c r="U20" i="1"/>
  <c r="X20" i="1" s="1"/>
  <c r="U18" i="1"/>
  <c r="V21" i="1"/>
  <c r="B45" i="1"/>
  <c r="B35" i="1"/>
  <c r="B22" i="1"/>
  <c r="P63" i="1"/>
  <c r="AC36" i="1"/>
  <c r="AF36" i="1" s="1"/>
  <c r="M73" i="1"/>
  <c r="W8" i="1" s="1"/>
  <c r="U36" i="1"/>
  <c r="X36" i="1" s="1"/>
  <c r="E73" i="1"/>
  <c r="U8" i="1" s="1"/>
  <c r="Y8" i="1" s="1"/>
  <c r="O14" i="1"/>
  <c r="P14" i="1"/>
  <c r="P16" i="1" s="1"/>
  <c r="R61" i="1"/>
  <c r="L35" i="1"/>
  <c r="L37" i="1" s="1"/>
  <c r="L39" i="1" s="1"/>
  <c r="AE33" i="1" s="1"/>
  <c r="L45" i="1"/>
  <c r="L47" i="1" s="1"/>
  <c r="L49" i="1" s="1"/>
  <c r="AE34" i="1" s="1"/>
  <c r="L22" i="1"/>
  <c r="L24" i="1" s="1"/>
  <c r="AI22" i="1"/>
  <c r="AI45" i="1" s="1"/>
  <c r="W22" i="1"/>
  <c r="W45" i="1" s="1"/>
  <c r="AH22" i="1"/>
  <c r="AH45" i="1" s="1"/>
  <c r="N45" i="1"/>
  <c r="N35" i="1"/>
  <c r="N22" i="1"/>
  <c r="Q15" i="1"/>
  <c r="AG22" i="1"/>
  <c r="AJ18" i="1"/>
  <c r="AC22" i="1"/>
  <c r="AC45" i="1" s="1"/>
  <c r="AF18" i="1"/>
  <c r="Y22" i="1"/>
  <c r="Y45" i="1" s="1"/>
  <c r="AB18" i="1"/>
  <c r="B63" i="1"/>
  <c r="H63" i="1"/>
  <c r="H35" i="1"/>
  <c r="H37" i="1" s="1"/>
  <c r="H39" i="1" s="1"/>
  <c r="AA33" i="1" s="1"/>
  <c r="H45" i="1"/>
  <c r="H47" i="1" s="1"/>
  <c r="H49" i="1" s="1"/>
  <c r="AA34" i="1" s="1"/>
  <c r="H22" i="1"/>
  <c r="H24" i="1" s="1"/>
  <c r="K45" i="1"/>
  <c r="K47" i="1" s="1"/>
  <c r="K49" i="1" s="1"/>
  <c r="AD34" i="1" s="1"/>
  <c r="K35" i="1"/>
  <c r="K37" i="1" s="1"/>
  <c r="K39" i="1" s="1"/>
  <c r="AD33" i="1" s="1"/>
  <c r="K22" i="1"/>
  <c r="K24" i="1" s="1"/>
  <c r="V22" i="1"/>
  <c r="V45" i="1" s="1"/>
  <c r="J45" i="1"/>
  <c r="J35" i="1"/>
  <c r="J22" i="1"/>
  <c r="M16" i="1"/>
  <c r="AJ20" i="1"/>
  <c r="AF20" i="1"/>
  <c r="AB20" i="1"/>
  <c r="M14" i="1"/>
  <c r="N63" i="1"/>
  <c r="AG36" i="1"/>
  <c r="AJ36" i="1" s="1"/>
  <c r="Q73" i="1"/>
  <c r="X8" i="1" s="1"/>
  <c r="Y36" i="1"/>
  <c r="AB36" i="1" s="1"/>
  <c r="I73" i="1"/>
  <c r="V8" i="1" s="1"/>
  <c r="I14" i="1"/>
  <c r="D35" i="1"/>
  <c r="D37" i="1" s="1"/>
  <c r="D39" i="1" s="1"/>
  <c r="W33" i="1" s="1"/>
  <c r="D45" i="1"/>
  <c r="D47" i="1" s="1"/>
  <c r="D49" i="1" s="1"/>
  <c r="W34" i="1" s="1"/>
  <c r="D22" i="1"/>
  <c r="D24" i="1" s="1"/>
  <c r="AE22" i="1"/>
  <c r="AE45" i="1" s="1"/>
  <c r="G45" i="1"/>
  <c r="G47" i="1" s="1"/>
  <c r="G49" i="1" s="1"/>
  <c r="Z34" i="1" s="1"/>
  <c r="G35" i="1"/>
  <c r="G37" i="1" s="1"/>
  <c r="G39" i="1" s="1"/>
  <c r="Z33" i="1" s="1"/>
  <c r="G22" i="1"/>
  <c r="G24" i="1" s="1"/>
  <c r="Z22" i="1"/>
  <c r="Z45" i="1" s="1"/>
  <c r="F45" i="1"/>
  <c r="F35" i="1"/>
  <c r="F22" i="1"/>
  <c r="I16" i="1"/>
  <c r="L63" i="1"/>
  <c r="D63" i="1"/>
  <c r="R71" i="1"/>
  <c r="AF45" i="1" l="1"/>
  <c r="Q63" i="1"/>
  <c r="X6" i="1" s="1"/>
  <c r="X7" i="1" s="1"/>
  <c r="X9" i="1" s="1"/>
  <c r="R15" i="1"/>
  <c r="AK16" i="1"/>
  <c r="U5" i="1"/>
  <c r="AB45" i="1"/>
  <c r="AJ22" i="1"/>
  <c r="AG45" i="1"/>
  <c r="AJ45" i="1" s="1"/>
  <c r="I63" i="1"/>
  <c r="V6" i="1" s="1"/>
  <c r="V7" i="1" s="1"/>
  <c r="V9" i="1" s="1"/>
  <c r="J24" i="1"/>
  <c r="M22" i="1"/>
  <c r="J25" i="1"/>
  <c r="N24" i="1"/>
  <c r="R73" i="1"/>
  <c r="B24" i="1"/>
  <c r="E22" i="1"/>
  <c r="U22" i="1"/>
  <c r="X18" i="1"/>
  <c r="B25" i="1"/>
  <c r="C25" i="1"/>
  <c r="D26" i="1" s="1"/>
  <c r="M35" i="1"/>
  <c r="J37" i="1"/>
  <c r="AB22" i="1"/>
  <c r="N37" i="1"/>
  <c r="AK36" i="1"/>
  <c r="M63" i="1"/>
  <c r="W6" i="1" s="1"/>
  <c r="W7" i="1" s="1"/>
  <c r="W9" i="1" s="1"/>
  <c r="E35" i="1"/>
  <c r="B37" i="1"/>
  <c r="AK20" i="1"/>
  <c r="F25" i="1"/>
  <c r="I35" i="1"/>
  <c r="F37" i="1"/>
  <c r="J47" i="1"/>
  <c r="M45" i="1"/>
  <c r="N47" i="1"/>
  <c r="K25" i="1"/>
  <c r="L26" i="1" s="1"/>
  <c r="P35" i="1"/>
  <c r="P37" i="1" s="1"/>
  <c r="P39" i="1" s="1"/>
  <c r="AI33" i="1" s="1"/>
  <c r="P45" i="1"/>
  <c r="P47" i="1" s="1"/>
  <c r="P49" i="1" s="1"/>
  <c r="AI34" i="1" s="1"/>
  <c r="P22" i="1"/>
  <c r="P24" i="1" s="1"/>
  <c r="B47" i="1"/>
  <c r="E45" i="1"/>
  <c r="F24" i="1"/>
  <c r="I22" i="1"/>
  <c r="F47" i="1"/>
  <c r="I45" i="1"/>
  <c r="G25" i="1"/>
  <c r="H26" i="1" s="1"/>
  <c r="E63" i="1"/>
  <c r="AF22" i="1"/>
  <c r="Q14" i="1"/>
  <c r="R14" i="1" s="1"/>
  <c r="O16" i="1"/>
  <c r="X21" i="1"/>
  <c r="AC6" i="1" s="1"/>
  <c r="AK18" i="1" l="1"/>
  <c r="AC5" i="1"/>
  <c r="R63" i="1"/>
  <c r="U6" i="1"/>
  <c r="Y6" i="1" s="1"/>
  <c r="AK21" i="1"/>
  <c r="X22" i="1"/>
  <c r="U45" i="1"/>
  <c r="X45" i="1" s="1"/>
  <c r="AK45" i="1" s="1"/>
  <c r="Y5" i="1"/>
  <c r="U7" i="1"/>
  <c r="F49" i="1"/>
  <c r="I47" i="1"/>
  <c r="B49" i="1"/>
  <c r="E47" i="1"/>
  <c r="K26" i="1"/>
  <c r="K27" i="1" s="1"/>
  <c r="K29" i="1" s="1"/>
  <c r="AD28" i="1" s="1"/>
  <c r="J49" i="1"/>
  <c r="M47" i="1"/>
  <c r="G26" i="1"/>
  <c r="G27" i="1" s="1"/>
  <c r="G29" i="1" s="1"/>
  <c r="Z28" i="1" s="1"/>
  <c r="AK22" i="1"/>
  <c r="O45" i="1"/>
  <c r="O35" i="1"/>
  <c r="O22" i="1"/>
  <c r="Q16" i="1"/>
  <c r="R16" i="1" s="1"/>
  <c r="D25" i="1"/>
  <c r="E25" i="1" s="1"/>
  <c r="I24" i="1"/>
  <c r="F39" i="1"/>
  <c r="I37" i="1"/>
  <c r="J39" i="1"/>
  <c r="M37" i="1"/>
  <c r="L25" i="1"/>
  <c r="M25" i="1" s="1"/>
  <c r="H25" i="1"/>
  <c r="M24" i="1"/>
  <c r="N49" i="1"/>
  <c r="B39" i="1"/>
  <c r="E37" i="1"/>
  <c r="N39" i="1"/>
  <c r="C26" i="1"/>
  <c r="C27" i="1" s="1"/>
  <c r="C29" i="1" s="1"/>
  <c r="V28" i="1" s="1"/>
  <c r="E24" i="1"/>
  <c r="B26" i="1"/>
  <c r="E26" i="1" s="1"/>
  <c r="U9" i="1" l="1"/>
  <c r="Y9" i="1" s="1"/>
  <c r="Y7" i="1"/>
  <c r="AA31" i="1"/>
  <c r="Z30" i="1"/>
  <c r="W31" i="1"/>
  <c r="X31" i="1" s="1"/>
  <c r="AI5" i="1" s="1"/>
  <c r="AI7" i="1" s="1"/>
  <c r="V30" i="1"/>
  <c r="AE31" i="1"/>
  <c r="AD30" i="1"/>
  <c r="J26" i="1"/>
  <c r="H27" i="1"/>
  <c r="H29" i="1" s="1"/>
  <c r="AA28" i="1" s="1"/>
  <c r="M39" i="1"/>
  <c r="AC33" i="1"/>
  <c r="AF33" i="1" s="1"/>
  <c r="F26" i="1"/>
  <c r="D27" i="1"/>
  <c r="D29" i="1" s="1"/>
  <c r="W28" i="1" s="1"/>
  <c r="X28" i="1" s="1"/>
  <c r="O37" i="1"/>
  <c r="Q35" i="1"/>
  <c r="R35" i="1" s="1"/>
  <c r="I25" i="1"/>
  <c r="B27" i="1"/>
  <c r="AG34" i="1"/>
  <c r="O47" i="1"/>
  <c r="Q45" i="1"/>
  <c r="R45" i="1" s="1"/>
  <c r="E49" i="1"/>
  <c r="U34" i="1"/>
  <c r="X34" i="1" s="1"/>
  <c r="AG33" i="1"/>
  <c r="I39" i="1"/>
  <c r="Y33" i="1"/>
  <c r="AB33" i="1" s="1"/>
  <c r="M49" i="1"/>
  <c r="AC34" i="1"/>
  <c r="AF34" i="1" s="1"/>
  <c r="E39" i="1"/>
  <c r="U33" i="1"/>
  <c r="N26" i="1"/>
  <c r="L27" i="1"/>
  <c r="L29" i="1" s="1"/>
  <c r="AE28" i="1" s="1"/>
  <c r="O24" i="1"/>
  <c r="Q22" i="1"/>
  <c r="R22" i="1" s="1"/>
  <c r="I49" i="1"/>
  <c r="Y34" i="1"/>
  <c r="AB34" i="1" s="1"/>
  <c r="X33" i="1" l="1"/>
  <c r="U38" i="1"/>
  <c r="U46" i="1" s="1"/>
  <c r="I26" i="1"/>
  <c r="F27" i="1"/>
  <c r="M26" i="1"/>
  <c r="J27" i="1"/>
  <c r="B29" i="1"/>
  <c r="E29" i="1" s="1"/>
  <c r="AC7" i="1" s="1"/>
  <c r="E27" i="1"/>
  <c r="N25" i="1"/>
  <c r="Q24" i="1"/>
  <c r="R24" i="1" s="1"/>
  <c r="AE30" i="1"/>
  <c r="AE32" i="1" s="1"/>
  <c r="AE38" i="1" s="1"/>
  <c r="AE46" i="1" s="1"/>
  <c r="AG31" i="1"/>
  <c r="O49" i="1"/>
  <c r="Q47" i="1"/>
  <c r="R47" i="1" s="1"/>
  <c r="O39" i="1"/>
  <c r="Q37" i="1"/>
  <c r="R37" i="1" s="1"/>
  <c r="W30" i="1"/>
  <c r="W32" i="1" s="1"/>
  <c r="W38" i="1" s="1"/>
  <c r="W46" i="1" s="1"/>
  <c r="W47" i="1" s="1"/>
  <c r="W49" i="1" s="1"/>
  <c r="Y44" i="1" s="1"/>
  <c r="Y31" i="1"/>
  <c r="AA30" i="1"/>
  <c r="AA32" i="1" s="1"/>
  <c r="AA38" i="1" s="1"/>
  <c r="AA46" i="1" s="1"/>
  <c r="AC31" i="1"/>
  <c r="V32" i="1"/>
  <c r="X30" i="1"/>
  <c r="U47" i="1" l="1"/>
  <c r="P26" i="1"/>
  <c r="O26" i="1"/>
  <c r="Q26" i="1" s="1"/>
  <c r="R26" i="1" s="1"/>
  <c r="N27" i="1"/>
  <c r="J29" i="1"/>
  <c r="M27" i="1"/>
  <c r="AH33" i="1"/>
  <c r="AJ33" i="1" s="1"/>
  <c r="AK33" i="1" s="1"/>
  <c r="Q39" i="1"/>
  <c r="R39" i="1" s="1"/>
  <c r="P25" i="1"/>
  <c r="P27" i="1" s="1"/>
  <c r="P29" i="1" s="1"/>
  <c r="AI28" i="1" s="1"/>
  <c r="AI30" i="1" s="1"/>
  <c r="O25" i="1"/>
  <c r="F29" i="1"/>
  <c r="I27" i="1"/>
  <c r="V38" i="1"/>
  <c r="X32" i="1"/>
  <c r="AH34" i="1"/>
  <c r="AJ34" i="1" s="1"/>
  <c r="AK34" i="1" s="1"/>
  <c r="Q49" i="1"/>
  <c r="R49" i="1" s="1"/>
  <c r="X38" i="1" l="1"/>
  <c r="V46" i="1"/>
  <c r="U49" i="1"/>
  <c r="Y28" i="1"/>
  <c r="I29" i="1"/>
  <c r="O27" i="1"/>
  <c r="O29" i="1" s="1"/>
  <c r="AH28" i="1" s="1"/>
  <c r="AH30" i="1" s="1"/>
  <c r="AC28" i="1"/>
  <c r="M29" i="1"/>
  <c r="Q25" i="1"/>
  <c r="R25" i="1" s="1"/>
  <c r="N29" i="1"/>
  <c r="V47" i="1" l="1"/>
  <c r="X46" i="1"/>
  <c r="Q27" i="1"/>
  <c r="R27" i="1" s="1"/>
  <c r="AG28" i="1"/>
  <c r="Q29" i="1"/>
  <c r="R29" i="1" s="1"/>
  <c r="Z31" i="1"/>
  <c r="AB28" i="1"/>
  <c r="Y30" i="1"/>
  <c r="AD31" i="1"/>
  <c r="AF28" i="1"/>
  <c r="AI31" i="1" s="1"/>
  <c r="AI32" i="1" s="1"/>
  <c r="AI38" i="1" s="1"/>
  <c r="AI46" i="1" s="1"/>
  <c r="AC30" i="1"/>
  <c r="V49" i="1" l="1"/>
  <c r="X49" i="1" s="1"/>
  <c r="AC10" i="1" s="1"/>
  <c r="AI9" i="1" s="1"/>
  <c r="AI10" i="1" s="1"/>
  <c r="X47" i="1"/>
  <c r="AH31" i="1"/>
  <c r="AJ28" i="1"/>
  <c r="AG30" i="1"/>
  <c r="AK28" i="1"/>
  <c r="Z32" i="1"/>
  <c r="Z38" i="1" s="1"/>
  <c r="Z46" i="1" s="1"/>
  <c r="AB31" i="1"/>
  <c r="Y32" i="1"/>
  <c r="AB30" i="1"/>
  <c r="AC32" i="1"/>
  <c r="AF30" i="1"/>
  <c r="AD32" i="1"/>
  <c r="AD38" i="1" s="1"/>
  <c r="AD46" i="1" s="1"/>
  <c r="AF31" i="1"/>
  <c r="Y38" i="1" l="1"/>
  <c r="AB32" i="1"/>
  <c r="AG32" i="1"/>
  <c r="AJ30" i="1"/>
  <c r="AK30" i="1" s="1"/>
  <c r="AC38" i="1"/>
  <c r="AF32" i="1"/>
  <c r="AJ31" i="1"/>
  <c r="AK31" i="1" s="1"/>
  <c r="AH32" i="1"/>
  <c r="AH38" i="1" s="1"/>
  <c r="AH46" i="1" s="1"/>
  <c r="AF38" i="1" l="1"/>
  <c r="AC46" i="1"/>
  <c r="AF46" i="1" s="1"/>
  <c r="AB38" i="1"/>
  <c r="Y46" i="1"/>
  <c r="AG38" i="1"/>
  <c r="AJ32" i="1"/>
  <c r="AK32" i="1" s="1"/>
  <c r="AB46" i="1" l="1"/>
  <c r="Y47" i="1"/>
  <c r="AJ38" i="1"/>
  <c r="AK38" i="1" s="1"/>
  <c r="AG46" i="1"/>
  <c r="AJ46" i="1" s="1"/>
  <c r="AK46" i="1" s="1"/>
  <c r="Y49" i="1" l="1"/>
  <c r="Z44" i="1" l="1"/>
  <c r="Z47" i="1" l="1"/>
  <c r="Z49" i="1" l="1"/>
  <c r="AA44" i="1" l="1"/>
  <c r="AA47" i="1" l="1"/>
  <c r="AB44" i="1"/>
  <c r="AA49" i="1" l="1"/>
  <c r="AB47" i="1"/>
  <c r="AC44" i="1" l="1"/>
  <c r="AB49" i="1"/>
  <c r="AC47" i="1" l="1"/>
  <c r="AC49" i="1" s="1"/>
  <c r="AD44" i="1" l="1"/>
  <c r="AD47" i="1" l="1"/>
  <c r="AD49" i="1" s="1"/>
  <c r="AE44" i="1" l="1"/>
  <c r="AE47" i="1" l="1"/>
  <c r="AF44" i="1"/>
  <c r="AF47" i="1" l="1"/>
  <c r="AE49" i="1"/>
  <c r="AG44" i="1" l="1"/>
  <c r="AF49" i="1"/>
  <c r="AG47" i="1" l="1"/>
  <c r="AG49" i="1" s="1"/>
  <c r="AH44" i="1" s="1"/>
  <c r="AH47" i="1" s="1"/>
  <c r="AH49" i="1" s="1"/>
  <c r="AI44" i="1" s="1"/>
  <c r="AI47" i="1" s="1"/>
  <c r="AJ44" i="1" l="1"/>
  <c r="AK44" i="1" s="1"/>
  <c r="AJ47" i="1"/>
  <c r="AK47" i="1" s="1"/>
  <c r="AI49" i="1"/>
  <c r="AJ49" i="1" s="1"/>
  <c r="AK49" i="1" s="1"/>
</calcChain>
</file>

<file path=xl/sharedStrings.xml><?xml version="1.0" encoding="utf-8"?>
<sst xmlns="http://schemas.openxmlformats.org/spreadsheetml/2006/main" count="429" uniqueCount="184">
  <si>
    <t>Budgeted Unit Sales</t>
  </si>
  <si>
    <t>Budgeted Production</t>
  </si>
  <si>
    <t>April</t>
  </si>
  <si>
    <t>May</t>
  </si>
  <si>
    <t>June</t>
  </si>
  <si>
    <t>July</t>
  </si>
  <si>
    <t>August</t>
  </si>
  <si>
    <t>RistoWorks</t>
  </si>
  <si>
    <t>Production Budget</t>
  </si>
  <si>
    <t>For Year ended Dec 31, 2017</t>
  </si>
  <si>
    <t>Less: Beg FGI (60% curr mnth)</t>
  </si>
  <si>
    <t>Budgeted Cash Receipts</t>
  </si>
  <si>
    <t>-</t>
  </si>
  <si>
    <t>Budgeted Cash Payments</t>
  </si>
  <si>
    <t>Budgeted Cost of RM Purchased</t>
  </si>
  <si>
    <t>Cash paid for RM</t>
  </si>
  <si>
    <t>Cash paid for DL</t>
  </si>
  <si>
    <t>Less: Depreciation (noncash exp)</t>
  </si>
  <si>
    <t>Cash paid for selling/admin exp</t>
  </si>
  <si>
    <t>Cash paid for equipment</t>
  </si>
  <si>
    <t>March</t>
  </si>
  <si>
    <t>Sales Budget</t>
  </si>
  <si>
    <t>Budgeted Sales Price</t>
  </si>
  <si>
    <t>Budgeted Sales Revenue</t>
  </si>
  <si>
    <t>Plus: End FGI (40% nxt mnth)</t>
  </si>
  <si>
    <t>Raw Materials Purchases Budget</t>
  </si>
  <si>
    <t>Direct Labor Budget</t>
  </si>
  <si>
    <t>Direct Labor hours required</t>
  </si>
  <si>
    <t>Direct Labor rate</t>
  </si>
  <si>
    <t>Budgeted Direct Labor Cost</t>
  </si>
  <si>
    <t>Manufacturing Overhead Cost Budget</t>
  </si>
  <si>
    <t>MOH</t>
  </si>
  <si>
    <t>Fixed MOH</t>
  </si>
  <si>
    <t>Budgeted Variable MOH</t>
  </si>
  <si>
    <t>Budgeted MOH</t>
  </si>
  <si>
    <t>Budgeted Cost of Goods Sold</t>
  </si>
  <si>
    <t>Budgeted Manufacturing Costs</t>
  </si>
  <si>
    <t>Variable MOH</t>
  </si>
  <si>
    <t>Budgeted Mfg cost / unit</t>
  </si>
  <si>
    <t>Per Unit</t>
  </si>
  <si>
    <t>Budgeted Sales (Units)</t>
  </si>
  <si>
    <t>Budgeted COGS</t>
  </si>
  <si>
    <t>Selling and Administrative Expense Budget</t>
  </si>
  <si>
    <t>Budgeted Variable S&amp;A expenses</t>
  </si>
  <si>
    <t>Budgeted Fixed S&amp;A expenses</t>
  </si>
  <si>
    <t>Tot Budgeted S&amp;A expenses</t>
  </si>
  <si>
    <t>Materials Req. (4 ft / unit)</t>
  </si>
  <si>
    <t>Variable MOH Rate ($0.30 / unit)</t>
  </si>
  <si>
    <t>Tot Purch of RM (ft)</t>
  </si>
  <si>
    <t>Cost of RM ($2 / ft)</t>
  </si>
  <si>
    <t>Variable S&amp;A Rate ($0.6 / unit)</t>
  </si>
  <si>
    <t>Cash sales (80% current sales)</t>
  </si>
  <si>
    <t>Credit sales (20% current sales)</t>
  </si>
  <si>
    <t>Collected current month (50%)</t>
  </si>
  <si>
    <t>Collected month after sale (50%)</t>
  </si>
  <si>
    <t>Cash paid current month (80%)</t>
  </si>
  <si>
    <t>Cash paid month after (20%)</t>
  </si>
  <si>
    <t>Plus: End RMI (30% next month)</t>
  </si>
  <si>
    <t>Less: Beg RMI (70% current month)</t>
  </si>
  <si>
    <t>RM needed for Production (ft)</t>
  </si>
  <si>
    <t>Budgeted Production (units)</t>
  </si>
  <si>
    <t>DL Hours (30 m / unit * $12 /hr)</t>
  </si>
  <si>
    <t>DM (4 ft / unit * $2 / ft)</t>
  </si>
  <si>
    <t>January</t>
  </si>
  <si>
    <t>February</t>
  </si>
  <si>
    <t>September</t>
  </si>
  <si>
    <t>October</t>
  </si>
  <si>
    <t>November</t>
  </si>
  <si>
    <t>December</t>
  </si>
  <si>
    <t>DL hours required / unit</t>
  </si>
  <si>
    <t>1 Quarter</t>
  </si>
  <si>
    <t>2 Quarter</t>
  </si>
  <si>
    <t>3 Quarter</t>
  </si>
  <si>
    <t>4 Quarter</t>
  </si>
  <si>
    <t>Yearly Total</t>
  </si>
  <si>
    <t>Cash Budget</t>
  </si>
  <si>
    <t>Beginning Cash Balance</t>
  </si>
  <si>
    <t>Plus: Budgeted cash receipts</t>
  </si>
  <si>
    <t>Less:Budgeted cash payments</t>
  </si>
  <si>
    <t>Cash balance before financing</t>
  </si>
  <si>
    <t>Cash borrowed or repaid</t>
  </si>
  <si>
    <t>Ending cash balance</t>
  </si>
  <si>
    <t>Budgeted Balance Sheet</t>
  </si>
  <si>
    <t>Assets</t>
  </si>
  <si>
    <t>Cash (Quarter ending balance)</t>
  </si>
  <si>
    <t>Accounts Receivable (20% quarter sales)</t>
  </si>
  <si>
    <t>Finished Goods Inventory</t>
  </si>
  <si>
    <t>Property, Plant and Equipment</t>
  </si>
  <si>
    <t>Total Assets</t>
  </si>
  <si>
    <t>Raw Materials Inventory</t>
  </si>
  <si>
    <t>Liabilities</t>
  </si>
  <si>
    <t>Long-Term Liabilities</t>
  </si>
  <si>
    <t>Total Liabilites</t>
  </si>
  <si>
    <t>Accounts Payable (20% quarter RM purchases)</t>
  </si>
  <si>
    <t>Owner's Equity</t>
  </si>
  <si>
    <t>Total Liabilities and Owner's Equity</t>
  </si>
  <si>
    <t>Budgeted Income Statement</t>
  </si>
  <si>
    <t>Less: Budgeted COGS</t>
  </si>
  <si>
    <t>Budgeted gross margin</t>
  </si>
  <si>
    <t>Less: Budgeted S&amp;A expenses</t>
  </si>
  <si>
    <t>Budgeted net operating income</t>
  </si>
  <si>
    <t>Quarter 1</t>
  </si>
  <si>
    <t>Quarter 2</t>
  </si>
  <si>
    <t>Quarter 3</t>
  </si>
  <si>
    <t>Quarter 4</t>
  </si>
  <si>
    <t>December 31, 2017</t>
  </si>
  <si>
    <t>Return on Investment (ROI) = Net Operating Income / Average Invested Assets</t>
  </si>
  <si>
    <t xml:space="preserve">NOI = </t>
  </si>
  <si>
    <t xml:space="preserve">AIA = </t>
  </si>
  <si>
    <t xml:space="preserve">ROI = </t>
  </si>
  <si>
    <t>Basic Formula:</t>
  </si>
  <si>
    <t>AIA = (Beg Tot Ass + End Tot Ass) / 2</t>
  </si>
  <si>
    <t xml:space="preserve">BTA = </t>
  </si>
  <si>
    <t xml:space="preserve">ETA = </t>
  </si>
  <si>
    <t>AIA Identity:</t>
  </si>
  <si>
    <t>DuPont Method:</t>
  </si>
  <si>
    <t>ROI = Invest Turn * Profit Margin</t>
  </si>
  <si>
    <t>IT = Sales Rev / AIA</t>
  </si>
  <si>
    <t>PM = NOI / SR</t>
  </si>
  <si>
    <t xml:space="preserve">SR = </t>
  </si>
  <si>
    <t xml:space="preserve">IT = </t>
  </si>
  <si>
    <t>PM =</t>
  </si>
  <si>
    <t>Residual Income:</t>
  </si>
  <si>
    <t>RI = NOI - Min Acc Profit</t>
  </si>
  <si>
    <t>MAP = AIA * Req Rate of Ret (Hurdle Rate)</t>
  </si>
  <si>
    <t>AIA =</t>
  </si>
  <si>
    <t xml:space="preserve">HR = </t>
  </si>
  <si>
    <t xml:space="preserve">MAP = </t>
  </si>
  <si>
    <t xml:space="preserve">RI = </t>
  </si>
  <si>
    <t xml:space="preserve">PM = </t>
  </si>
  <si>
    <t>Work Space:</t>
  </si>
  <si>
    <t>Accounting Rate of Return:</t>
  </si>
  <si>
    <t>ARR = NOI / Init Invest</t>
  </si>
  <si>
    <t xml:space="preserve">II = </t>
  </si>
  <si>
    <t xml:space="preserve">ARR = </t>
  </si>
  <si>
    <t>Net Cash Flow:</t>
  </si>
  <si>
    <t>NCF = Net Inc + Depr</t>
  </si>
  <si>
    <t>NCF = SR - Cash Expenses</t>
  </si>
  <si>
    <t xml:space="preserve">NI = </t>
  </si>
  <si>
    <t xml:space="preserve">Dpr = </t>
  </si>
  <si>
    <t xml:space="preserve">NCF = </t>
  </si>
  <si>
    <t xml:space="preserve">CE = </t>
  </si>
  <si>
    <t>Payback Period:</t>
  </si>
  <si>
    <t>PP = II / Ann Cash Flow</t>
  </si>
  <si>
    <t xml:space="preserve">ACF = </t>
  </si>
  <si>
    <t xml:space="preserve">PP = </t>
  </si>
  <si>
    <t>With Irregular Cash Flow:</t>
  </si>
  <si>
    <t>Year</t>
  </si>
  <si>
    <t>Invest</t>
  </si>
  <si>
    <t>ACF</t>
  </si>
  <si>
    <t>Unpd Inv</t>
  </si>
  <si>
    <t>Payback = # whole years + (Final yr invest / cash flow)</t>
  </si>
  <si>
    <t xml:space="preserve">WY = </t>
  </si>
  <si>
    <t>FYI =</t>
  </si>
  <si>
    <t xml:space="preserve">FYCF = </t>
  </si>
  <si>
    <t>Discounted cash Flow Methods:</t>
  </si>
  <si>
    <t>Investment Screening Methods:</t>
  </si>
  <si>
    <t>Net Present value:</t>
  </si>
  <si>
    <t>NPV = ACF * PV of Annuity (%) - II</t>
  </si>
  <si>
    <t xml:space="preserve">NPV = </t>
  </si>
  <si>
    <t xml:space="preserve">NPV FCF= </t>
  </si>
  <si>
    <t>Yr</t>
  </si>
  <si>
    <t>Future Cash Flows</t>
  </si>
  <si>
    <t xml:space="preserve">PVA(%) = </t>
  </si>
  <si>
    <t>NPV =</t>
  </si>
  <si>
    <t>Internal rate of return:</t>
  </si>
  <si>
    <t>IRR =&gt; NPV = 0</t>
  </si>
  <si>
    <t xml:space="preserve">IRR = </t>
  </si>
  <si>
    <t>If IRR &gt; Cost of Capital =&gt; Positive NPV</t>
  </si>
  <si>
    <t>If IRR &lt; COC =&gt; Negative NPV</t>
  </si>
  <si>
    <t>Profitability Index:</t>
  </si>
  <si>
    <t>PI = Present Value of Future Cash Flows / II</t>
  </si>
  <si>
    <t xml:space="preserve">PV FCF = </t>
  </si>
  <si>
    <t xml:space="preserve">PI = </t>
  </si>
  <si>
    <t xml:space="preserve">PP (yrs) = </t>
  </si>
  <si>
    <t>Workspace:</t>
  </si>
  <si>
    <t xml:space="preserve">ANI = </t>
  </si>
  <si>
    <t xml:space="preserve">Exp Life = </t>
  </si>
  <si>
    <t>Salv Val =</t>
  </si>
  <si>
    <t xml:space="preserve">COC = </t>
  </si>
  <si>
    <t>NPV FCF</t>
  </si>
  <si>
    <t>+ Salv</t>
  </si>
  <si>
    <t xml:space="preserve">Init Sav = </t>
  </si>
  <si>
    <t>After 10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</si>
</sst>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  <numFmt numFmtId="165" formatCode="0.0000"/>
    <numFmt numFmtId="166" formatCode="_(&quot;$&quot;* #,##0.0000_);_(&quot;$&quot;* \(#,##0.0000\);_(&quot;$&quot;* &quot;-&quot;?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.75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0" fillId="4" borderId="4" xfId="0" applyFill="1" applyBorder="1"/>
    <xf numFmtId="0" fontId="0" fillId="4" borderId="22" xfId="0" applyFill="1" applyBorder="1"/>
    <xf numFmtId="0" fontId="0" fillId="4" borderId="3" xfId="0" applyFill="1" applyBorder="1"/>
    <xf numFmtId="0" fontId="0" fillId="7" borderId="0" xfId="0" applyFill="1"/>
    <xf numFmtId="0" fontId="0" fillId="7" borderId="10" xfId="0" applyFill="1" applyBorder="1"/>
    <xf numFmtId="0" fontId="0" fillId="7" borderId="12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8" fontId="0" fillId="7" borderId="3" xfId="0" applyNumberFormat="1" applyFill="1" applyBorder="1"/>
    <xf numFmtId="44" fontId="0" fillId="7" borderId="20" xfId="1" applyFont="1" applyFill="1" applyBorder="1"/>
    <xf numFmtId="44" fontId="0" fillId="7" borderId="10" xfId="1" applyFont="1" applyFill="1" applyBorder="1"/>
    <xf numFmtId="44" fontId="0" fillId="7" borderId="3" xfId="1" applyFont="1" applyFill="1" applyBorder="1"/>
    <xf numFmtId="44" fontId="0" fillId="7" borderId="7" xfId="1" applyFont="1" applyFill="1" applyBorder="1"/>
    <xf numFmtId="0" fontId="0" fillId="8" borderId="17" xfId="0" applyFill="1" applyBorder="1"/>
    <xf numFmtId="8" fontId="0" fillId="8" borderId="17" xfId="0" applyNumberFormat="1" applyFill="1" applyBorder="1"/>
    <xf numFmtId="44" fontId="0" fillId="8" borderId="17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0" xfId="0" applyFill="1" applyBorder="1"/>
    <xf numFmtId="44" fontId="0" fillId="7" borderId="2" xfId="1" applyFont="1" applyFill="1" applyBorder="1"/>
    <xf numFmtId="44" fontId="0" fillId="7" borderId="12" xfId="1" applyFont="1" applyFill="1" applyBorder="1"/>
    <xf numFmtId="44" fontId="0" fillId="7" borderId="17" xfId="1" applyFont="1" applyFill="1" applyBorder="1"/>
    <xf numFmtId="8" fontId="0" fillId="7" borderId="20" xfId="1" applyNumberFormat="1" applyFont="1" applyFill="1" applyBorder="1"/>
    <xf numFmtId="8" fontId="0" fillId="7" borderId="7" xfId="1" applyNumberFormat="1" applyFont="1" applyFill="1" applyBorder="1"/>
    <xf numFmtId="44" fontId="0" fillId="8" borderId="17" xfId="1" applyFont="1" applyFill="1" applyBorder="1"/>
    <xf numFmtId="0" fontId="0" fillId="4" borderId="2" xfId="0" applyFill="1" applyBorder="1"/>
    <xf numFmtId="0" fontId="0" fillId="4" borderId="1" xfId="0" applyFill="1" applyBorder="1"/>
    <xf numFmtId="44" fontId="0" fillId="4" borderId="21" xfId="1" applyFont="1" applyFill="1" applyBorder="1"/>
    <xf numFmtId="44" fontId="0" fillId="4" borderId="10" xfId="1" applyFont="1" applyFill="1" applyBorder="1"/>
    <xf numFmtId="0" fontId="0" fillId="7" borderId="4" xfId="0" applyFill="1" applyBorder="1"/>
    <xf numFmtId="0" fontId="0" fillId="4" borderId="25" xfId="0" applyFill="1" applyBorder="1"/>
    <xf numFmtId="0" fontId="0" fillId="7" borderId="13" xfId="0" applyFill="1" applyBorder="1"/>
    <xf numFmtId="44" fontId="0" fillId="7" borderId="9" xfId="1" applyFont="1" applyFill="1" applyBorder="1"/>
    <xf numFmtId="44" fontId="0" fillId="8" borderId="23" xfId="0" applyNumberFormat="1" applyFill="1" applyBorder="1"/>
    <xf numFmtId="0" fontId="0" fillId="7" borderId="6" xfId="0" applyFill="1" applyBorder="1"/>
    <xf numFmtId="44" fontId="0" fillId="8" borderId="18" xfId="0" applyNumberFormat="1" applyFill="1" applyBorder="1"/>
    <xf numFmtId="0" fontId="0" fillId="5" borderId="38" xfId="0" applyFill="1" applyBorder="1"/>
    <xf numFmtId="0" fontId="0" fillId="4" borderId="39" xfId="0" applyFill="1" applyBorder="1"/>
    <xf numFmtId="44" fontId="0" fillId="4" borderId="40" xfId="1" applyFont="1" applyFill="1" applyBorder="1"/>
    <xf numFmtId="44" fontId="0" fillId="4" borderId="9" xfId="1" applyFont="1" applyFill="1" applyBorder="1"/>
    <xf numFmtId="0" fontId="0" fillId="7" borderId="9" xfId="0" applyFill="1" applyBorder="1"/>
    <xf numFmtId="0" fontId="0" fillId="8" borderId="23" xfId="0" applyFill="1" applyBorder="1"/>
    <xf numFmtId="0" fontId="0" fillId="4" borderId="36" xfId="0" applyFill="1" applyBorder="1"/>
    <xf numFmtId="0" fontId="0" fillId="7" borderId="7" xfId="0" applyFill="1" applyBorder="1"/>
    <xf numFmtId="0" fontId="0" fillId="9" borderId="38" xfId="0" applyFill="1" applyBorder="1"/>
    <xf numFmtId="0" fontId="0" fillId="5" borderId="39" xfId="0" applyFill="1" applyBorder="1"/>
    <xf numFmtId="44" fontId="0" fillId="5" borderId="40" xfId="1" applyFont="1" applyFill="1" applyBorder="1"/>
    <xf numFmtId="0" fontId="0" fillId="4" borderId="40" xfId="1" applyNumberFormat="1" applyFont="1" applyFill="1" applyBorder="1"/>
    <xf numFmtId="44" fontId="0" fillId="10" borderId="43" xfId="0" applyNumberFormat="1" applyFill="1" applyBorder="1"/>
    <xf numFmtId="0" fontId="0" fillId="10" borderId="43" xfId="0" applyNumberFormat="1" applyFill="1" applyBorder="1"/>
    <xf numFmtId="0" fontId="0" fillId="8" borderId="18" xfId="0" applyNumberFormat="1" applyFill="1" applyBorder="1"/>
    <xf numFmtId="0" fontId="0" fillId="8" borderId="17" xfId="0" applyNumberFormat="1" applyFill="1" applyBorder="1"/>
    <xf numFmtId="0" fontId="0" fillId="8" borderId="23" xfId="0" applyNumberFormat="1" applyFill="1" applyBorder="1"/>
    <xf numFmtId="0" fontId="0" fillId="2" borderId="43" xfId="0" applyNumberFormat="1" applyFill="1" applyBorder="1"/>
    <xf numFmtId="0" fontId="0" fillId="4" borderId="44" xfId="1" applyNumberFormat="1" applyFont="1" applyFill="1" applyBorder="1"/>
    <xf numFmtId="0" fontId="0" fillId="4" borderId="44" xfId="1" applyNumberFormat="1" applyFont="1" applyFill="1" applyBorder="1" applyAlignment="1">
      <alignment horizontal="center"/>
    </xf>
    <xf numFmtId="0" fontId="0" fillId="4" borderId="45" xfId="0" applyFill="1" applyBorder="1"/>
    <xf numFmtId="0" fontId="0" fillId="4" borderId="46" xfId="1" applyNumberFormat="1" applyFont="1" applyFill="1" applyBorder="1"/>
    <xf numFmtId="0" fontId="0" fillId="9" borderId="47" xfId="0" applyFill="1" applyBorder="1"/>
    <xf numFmtId="0" fontId="0" fillId="5" borderId="0" xfId="0" applyFill="1" applyBorder="1"/>
    <xf numFmtId="0" fontId="0" fillId="5" borderId="48" xfId="0" applyFill="1" applyBorder="1"/>
    <xf numFmtId="0" fontId="0" fillId="10" borderId="49" xfId="0" applyNumberFormat="1" applyFill="1" applyBorder="1"/>
    <xf numFmtId="0" fontId="0" fillId="5" borderId="40" xfId="0" applyFill="1" applyBorder="1"/>
    <xf numFmtId="0" fontId="0" fillId="5" borderId="39" xfId="0" applyFill="1" applyBorder="1" applyAlignment="1">
      <alignment horizontal="right"/>
    </xf>
    <xf numFmtId="8" fontId="0" fillId="7" borderId="2" xfId="0" applyNumberFormat="1" applyFill="1" applyBorder="1"/>
    <xf numFmtId="8" fontId="0" fillId="8" borderId="23" xfId="0" applyNumberFormat="1" applyFill="1" applyBorder="1"/>
    <xf numFmtId="0" fontId="0" fillId="5" borderId="44" xfId="0" applyFill="1" applyBorder="1"/>
    <xf numFmtId="0" fontId="0" fillId="5" borderId="44" xfId="0" applyFill="1" applyBorder="1" applyAlignment="1">
      <alignment horizontal="center"/>
    </xf>
    <xf numFmtId="8" fontId="0" fillId="7" borderId="4" xfId="0" applyNumberFormat="1" applyFill="1" applyBorder="1"/>
    <xf numFmtId="8" fontId="0" fillId="8" borderId="18" xfId="0" applyNumberFormat="1" applyFill="1" applyBorder="1"/>
    <xf numFmtId="8" fontId="0" fillId="2" borderId="43" xfId="0" applyNumberFormat="1" applyFill="1" applyBorder="1"/>
    <xf numFmtId="44" fontId="0" fillId="2" borderId="43" xfId="1" applyFont="1" applyFill="1" applyBorder="1"/>
    <xf numFmtId="44" fontId="0" fillId="5" borderId="39" xfId="1" applyFont="1" applyFill="1" applyBorder="1"/>
    <xf numFmtId="44" fontId="0" fillId="4" borderId="40" xfId="1" applyFont="1" applyFill="1" applyBorder="1" applyAlignment="1">
      <alignment horizontal="center"/>
    </xf>
    <xf numFmtId="44" fontId="0" fillId="4" borderId="39" xfId="1" applyFont="1" applyFill="1" applyBorder="1"/>
    <xf numFmtId="44" fontId="0" fillId="7" borderId="37" xfId="1" applyFont="1" applyFill="1" applyBorder="1"/>
    <xf numFmtId="44" fontId="0" fillId="4" borderId="34" xfId="1" applyFont="1" applyFill="1" applyBorder="1"/>
    <xf numFmtId="44" fontId="0" fillId="7" borderId="51" xfId="1" applyFont="1" applyFill="1" applyBorder="1"/>
    <xf numFmtId="44" fontId="0" fillId="4" borderId="7" xfId="1" applyFont="1" applyFill="1" applyBorder="1"/>
    <xf numFmtId="0" fontId="0" fillId="5" borderId="47" xfId="0" applyFill="1" applyBorder="1"/>
    <xf numFmtId="44" fontId="0" fillId="4" borderId="41" xfId="1" applyFont="1" applyFill="1" applyBorder="1"/>
    <xf numFmtId="44" fontId="0" fillId="5" borderId="40" xfId="1" applyFont="1" applyFill="1" applyBorder="1" applyAlignment="1">
      <alignment horizontal="center"/>
    </xf>
    <xf numFmtId="44" fontId="0" fillId="5" borderId="41" xfId="1" applyFont="1" applyFill="1" applyBorder="1"/>
    <xf numFmtId="44" fontId="0" fillId="9" borderId="47" xfId="1" applyFont="1" applyFill="1" applyBorder="1"/>
    <xf numFmtId="44" fontId="0" fillId="9" borderId="40" xfId="1" applyFont="1" applyFill="1" applyBorder="1"/>
    <xf numFmtId="44" fontId="0" fillId="2" borderId="43" xfId="0" applyNumberFormat="1" applyFill="1" applyBorder="1"/>
    <xf numFmtId="8" fontId="0" fillId="10" borderId="43" xfId="0" applyNumberFormat="1" applyFill="1" applyBorder="1"/>
    <xf numFmtId="44" fontId="0" fillId="4" borderId="44" xfId="1" applyFont="1" applyFill="1" applyBorder="1"/>
    <xf numFmtId="44" fontId="0" fillId="5" borderId="44" xfId="1" applyFont="1" applyFill="1" applyBorder="1"/>
    <xf numFmtId="8" fontId="0" fillId="7" borderId="10" xfId="1" applyNumberFormat="1" applyFont="1" applyFill="1" applyBorder="1"/>
    <xf numFmtId="0" fontId="0" fillId="4" borderId="54" xfId="0" applyFill="1" applyBorder="1"/>
    <xf numFmtId="0" fontId="0" fillId="4" borderId="55" xfId="0" applyFill="1" applyBorder="1"/>
    <xf numFmtId="44" fontId="0" fillId="4" borderId="1" xfId="0" applyNumberFormat="1" applyFill="1" applyBorder="1"/>
    <xf numFmtId="0" fontId="0" fillId="5" borderId="59" xfId="0" applyFill="1" applyBorder="1"/>
    <xf numFmtId="8" fontId="0" fillId="4" borderId="0" xfId="0" applyNumberFormat="1" applyFill="1" applyBorder="1"/>
    <xf numFmtId="44" fontId="0" fillId="4" borderId="0" xfId="0" applyNumberFormat="1" applyFill="1" applyBorder="1"/>
    <xf numFmtId="0" fontId="0" fillId="5" borderId="60" xfId="0" applyFill="1" applyBorder="1"/>
    <xf numFmtId="0" fontId="0" fillId="5" borderId="61" xfId="0" applyFill="1" applyBorder="1"/>
    <xf numFmtId="8" fontId="0" fillId="2" borderId="42" xfId="0" applyNumberFormat="1" applyFill="1" applyBorder="1"/>
    <xf numFmtId="44" fontId="0" fillId="2" borderId="19" xfId="0" applyNumberFormat="1" applyFill="1" applyBorder="1"/>
    <xf numFmtId="8" fontId="0" fillId="4" borderId="1" xfId="0" applyNumberFormat="1" applyFill="1" applyBorder="1"/>
    <xf numFmtId="44" fontId="0" fillId="4" borderId="59" xfId="1" applyFont="1" applyFill="1" applyBorder="1"/>
    <xf numFmtId="44" fontId="0" fillId="4" borderId="62" xfId="1" applyFont="1" applyFill="1" applyBorder="1"/>
    <xf numFmtId="44" fontId="0" fillId="10" borderId="63" xfId="1" applyFont="1" applyFill="1" applyBorder="1"/>
    <xf numFmtId="0" fontId="3" fillId="5" borderId="3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17" xfId="0" applyFont="1" applyFill="1" applyBorder="1"/>
    <xf numFmtId="0" fontId="3" fillId="0" borderId="0" xfId="0" applyFont="1"/>
    <xf numFmtId="0" fontId="3" fillId="4" borderId="4" xfId="0" applyFont="1" applyFill="1" applyBorder="1"/>
    <xf numFmtId="0" fontId="3" fillId="5" borderId="5" xfId="0" applyFont="1" applyFill="1" applyBorder="1"/>
    <xf numFmtId="0" fontId="3" fillId="4" borderId="12" xfId="0" applyFont="1" applyFill="1" applyBorder="1"/>
    <xf numFmtId="0" fontId="3" fillId="4" borderId="3" xfId="0" applyFont="1" applyFill="1" applyBorder="1"/>
    <xf numFmtId="0" fontId="3" fillId="4" borderId="10" xfId="0" applyFont="1" applyFill="1" applyBorder="1"/>
    <xf numFmtId="0" fontId="3" fillId="4" borderId="14" xfId="0" applyFont="1" applyFill="1" applyBorder="1"/>
    <xf numFmtId="0" fontId="3" fillId="4" borderId="5" xfId="0" applyFont="1" applyFill="1" applyBorder="1"/>
    <xf numFmtId="0" fontId="3" fillId="5" borderId="64" xfId="0" applyFont="1" applyFill="1" applyBorder="1"/>
    <xf numFmtId="0" fontId="3" fillId="4" borderId="65" xfId="0" applyFont="1" applyFill="1" applyBorder="1"/>
    <xf numFmtId="0" fontId="3" fillId="4" borderId="66" xfId="0" applyFont="1" applyFill="1" applyBorder="1"/>
    <xf numFmtId="0" fontId="3" fillId="4" borderId="67" xfId="0" applyFont="1" applyFill="1" applyBorder="1"/>
    <xf numFmtId="0" fontId="3" fillId="4" borderId="20" xfId="0" applyFont="1" applyFill="1" applyBorder="1"/>
    <xf numFmtId="0" fontId="3" fillId="5" borderId="22" xfId="0" applyFont="1" applyFill="1" applyBorder="1"/>
    <xf numFmtId="0" fontId="3" fillId="5" borderId="25" xfId="0" applyFont="1" applyFill="1" applyBorder="1"/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53" xfId="0" applyFont="1" applyFill="1" applyBorder="1" applyAlignment="1">
      <alignment horizontal="left"/>
    </xf>
    <xf numFmtId="0" fontId="2" fillId="5" borderId="34" xfId="0" applyFont="1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52" xfId="0" applyFill="1" applyBorder="1" applyAlignment="1">
      <alignment horizontal="left"/>
    </xf>
    <xf numFmtId="0" fontId="0" fillId="3" borderId="4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164" fontId="0" fillId="6" borderId="56" xfId="0" quotePrefix="1" applyNumberFormat="1" applyFill="1" applyBorder="1" applyAlignment="1">
      <alignment horizontal="center"/>
    </xf>
    <xf numFmtId="164" fontId="0" fillId="6" borderId="52" xfId="0" applyNumberFormat="1" applyFill="1" applyBorder="1" applyAlignment="1">
      <alignment horizontal="center"/>
    </xf>
    <xf numFmtId="164" fontId="0" fillId="6" borderId="58" xfId="0" applyNumberFormat="1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16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9" borderId="0" xfId="0" applyFont="1" applyFill="1" applyBorder="1"/>
    <xf numFmtId="44" fontId="4" fillId="0" borderId="0" xfId="1" applyFont="1"/>
    <xf numFmtId="0" fontId="4" fillId="14" borderId="0" xfId="0" applyFont="1" applyFill="1" applyBorder="1" applyAlignment="1">
      <alignment horizontal="center" wrapText="1"/>
    </xf>
    <xf numFmtId="44" fontId="4" fillId="3" borderId="0" xfId="1" applyFont="1" applyFill="1" applyBorder="1" applyAlignment="1">
      <alignment horizontal="center" wrapText="1"/>
    </xf>
    <xf numFmtId="10" fontId="4" fillId="3" borderId="0" xfId="2" applyNumberFormat="1" applyFont="1" applyFill="1" applyBorder="1" applyAlignment="1">
      <alignment horizontal="center" wrapText="1"/>
    </xf>
    <xf numFmtId="0" fontId="4" fillId="16" borderId="0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13" xfId="0" applyFont="1" applyFill="1" applyBorder="1"/>
    <xf numFmtId="9" fontId="4" fillId="4" borderId="0" xfId="2" applyFont="1" applyFill="1" applyBorder="1"/>
    <xf numFmtId="0" fontId="4" fillId="7" borderId="0" xfId="0" applyFont="1" applyFill="1" applyBorder="1" applyAlignment="1">
      <alignment horizontal="center"/>
    </xf>
    <xf numFmtId="44" fontId="4" fillId="7" borderId="0" xfId="0" applyNumberFormat="1" applyFont="1" applyFill="1" applyBorder="1" applyAlignment="1">
      <alignment horizontal="center"/>
    </xf>
    <xf numFmtId="44" fontId="4" fillId="0" borderId="0" xfId="0" applyNumberFormat="1" applyFont="1"/>
    <xf numFmtId="0" fontId="4" fillId="25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wrapText="1"/>
    </xf>
    <xf numFmtId="0" fontId="4" fillId="25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4" fillId="12" borderId="1" xfId="0" applyFont="1" applyFill="1" applyBorder="1" applyAlignment="1">
      <alignment horizontal="center" wrapText="1"/>
    </xf>
    <xf numFmtId="9" fontId="4" fillId="0" borderId="0" xfId="2" applyFont="1"/>
    <xf numFmtId="44" fontId="4" fillId="12" borderId="0" xfId="1" applyFont="1" applyFill="1" applyBorder="1" applyAlignment="1">
      <alignment horizontal="center"/>
    </xf>
    <xf numFmtId="44" fontId="4" fillId="19" borderId="0" xfId="1" applyFont="1" applyFill="1" applyBorder="1" applyAlignment="1">
      <alignment horizontal="center"/>
    </xf>
    <xf numFmtId="44" fontId="4" fillId="25" borderId="0" xfId="1" applyFont="1" applyFill="1" applyBorder="1" applyAlignment="1">
      <alignment horizontal="center"/>
    </xf>
    <xf numFmtId="8" fontId="4" fillId="0" borderId="0" xfId="0" applyNumberFormat="1" applyFont="1"/>
    <xf numFmtId="44" fontId="4" fillId="4" borderId="1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8" fontId="4" fillId="5" borderId="0" xfId="0" applyNumberFormat="1" applyFont="1" applyFill="1" applyBorder="1" applyAlignment="1">
      <alignment horizontal="center"/>
    </xf>
    <xf numFmtId="0" fontId="4" fillId="0" borderId="0" xfId="0" quotePrefix="1" applyFont="1" applyFill="1" applyBorder="1"/>
    <xf numFmtId="166" fontId="4" fillId="0" borderId="0" xfId="0" applyNumberFormat="1" applyFont="1"/>
    <xf numFmtId="8" fontId="4" fillId="7" borderId="0" xfId="0" applyNumberFormat="1" applyFont="1" applyFill="1" applyBorder="1" applyAlignment="1">
      <alignment horizontal="center"/>
    </xf>
    <xf numFmtId="0" fontId="4" fillId="24" borderId="0" xfId="0" applyFont="1" applyFill="1" applyBorder="1" applyAlignment="1">
      <alignment horizontal="center"/>
    </xf>
    <xf numFmtId="44" fontId="4" fillId="26" borderId="0" xfId="1" applyFont="1" applyFill="1" applyBorder="1" applyAlignment="1">
      <alignment horizontal="center"/>
    </xf>
    <xf numFmtId="0" fontId="4" fillId="23" borderId="0" xfId="0" quotePrefix="1" applyFont="1" applyFill="1" applyBorder="1" applyAlignment="1">
      <alignment horizontal="center"/>
    </xf>
    <xf numFmtId="0" fontId="4" fillId="23" borderId="0" xfId="0" applyFont="1" applyFill="1" applyBorder="1" applyAlignment="1">
      <alignment horizontal="center"/>
    </xf>
    <xf numFmtId="0" fontId="4" fillId="24" borderId="0" xfId="0" applyFont="1" applyFill="1" applyBorder="1"/>
    <xf numFmtId="44" fontId="4" fillId="29" borderId="1" xfId="1" applyFont="1" applyFill="1" applyBorder="1" applyAlignment="1">
      <alignment horizontal="center"/>
    </xf>
    <xf numFmtId="44" fontId="4" fillId="26" borderId="0" xfId="1" applyFont="1" applyFill="1" applyBorder="1" applyAlignment="1">
      <alignment horizontal="center"/>
    </xf>
    <xf numFmtId="0" fontId="4" fillId="23" borderId="11" xfId="0" applyFont="1" applyFill="1" applyBorder="1" applyAlignment="1">
      <alignment horizontal="center"/>
    </xf>
    <xf numFmtId="9" fontId="4" fillId="11" borderId="11" xfId="0" applyNumberFormat="1" applyFont="1" applyFill="1" applyBorder="1" applyAlignment="1">
      <alignment horizontal="center"/>
    </xf>
    <xf numFmtId="0" fontId="4" fillId="24" borderId="0" xfId="0" applyFont="1" applyFill="1" applyBorder="1" applyAlignment="1">
      <alignment horizontal="center"/>
    </xf>
    <xf numFmtId="44" fontId="4" fillId="29" borderId="0" xfId="1" applyFont="1" applyFill="1" applyBorder="1" applyAlignment="1">
      <alignment horizontal="center" wrapText="1"/>
    </xf>
    <xf numFmtId="44" fontId="4" fillId="21" borderId="0" xfId="1" applyFont="1" applyFill="1" applyBorder="1" applyAlignment="1">
      <alignment horizontal="center"/>
    </xf>
    <xf numFmtId="44" fontId="4" fillId="29" borderId="0" xfId="1" applyFont="1" applyFill="1" applyBorder="1" applyAlignment="1">
      <alignment horizontal="center"/>
    </xf>
    <xf numFmtId="44" fontId="4" fillId="21" borderId="0" xfId="1" applyFont="1" applyFill="1" applyBorder="1" applyAlignment="1">
      <alignment horizontal="center" wrapText="1"/>
    </xf>
    <xf numFmtId="44" fontId="4" fillId="29" borderId="1" xfId="1" applyFont="1" applyFill="1" applyBorder="1" applyAlignment="1">
      <alignment horizontal="center" wrapText="1"/>
    </xf>
    <xf numFmtId="44" fontId="4" fillId="21" borderId="1" xfId="1" applyFont="1" applyFill="1" applyBorder="1" applyAlignment="1">
      <alignment horizontal="center"/>
    </xf>
    <xf numFmtId="44" fontId="4" fillId="29" borderId="1" xfId="1" applyFont="1" applyFill="1" applyBorder="1" applyAlignment="1">
      <alignment horizontal="center"/>
    </xf>
    <xf numFmtId="44" fontId="4" fillId="21" borderId="1" xfId="1" applyFont="1" applyFill="1" applyBorder="1" applyAlignment="1">
      <alignment horizontal="center" wrapText="1"/>
    </xf>
    <xf numFmtId="44" fontId="4" fillId="29" borderId="0" xfId="1" applyFont="1" applyFill="1" applyBorder="1" applyAlignment="1">
      <alignment horizontal="center" wrapText="1"/>
    </xf>
    <xf numFmtId="0" fontId="4" fillId="17" borderId="0" xfId="0" applyFont="1" applyFill="1" applyBorder="1" applyAlignment="1">
      <alignment horizontal="center"/>
    </xf>
    <xf numFmtId="165" fontId="4" fillId="0" borderId="0" xfId="0" applyNumberFormat="1" applyFont="1"/>
    <xf numFmtId="0" fontId="4" fillId="21" borderId="0" xfId="0" applyFont="1" applyFill="1" applyBorder="1" applyAlignment="1">
      <alignment horizontal="center" wrapText="1"/>
    </xf>
    <xf numFmtId="0" fontId="4" fillId="21" borderId="0" xfId="0" applyFont="1" applyFill="1" applyBorder="1" applyAlignment="1">
      <alignment horizontal="center"/>
    </xf>
    <xf numFmtId="0" fontId="4" fillId="26" borderId="0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7" borderId="0" xfId="0" applyFont="1" applyFill="1" applyBorder="1"/>
    <xf numFmtId="0" fontId="4" fillId="18" borderId="0" xfId="0" applyFont="1" applyFill="1" applyBorder="1" applyAlignment="1">
      <alignment horizontal="center" wrapText="1"/>
    </xf>
    <xf numFmtId="44" fontId="4" fillId="18" borderId="0" xfId="1" applyFont="1" applyFill="1" applyBorder="1" applyAlignment="1">
      <alignment horizontal="center"/>
    </xf>
    <xf numFmtId="44" fontId="4" fillId="18" borderId="0" xfId="1" applyFont="1" applyFill="1" applyBorder="1" applyAlignment="1">
      <alignment horizontal="center" wrapText="1"/>
    </xf>
    <xf numFmtId="0" fontId="4" fillId="13" borderId="0" xfId="0" applyFont="1" applyFill="1" applyBorder="1"/>
    <xf numFmtId="8" fontId="4" fillId="20" borderId="0" xfId="0" applyNumberFormat="1" applyFont="1" applyFill="1" applyBorder="1"/>
    <xf numFmtId="2" fontId="4" fillId="20" borderId="0" xfId="0" applyNumberFormat="1" applyFont="1" applyFill="1" applyBorder="1"/>
    <xf numFmtId="44" fontId="4" fillId="20" borderId="0" xfId="0" applyNumberFormat="1" applyFont="1" applyFill="1" applyBorder="1"/>
    <xf numFmtId="0" fontId="4" fillId="20" borderId="0" xfId="0" applyFont="1" applyFill="1" applyBorder="1"/>
    <xf numFmtId="0" fontId="4" fillId="18" borderId="1" xfId="0" applyFont="1" applyFill="1" applyBorder="1" applyAlignment="1">
      <alignment horizontal="center" wrapText="1"/>
    </xf>
    <xf numFmtId="44" fontId="4" fillId="18" borderId="1" xfId="1" applyFont="1" applyFill="1" applyBorder="1" applyAlignment="1">
      <alignment horizontal="center"/>
    </xf>
    <xf numFmtId="44" fontId="4" fillId="18" borderId="1" xfId="1" applyFont="1" applyFill="1" applyBorder="1" applyAlignment="1">
      <alignment horizontal="center" wrapText="1"/>
    </xf>
    <xf numFmtId="0" fontId="4" fillId="21" borderId="0" xfId="0" applyFont="1" applyFill="1" applyBorder="1" applyAlignment="1">
      <alignment horizontal="center" wrapText="1"/>
    </xf>
    <xf numFmtId="0" fontId="4" fillId="18" borderId="0" xfId="0" applyFont="1" applyFill="1" applyBorder="1" applyAlignment="1">
      <alignment horizontal="center"/>
    </xf>
    <xf numFmtId="165" fontId="4" fillId="18" borderId="0" xfId="0" applyNumberFormat="1" applyFont="1" applyFill="1" applyBorder="1" applyAlignment="1">
      <alignment horizontal="center" wrapText="1"/>
    </xf>
    <xf numFmtId="44" fontId="4" fillId="18" borderId="0" xfId="0" applyNumberFormat="1" applyFont="1" applyFill="1" applyBorder="1" applyAlignment="1">
      <alignment horizontal="center"/>
    </xf>
    <xf numFmtId="0" fontId="4" fillId="26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/>
    <xf numFmtId="0" fontId="4" fillId="0" borderId="0" xfId="0" applyFont="1" applyAlignment="1">
      <alignment horizontal="center"/>
    </xf>
    <xf numFmtId="0" fontId="4" fillId="5" borderId="8" xfId="0" quotePrefix="1" applyFont="1" applyFill="1" applyBorder="1" applyAlignment="1">
      <alignment horizontal="center"/>
    </xf>
    <xf numFmtId="0" fontId="4" fillId="4" borderId="68" xfId="0" applyFont="1" applyFill="1" applyBorder="1"/>
    <xf numFmtId="0" fontId="4" fillId="5" borderId="8" xfId="0" applyFont="1" applyFill="1" applyBorder="1" applyAlignment="1">
      <alignment horizontal="center"/>
    </xf>
    <xf numFmtId="9" fontId="4" fillId="4" borderId="68" xfId="2" applyFont="1" applyFill="1" applyBorder="1"/>
    <xf numFmtId="10" fontId="4" fillId="0" borderId="0" xfId="2" applyNumberFormat="1" applyFont="1"/>
    <xf numFmtId="0" fontId="4" fillId="17" borderId="0" xfId="0" applyFont="1" applyFill="1" applyAlignment="1">
      <alignment horizontal="center"/>
    </xf>
    <xf numFmtId="0" fontId="4" fillId="17" borderId="0" xfId="0" applyFont="1" applyFill="1"/>
    <xf numFmtId="10" fontId="4" fillId="0" borderId="0" xfId="0" applyNumberFormat="1" applyFont="1"/>
    <xf numFmtId="0" fontId="4" fillId="13" borderId="8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68" xfId="0" applyFont="1" applyFill="1" applyBorder="1" applyAlignment="1">
      <alignment horizontal="center"/>
    </xf>
    <xf numFmtId="0" fontId="4" fillId="20" borderId="8" xfId="0" applyFont="1" applyFill="1" applyBorder="1" applyAlignment="1">
      <alignment horizontal="center"/>
    </xf>
    <xf numFmtId="0" fontId="4" fillId="15" borderId="68" xfId="0" applyFont="1" applyFill="1" applyBorder="1"/>
    <xf numFmtId="0" fontId="4" fillId="24" borderId="0" xfId="0" applyFont="1" applyFill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23" borderId="11" xfId="0" applyFont="1" applyFill="1" applyBorder="1" applyAlignment="1">
      <alignment horizontal="center"/>
    </xf>
    <xf numFmtId="0" fontId="4" fillId="23" borderId="68" xfId="0" applyFont="1" applyFill="1" applyBorder="1" applyAlignment="1">
      <alignment horizontal="center"/>
    </xf>
    <xf numFmtId="0" fontId="4" fillId="24" borderId="0" xfId="0" applyFont="1" applyFill="1" applyBorder="1" applyAlignment="1"/>
    <xf numFmtId="0" fontId="4" fillId="11" borderId="8" xfId="0" applyFont="1" applyFill="1" applyBorder="1" applyAlignment="1">
      <alignment horizontal="center"/>
    </xf>
    <xf numFmtId="0" fontId="4" fillId="11" borderId="68" xfId="0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11" borderId="68" xfId="0" applyFont="1" applyFill="1" applyBorder="1"/>
    <xf numFmtId="0" fontId="4" fillId="24" borderId="0" xfId="0" applyFont="1" applyFill="1"/>
    <xf numFmtId="9" fontId="4" fillId="11" borderId="68" xfId="2" applyFont="1" applyFill="1" applyBorder="1"/>
    <xf numFmtId="0" fontId="4" fillId="27" borderId="0" xfId="0" applyFont="1" applyFill="1" applyAlignment="1">
      <alignment horizontal="center"/>
    </xf>
    <xf numFmtId="0" fontId="4" fillId="22" borderId="5" xfId="0" applyFont="1" applyFill="1" applyBorder="1" applyAlignment="1">
      <alignment horizontal="center"/>
    </xf>
    <xf numFmtId="0" fontId="4" fillId="27" borderId="0" xfId="0" applyFont="1" applyFill="1"/>
    <xf numFmtId="0" fontId="5" fillId="28" borderId="5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28" borderId="68" xfId="0" applyFont="1" applyFill="1" applyBorder="1"/>
    <xf numFmtId="9" fontId="4" fillId="28" borderId="68" xfId="2" applyFont="1" applyFill="1" applyBorder="1"/>
    <xf numFmtId="0" fontId="4" fillId="22" borderId="0" xfId="0" applyFont="1" applyFill="1" applyAlignment="1">
      <alignment horizontal="center"/>
    </xf>
    <xf numFmtId="0" fontId="4" fillId="28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5B"/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4"/>
  <sheetViews>
    <sheetView tabSelected="1" zoomScale="70" zoomScaleNormal="70" workbookViewId="0">
      <selection activeCell="U20" sqref="U20"/>
    </sheetView>
  </sheetViews>
  <sheetFormatPr defaultRowHeight="14.6" x14ac:dyDescent="0.4"/>
  <cols>
    <col min="1" max="1" width="30.69140625" style="109" customWidth="1"/>
    <col min="2" max="3" width="12.3828125" bestFit="1" customWidth="1"/>
    <col min="4" max="4" width="13.15234375" bestFit="1" customWidth="1"/>
    <col min="5" max="5" width="13.53515625" customWidth="1"/>
    <col min="6" max="6" width="13.15234375" bestFit="1" customWidth="1"/>
    <col min="7" max="7" width="12.3828125" bestFit="1" customWidth="1"/>
    <col min="8" max="8" width="13.15234375" bestFit="1" customWidth="1"/>
    <col min="9" max="9" width="13.53515625" bestFit="1" customWidth="1"/>
    <col min="10" max="17" width="13.15234375" bestFit="1" customWidth="1"/>
    <col min="18" max="18" width="14" bestFit="1" customWidth="1"/>
    <col min="20" max="20" width="29.53515625" style="109" customWidth="1"/>
    <col min="21" max="21" width="14.3828125" bestFit="1" customWidth="1"/>
    <col min="22" max="22" width="14.69140625" bestFit="1" customWidth="1"/>
    <col min="23" max="23" width="14.3828125" bestFit="1" customWidth="1"/>
    <col min="24" max="24" width="14.84375" bestFit="1" customWidth="1"/>
    <col min="25" max="27" width="14.3828125" bestFit="1" customWidth="1"/>
    <col min="28" max="28" width="14.84375" bestFit="1" customWidth="1"/>
    <col min="29" max="29" width="14.3828125" bestFit="1" customWidth="1"/>
    <col min="30" max="31" width="14.3046875" bestFit="1" customWidth="1"/>
    <col min="32" max="32" width="14.84375" bestFit="1" customWidth="1"/>
    <col min="33" max="33" width="13.84375" bestFit="1" customWidth="1"/>
    <col min="34" max="35" width="14.3046875" bestFit="1" customWidth="1"/>
    <col min="36" max="36" width="14.53515625" bestFit="1" customWidth="1"/>
    <col min="37" max="37" width="16.84375" bestFit="1" customWidth="1"/>
  </cols>
  <sheetData>
    <row r="1" spans="1:37" x14ac:dyDescent="0.4">
      <c r="A1" s="124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6"/>
      <c r="Q1" s="126"/>
      <c r="R1" s="127"/>
      <c r="T1" s="124" t="s">
        <v>7</v>
      </c>
      <c r="U1" s="125"/>
      <c r="V1" s="125"/>
      <c r="W1" s="125"/>
      <c r="X1" s="125"/>
      <c r="Y1" s="127"/>
      <c r="AA1" s="154" t="s">
        <v>7</v>
      </c>
      <c r="AB1" s="155"/>
      <c r="AC1" s="155"/>
      <c r="AD1" s="155"/>
      <c r="AE1" s="155"/>
      <c r="AF1" s="155"/>
      <c r="AG1" s="155"/>
      <c r="AH1" s="155"/>
      <c r="AI1" s="155"/>
      <c r="AJ1" s="156"/>
    </row>
    <row r="2" spans="1:37" x14ac:dyDescent="0.4">
      <c r="A2" s="128" t="s">
        <v>21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30"/>
      <c r="R2" s="131"/>
      <c r="T2" s="128" t="s">
        <v>96</v>
      </c>
      <c r="U2" s="129"/>
      <c r="V2" s="129"/>
      <c r="W2" s="129"/>
      <c r="X2" s="129"/>
      <c r="Y2" s="131"/>
      <c r="AA2" s="132" t="s">
        <v>82</v>
      </c>
      <c r="AB2" s="133"/>
      <c r="AC2" s="133"/>
      <c r="AD2" s="133"/>
      <c r="AE2" s="133"/>
      <c r="AF2" s="133"/>
      <c r="AG2" s="133"/>
      <c r="AH2" s="133"/>
      <c r="AI2" s="133"/>
      <c r="AJ2" s="134"/>
    </row>
    <row r="3" spans="1:37" ht="15" thickBot="1" x14ac:dyDescent="0.45">
      <c r="A3" s="135" t="s">
        <v>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  <c r="Q3" s="137"/>
      <c r="R3" s="138"/>
      <c r="T3" s="135" t="s">
        <v>9</v>
      </c>
      <c r="U3" s="136"/>
      <c r="V3" s="136"/>
      <c r="W3" s="136"/>
      <c r="X3" s="136"/>
      <c r="Y3" s="138"/>
      <c r="AA3" s="157" t="s">
        <v>105</v>
      </c>
      <c r="AB3" s="158"/>
      <c r="AC3" s="158"/>
      <c r="AD3" s="158"/>
      <c r="AE3" s="158"/>
      <c r="AF3" s="158"/>
      <c r="AG3" s="158"/>
      <c r="AH3" s="158"/>
      <c r="AI3" s="158"/>
      <c r="AJ3" s="159"/>
    </row>
    <row r="4" spans="1:37" x14ac:dyDescent="0.4">
      <c r="A4" s="105"/>
      <c r="B4" s="26" t="s">
        <v>63</v>
      </c>
      <c r="C4" s="3" t="s">
        <v>64</v>
      </c>
      <c r="D4" s="27" t="s">
        <v>20</v>
      </c>
      <c r="E4" s="37" t="s">
        <v>70</v>
      </c>
      <c r="F4" s="1" t="s">
        <v>2</v>
      </c>
      <c r="G4" s="1" t="s">
        <v>3</v>
      </c>
      <c r="H4" s="27" t="s">
        <v>4</v>
      </c>
      <c r="I4" s="37" t="s">
        <v>71</v>
      </c>
      <c r="J4" s="1" t="s">
        <v>5</v>
      </c>
      <c r="K4" s="1" t="s">
        <v>6</v>
      </c>
      <c r="L4" s="27" t="s">
        <v>65</v>
      </c>
      <c r="M4" s="37" t="s">
        <v>72</v>
      </c>
      <c r="N4" s="1" t="s">
        <v>66</v>
      </c>
      <c r="O4" s="1" t="s">
        <v>67</v>
      </c>
      <c r="P4" s="27" t="s">
        <v>68</v>
      </c>
      <c r="Q4" s="37" t="s">
        <v>73</v>
      </c>
      <c r="R4" s="45" t="s">
        <v>74</v>
      </c>
      <c r="T4" s="117"/>
      <c r="U4" s="2" t="s">
        <v>101</v>
      </c>
      <c r="V4" s="2" t="s">
        <v>102</v>
      </c>
      <c r="W4" s="2" t="s">
        <v>103</v>
      </c>
      <c r="X4" s="2" t="s">
        <v>104</v>
      </c>
      <c r="Y4" s="94" t="s">
        <v>74</v>
      </c>
      <c r="AA4" s="149" t="s">
        <v>83</v>
      </c>
      <c r="AB4" s="150"/>
      <c r="AC4" s="60"/>
      <c r="AD4" s="60"/>
      <c r="AE4" s="150" t="s">
        <v>90</v>
      </c>
      <c r="AF4" s="150"/>
      <c r="AG4" s="150"/>
      <c r="AH4" s="150"/>
      <c r="AI4" s="60"/>
      <c r="AJ4" s="94"/>
    </row>
    <row r="5" spans="1:37" x14ac:dyDescent="0.4">
      <c r="A5" s="106" t="s">
        <v>0</v>
      </c>
      <c r="B5" s="4">
        <v>275</v>
      </c>
      <c r="C5" s="5">
        <v>250</v>
      </c>
      <c r="D5" s="32">
        <v>300</v>
      </c>
      <c r="E5" s="38">
        <f>SUM(B5:D5)</f>
        <v>825</v>
      </c>
      <c r="F5" s="35">
        <v>400</v>
      </c>
      <c r="G5" s="6">
        <v>375</v>
      </c>
      <c r="H5" s="32">
        <v>425</v>
      </c>
      <c r="I5" s="38">
        <f>SUM(F5:H5)</f>
        <v>1200</v>
      </c>
      <c r="J5" s="35">
        <v>425</v>
      </c>
      <c r="K5" s="6">
        <v>425</v>
      </c>
      <c r="L5" s="32">
        <v>425</v>
      </c>
      <c r="M5" s="38">
        <f>SUM(J5:L5)</f>
        <v>1275</v>
      </c>
      <c r="N5" s="35">
        <v>425</v>
      </c>
      <c r="O5" s="6">
        <v>425</v>
      </c>
      <c r="P5" s="32">
        <v>425</v>
      </c>
      <c r="Q5" s="38">
        <f>SUM(N5:P5)</f>
        <v>1275</v>
      </c>
      <c r="R5" s="46">
        <f>E5+I5+M5+Q5</f>
        <v>4575</v>
      </c>
      <c r="T5" s="118" t="s">
        <v>23</v>
      </c>
      <c r="U5" s="12">
        <f>X16</f>
        <v>20625</v>
      </c>
      <c r="V5" s="12">
        <f>AB16</f>
        <v>30000</v>
      </c>
      <c r="W5" s="12">
        <f>AF16</f>
        <v>31875</v>
      </c>
      <c r="X5" s="12">
        <f>AJ16</f>
        <v>31875</v>
      </c>
      <c r="Y5" s="102">
        <f>SUM(U5:X5)</f>
        <v>114375</v>
      </c>
      <c r="AA5" s="151" t="s">
        <v>84</v>
      </c>
      <c r="AB5" s="152"/>
      <c r="AC5" s="96">
        <f>X18</f>
        <v>16500</v>
      </c>
      <c r="AD5" s="60"/>
      <c r="AE5" s="152" t="s">
        <v>93</v>
      </c>
      <c r="AF5" s="152"/>
      <c r="AG5" s="152"/>
      <c r="AH5" s="152"/>
      <c r="AI5" s="96">
        <f>X31</f>
        <v>1265.5999999999999</v>
      </c>
      <c r="AJ5" s="94"/>
    </row>
    <row r="6" spans="1:37" x14ac:dyDescent="0.4">
      <c r="A6" s="107" t="s">
        <v>22</v>
      </c>
      <c r="B6" s="12">
        <v>25</v>
      </c>
      <c r="C6" s="12">
        <v>25</v>
      </c>
      <c r="D6" s="33">
        <v>25</v>
      </c>
      <c r="E6" s="39">
        <v>25</v>
      </c>
      <c r="F6" s="14">
        <v>25</v>
      </c>
      <c r="G6" s="12">
        <v>25</v>
      </c>
      <c r="H6" s="33">
        <v>25</v>
      </c>
      <c r="I6" s="39">
        <v>25</v>
      </c>
      <c r="J6" s="14">
        <v>25</v>
      </c>
      <c r="K6" s="12">
        <v>25</v>
      </c>
      <c r="L6" s="33">
        <v>25</v>
      </c>
      <c r="M6" s="39">
        <v>25</v>
      </c>
      <c r="N6" s="14">
        <v>25</v>
      </c>
      <c r="O6" s="12">
        <v>25</v>
      </c>
      <c r="P6" s="33">
        <v>25</v>
      </c>
      <c r="Q6" s="39">
        <v>25</v>
      </c>
      <c r="R6" s="47">
        <v>25</v>
      </c>
      <c r="T6" s="119" t="s">
        <v>97</v>
      </c>
      <c r="U6" s="13">
        <f>-E63</f>
        <v>-13282.5</v>
      </c>
      <c r="V6" s="13">
        <f>-I63</f>
        <v>-19320.000000000004</v>
      </c>
      <c r="W6" s="13">
        <f>-M63</f>
        <v>-20527.500000000004</v>
      </c>
      <c r="X6" s="13">
        <f>-Q63</f>
        <v>-20527.500000000004</v>
      </c>
      <c r="Y6" s="103">
        <f t="shared" ref="Y6:Y9" si="0">SUM(U6:X6)</f>
        <v>-73657.500000000015</v>
      </c>
      <c r="AA6" s="151" t="s">
        <v>85</v>
      </c>
      <c r="AB6" s="152"/>
      <c r="AC6" s="96">
        <f>X20+X21</f>
        <v>4062.5</v>
      </c>
      <c r="AD6" s="60"/>
      <c r="AE6" s="161" t="s">
        <v>91</v>
      </c>
      <c r="AF6" s="161"/>
      <c r="AG6" s="161"/>
      <c r="AH6" s="161"/>
      <c r="AI6" s="93">
        <f>X37</f>
        <v>3000</v>
      </c>
      <c r="AJ6" s="94"/>
    </row>
    <row r="7" spans="1:37" ht="15" thickBot="1" x14ac:dyDescent="0.45">
      <c r="A7" s="108" t="s">
        <v>23</v>
      </c>
      <c r="B7" s="17">
        <f>B5*B6</f>
        <v>6875</v>
      </c>
      <c r="C7" s="17">
        <f>C5*C6</f>
        <v>6250</v>
      </c>
      <c r="D7" s="34">
        <f>D5*D6</f>
        <v>7500</v>
      </c>
      <c r="E7" s="49">
        <f>SUM(B7:D7)</f>
        <v>20625</v>
      </c>
      <c r="F7" s="36">
        <f>F5*F6</f>
        <v>10000</v>
      </c>
      <c r="G7" s="17">
        <f>G5*G6</f>
        <v>9375</v>
      </c>
      <c r="H7" s="34">
        <f>H5*H6</f>
        <v>10625</v>
      </c>
      <c r="I7" s="49">
        <f>SUM(F7:H7)</f>
        <v>30000</v>
      </c>
      <c r="J7" s="36">
        <f t="shared" ref="J7:P7" si="1">J5*J6</f>
        <v>10625</v>
      </c>
      <c r="K7" s="17">
        <f t="shared" si="1"/>
        <v>10625</v>
      </c>
      <c r="L7" s="34">
        <f t="shared" si="1"/>
        <v>10625</v>
      </c>
      <c r="M7" s="49">
        <f>SUM(J7:L7)</f>
        <v>31875</v>
      </c>
      <c r="N7" s="36">
        <f t="shared" si="1"/>
        <v>10625</v>
      </c>
      <c r="O7" s="17">
        <f t="shared" si="1"/>
        <v>10625</v>
      </c>
      <c r="P7" s="34">
        <f t="shared" si="1"/>
        <v>10625</v>
      </c>
      <c r="Q7" s="49">
        <f>SUM(N7:P7)</f>
        <v>31875</v>
      </c>
      <c r="R7" s="49">
        <f>E7+I7+M7+Q7</f>
        <v>114375</v>
      </c>
      <c r="T7" s="118" t="s">
        <v>98</v>
      </c>
      <c r="U7" s="12">
        <f>SUM(U5:U6)</f>
        <v>7342.5</v>
      </c>
      <c r="V7" s="12">
        <f t="shared" ref="V7:X7" si="2">SUM(V5:V6)</f>
        <v>10679.999999999996</v>
      </c>
      <c r="W7" s="12">
        <f t="shared" si="2"/>
        <v>11347.499999999996</v>
      </c>
      <c r="X7" s="12">
        <f t="shared" si="2"/>
        <v>11347.499999999996</v>
      </c>
      <c r="Y7" s="102">
        <f t="shared" si="0"/>
        <v>40717.499999999985</v>
      </c>
      <c r="AA7" s="151" t="s">
        <v>89</v>
      </c>
      <c r="AB7" s="152"/>
      <c r="AC7" s="95">
        <f>E29</f>
        <v>6320</v>
      </c>
      <c r="AD7" s="60"/>
      <c r="AE7" s="152" t="s">
        <v>92</v>
      </c>
      <c r="AF7" s="152"/>
      <c r="AG7" s="152"/>
      <c r="AH7" s="152"/>
      <c r="AI7" s="100">
        <f>SUM(AI5:AI6)</f>
        <v>4265.6000000000004</v>
      </c>
      <c r="AJ7" s="94"/>
    </row>
    <row r="8" spans="1:37" ht="15.45" thickTop="1" thickBot="1" x14ac:dyDescent="0.45">
      <c r="T8" s="119" t="s">
        <v>99</v>
      </c>
      <c r="U8" s="13">
        <f>-E73</f>
        <v>-2445</v>
      </c>
      <c r="V8" s="13">
        <f>-I73</f>
        <v>-2670</v>
      </c>
      <c r="W8" s="13">
        <f>-M73</f>
        <v>-2715</v>
      </c>
      <c r="X8" s="13">
        <f>-Q73</f>
        <v>-2715</v>
      </c>
      <c r="Y8" s="103">
        <f t="shared" si="0"/>
        <v>-10545</v>
      </c>
      <c r="AA8" s="151" t="s">
        <v>86</v>
      </c>
      <c r="AB8" s="152"/>
      <c r="AC8" s="96">
        <f>E16*B59</f>
        <v>13202.000000000002</v>
      </c>
      <c r="AD8" s="60"/>
      <c r="AE8" s="152"/>
      <c r="AF8" s="152"/>
      <c r="AG8" s="152"/>
      <c r="AH8" s="152"/>
      <c r="AI8" s="19"/>
      <c r="AJ8" s="94"/>
    </row>
    <row r="9" spans="1:37" ht="15" thickBot="1" x14ac:dyDescent="0.45">
      <c r="A9" s="124" t="s">
        <v>7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6"/>
      <c r="Q9" s="126"/>
      <c r="R9" s="127"/>
      <c r="T9" s="120" t="s">
        <v>100</v>
      </c>
      <c r="U9" s="25">
        <f>SUM(U7:U8)</f>
        <v>4897.5</v>
      </c>
      <c r="V9" s="25">
        <f t="shared" ref="V9:X9" si="3">SUM(V7:V8)</f>
        <v>8009.9999999999964</v>
      </c>
      <c r="W9" s="25">
        <f t="shared" si="3"/>
        <v>8632.4999999999964</v>
      </c>
      <c r="X9" s="25">
        <f t="shared" si="3"/>
        <v>8632.4999999999964</v>
      </c>
      <c r="Y9" s="104">
        <f t="shared" si="0"/>
        <v>30172.499999999989</v>
      </c>
      <c r="AA9" s="160" t="s">
        <v>87</v>
      </c>
      <c r="AB9" s="161"/>
      <c r="AC9" s="96">
        <f>X37</f>
        <v>3000</v>
      </c>
      <c r="AD9" s="60"/>
      <c r="AE9" s="148" t="s">
        <v>94</v>
      </c>
      <c r="AF9" s="148"/>
      <c r="AG9" s="148"/>
      <c r="AH9" s="148"/>
      <c r="AI9" s="101">
        <f>AC10-AI7</f>
        <v>38818.9</v>
      </c>
      <c r="AJ9" s="94"/>
    </row>
    <row r="10" spans="1:37" ht="15.45" thickTop="1" thickBot="1" x14ac:dyDescent="0.45">
      <c r="A10" s="128" t="s">
        <v>8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30"/>
      <c r="Q10" s="130"/>
      <c r="R10" s="131"/>
      <c r="AA10" s="162" t="s">
        <v>88</v>
      </c>
      <c r="AB10" s="153"/>
      <c r="AC10" s="99">
        <f>SUM(AC5:AC9)</f>
        <v>43084.5</v>
      </c>
      <c r="AD10" s="97"/>
      <c r="AE10" s="153" t="s">
        <v>95</v>
      </c>
      <c r="AF10" s="153"/>
      <c r="AG10" s="153"/>
      <c r="AH10" s="153"/>
      <c r="AI10" s="100">
        <f>AI7+AI9</f>
        <v>43084.5</v>
      </c>
      <c r="AJ10" s="98"/>
    </row>
    <row r="11" spans="1:37" ht="15" thickBot="1" x14ac:dyDescent="0.45">
      <c r="A11" s="135" t="s">
        <v>9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  <c r="Q11" s="137"/>
      <c r="R11" s="138"/>
    </row>
    <row r="12" spans="1:37" x14ac:dyDescent="0.4">
      <c r="A12" s="105"/>
      <c r="B12" s="26" t="s">
        <v>63</v>
      </c>
      <c r="C12" s="3" t="s">
        <v>64</v>
      </c>
      <c r="D12" s="43" t="s">
        <v>20</v>
      </c>
      <c r="E12" s="37" t="s">
        <v>70</v>
      </c>
      <c r="F12" s="1" t="s">
        <v>2</v>
      </c>
      <c r="G12" s="1" t="s">
        <v>3</v>
      </c>
      <c r="H12" s="27" t="s">
        <v>4</v>
      </c>
      <c r="I12" s="37" t="s">
        <v>71</v>
      </c>
      <c r="J12" s="1" t="s">
        <v>5</v>
      </c>
      <c r="K12" s="1" t="s">
        <v>6</v>
      </c>
      <c r="L12" s="27" t="s">
        <v>65</v>
      </c>
      <c r="M12" s="37" t="s">
        <v>72</v>
      </c>
      <c r="N12" s="1" t="s">
        <v>66</v>
      </c>
      <c r="O12" s="1" t="s">
        <v>67</v>
      </c>
      <c r="P12" s="27" t="s">
        <v>68</v>
      </c>
      <c r="Q12" s="61" t="s">
        <v>73</v>
      </c>
      <c r="R12" s="45" t="s">
        <v>74</v>
      </c>
      <c r="T12" s="124" t="s">
        <v>7</v>
      </c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  <c r="AJ12" s="126"/>
      <c r="AK12" s="127"/>
    </row>
    <row r="13" spans="1:37" x14ac:dyDescent="0.4">
      <c r="A13" s="106" t="s">
        <v>0</v>
      </c>
      <c r="B13" s="6">
        <f>B5</f>
        <v>275</v>
      </c>
      <c r="C13" s="6">
        <f>C5</f>
        <v>250</v>
      </c>
      <c r="D13" s="32">
        <f>D5</f>
        <v>300</v>
      </c>
      <c r="E13" s="38">
        <f>SUM(B13:D13)</f>
        <v>825</v>
      </c>
      <c r="F13" s="35">
        <f>F5</f>
        <v>400</v>
      </c>
      <c r="G13" s="6">
        <f>G5</f>
        <v>375</v>
      </c>
      <c r="H13" s="32">
        <f>H5</f>
        <v>425</v>
      </c>
      <c r="I13" s="38">
        <f>SUM(F13:H13)</f>
        <v>1200</v>
      </c>
      <c r="J13" s="35">
        <f t="shared" ref="J13:P13" si="4">J5</f>
        <v>425</v>
      </c>
      <c r="K13" s="6">
        <f t="shared" si="4"/>
        <v>425</v>
      </c>
      <c r="L13" s="32">
        <f t="shared" si="4"/>
        <v>425</v>
      </c>
      <c r="M13" s="38">
        <f>SUM(J13:L13)</f>
        <v>1275</v>
      </c>
      <c r="N13" s="35">
        <f t="shared" si="4"/>
        <v>425</v>
      </c>
      <c r="O13" s="6">
        <f t="shared" si="4"/>
        <v>425</v>
      </c>
      <c r="P13" s="32">
        <f t="shared" si="4"/>
        <v>425</v>
      </c>
      <c r="Q13" s="57">
        <f>SUM(N13:P13)</f>
        <v>1275</v>
      </c>
      <c r="R13" s="63">
        <f>E13+I13+M13+Q13</f>
        <v>4575</v>
      </c>
      <c r="T13" s="132" t="s">
        <v>11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4"/>
    </row>
    <row r="14" spans="1:37" ht="15" thickBot="1" x14ac:dyDescent="0.45">
      <c r="A14" s="107" t="s">
        <v>24</v>
      </c>
      <c r="B14" s="5">
        <f>0.4*C13</f>
        <v>100</v>
      </c>
      <c r="C14" s="5">
        <f>0.4*D13</f>
        <v>120</v>
      </c>
      <c r="D14" s="41">
        <f>0.4*F13</f>
        <v>160</v>
      </c>
      <c r="E14" s="48">
        <f>SUM(B14:D14)</f>
        <v>380</v>
      </c>
      <c r="F14" s="44">
        <f>0.4*G13</f>
        <v>150</v>
      </c>
      <c r="G14" s="5">
        <f>0.4*H13</f>
        <v>170</v>
      </c>
      <c r="H14" s="41">
        <f>0.4*J13</f>
        <v>170</v>
      </c>
      <c r="I14" s="48">
        <f>SUM(F14:H14)</f>
        <v>490</v>
      </c>
      <c r="J14" s="44">
        <f t="shared" ref="J14:N14" si="5">0.4*K13</f>
        <v>170</v>
      </c>
      <c r="K14" s="5">
        <f t="shared" si="5"/>
        <v>170</v>
      </c>
      <c r="L14" s="41">
        <f>0.4*N13</f>
        <v>170</v>
      </c>
      <c r="M14" s="48">
        <f>SUM(J14:L14)</f>
        <v>510</v>
      </c>
      <c r="N14" s="44">
        <f t="shared" si="5"/>
        <v>170</v>
      </c>
      <c r="O14" s="5">
        <f>0.4*R13</f>
        <v>1830</v>
      </c>
      <c r="P14" s="41">
        <f>0.4*R13</f>
        <v>1830</v>
      </c>
      <c r="Q14" s="58">
        <f>SUM(N14:P14)</f>
        <v>3830</v>
      </c>
      <c r="R14" s="63">
        <f t="shared" ref="R14:R16" si="6">E14+I14+M14+Q14</f>
        <v>5210</v>
      </c>
      <c r="T14" s="135" t="s">
        <v>9</v>
      </c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7"/>
      <c r="AJ14" s="137"/>
      <c r="AK14" s="138"/>
    </row>
    <row r="15" spans="1:37" x14ac:dyDescent="0.4">
      <c r="A15" s="110" t="s">
        <v>10</v>
      </c>
      <c r="B15" s="7">
        <f>-0.6*B13</f>
        <v>-165</v>
      </c>
      <c r="C15" s="7">
        <f>-B14</f>
        <v>-100</v>
      </c>
      <c r="D15" s="8">
        <f>-C14</f>
        <v>-120</v>
      </c>
      <c r="E15" s="48">
        <f>SUM(B15:D15)</f>
        <v>-385</v>
      </c>
      <c r="F15" s="30">
        <f>-D14</f>
        <v>-160</v>
      </c>
      <c r="G15" s="7">
        <f t="shared" ref="G15:O15" si="7">-F14</f>
        <v>-150</v>
      </c>
      <c r="H15" s="8">
        <f t="shared" si="7"/>
        <v>-170</v>
      </c>
      <c r="I15" s="48">
        <f>SUM(F15:H15)</f>
        <v>-480</v>
      </c>
      <c r="J15" s="30">
        <f>-H14</f>
        <v>-170</v>
      </c>
      <c r="K15" s="7">
        <f t="shared" si="7"/>
        <v>-170</v>
      </c>
      <c r="L15" s="8">
        <f t="shared" si="7"/>
        <v>-170</v>
      </c>
      <c r="M15" s="48">
        <f>SUM(J15:L15)</f>
        <v>-510</v>
      </c>
      <c r="N15" s="30">
        <f>-L14</f>
        <v>-170</v>
      </c>
      <c r="O15" s="7">
        <f t="shared" si="7"/>
        <v>-170</v>
      </c>
      <c r="P15" s="8">
        <f>-N14</f>
        <v>-170</v>
      </c>
      <c r="Q15" s="58">
        <f>SUM(N15:P15)</f>
        <v>-510</v>
      </c>
      <c r="R15" s="63">
        <f t="shared" si="6"/>
        <v>-1885</v>
      </c>
      <c r="T15" s="111"/>
      <c r="U15" s="26" t="s">
        <v>63</v>
      </c>
      <c r="V15" s="3" t="s">
        <v>64</v>
      </c>
      <c r="W15" s="43" t="s">
        <v>20</v>
      </c>
      <c r="X15" s="80" t="s">
        <v>70</v>
      </c>
      <c r="Y15" s="1" t="s">
        <v>2</v>
      </c>
      <c r="Z15" s="1" t="s">
        <v>3</v>
      </c>
      <c r="AA15" s="27" t="s">
        <v>4</v>
      </c>
      <c r="AB15" s="37" t="s">
        <v>71</v>
      </c>
      <c r="AC15" s="1" t="s">
        <v>5</v>
      </c>
      <c r="AD15" s="1" t="s">
        <v>6</v>
      </c>
      <c r="AE15" s="27" t="s">
        <v>65</v>
      </c>
      <c r="AF15" s="37" t="s">
        <v>72</v>
      </c>
      <c r="AG15" s="1" t="s">
        <v>66</v>
      </c>
      <c r="AH15" s="1" t="s">
        <v>67</v>
      </c>
      <c r="AI15" s="27" t="s">
        <v>68</v>
      </c>
      <c r="AJ15" s="61" t="s">
        <v>73</v>
      </c>
      <c r="AK15" s="45" t="s">
        <v>74</v>
      </c>
    </row>
    <row r="16" spans="1:37" ht="15" thickBot="1" x14ac:dyDescent="0.45">
      <c r="A16" s="108" t="s">
        <v>1</v>
      </c>
      <c r="B16" s="15">
        <f>SUM(B13:B15)</f>
        <v>210</v>
      </c>
      <c r="C16" s="15">
        <f>SUM(C13:C15)</f>
        <v>270</v>
      </c>
      <c r="D16" s="42">
        <f>SUM(D13:D15)</f>
        <v>340</v>
      </c>
      <c r="E16" s="50">
        <f>SUM(B16:D16)</f>
        <v>820</v>
      </c>
      <c r="F16" s="51">
        <f>SUM(F13:F15)</f>
        <v>390</v>
      </c>
      <c r="G16" s="52">
        <f>SUM(G13:G15)</f>
        <v>395</v>
      </c>
      <c r="H16" s="53">
        <f>SUM(H13:H15)</f>
        <v>425</v>
      </c>
      <c r="I16" s="50">
        <f>SUM(F16:H16)</f>
        <v>1210</v>
      </c>
      <c r="J16" s="51">
        <f t="shared" ref="J16:P16" si="8">SUM(J13:J15)</f>
        <v>425</v>
      </c>
      <c r="K16" s="52">
        <f t="shared" si="8"/>
        <v>425</v>
      </c>
      <c r="L16" s="53">
        <f t="shared" si="8"/>
        <v>425</v>
      </c>
      <c r="M16" s="50">
        <f>SUM(J16:L16)</f>
        <v>1275</v>
      </c>
      <c r="N16" s="51">
        <f t="shared" si="8"/>
        <v>425</v>
      </c>
      <c r="O16" s="52">
        <f t="shared" si="8"/>
        <v>2085</v>
      </c>
      <c r="P16" s="53">
        <f t="shared" si="8"/>
        <v>2085</v>
      </c>
      <c r="Q16" s="62">
        <f>SUM(N16:P16)</f>
        <v>4595</v>
      </c>
      <c r="R16" s="54">
        <f t="shared" si="6"/>
        <v>7900</v>
      </c>
      <c r="T16" s="121" t="s">
        <v>23</v>
      </c>
      <c r="U16" s="11">
        <f>B7</f>
        <v>6875</v>
      </c>
      <c r="V16" s="11">
        <f>C7</f>
        <v>6250</v>
      </c>
      <c r="W16" s="76">
        <f>D7</f>
        <v>7500</v>
      </c>
      <c r="X16" s="81">
        <f>SUM(U16:W16)</f>
        <v>20625</v>
      </c>
      <c r="Y16" s="78">
        <f>F7</f>
        <v>10000</v>
      </c>
      <c r="Z16" s="11">
        <f>G7</f>
        <v>9375</v>
      </c>
      <c r="AA16" s="11">
        <f>H7</f>
        <v>10625</v>
      </c>
      <c r="AB16" s="81">
        <f>SUM(Y16:AA16)</f>
        <v>30000</v>
      </c>
      <c r="AC16" s="11">
        <f>J7</f>
        <v>10625</v>
      </c>
      <c r="AD16" s="11">
        <f>K7</f>
        <v>10625</v>
      </c>
      <c r="AE16" s="11">
        <f>L7</f>
        <v>10625</v>
      </c>
      <c r="AF16" s="81">
        <f>SUM(AC16:AE16)</f>
        <v>31875</v>
      </c>
      <c r="AG16" s="11">
        <f>N7</f>
        <v>10625</v>
      </c>
      <c r="AH16" s="11">
        <f>O7</f>
        <v>10625</v>
      </c>
      <c r="AI16" s="11">
        <f>P7</f>
        <v>10625</v>
      </c>
      <c r="AJ16" s="81">
        <f>SUM(AG16:AI16)</f>
        <v>31875</v>
      </c>
      <c r="AK16" s="83">
        <f>X16+AB16+AF16+AJ16</f>
        <v>114375</v>
      </c>
    </row>
    <row r="17" spans="1:37" ht="15.45" thickTop="1" thickBot="1" x14ac:dyDescent="0.45">
      <c r="T17" s="122"/>
      <c r="U17" s="28"/>
      <c r="V17" s="28"/>
      <c r="W17" s="77"/>
      <c r="X17" s="47"/>
      <c r="Y17" s="28"/>
      <c r="Z17" s="28"/>
      <c r="AA17" s="28"/>
      <c r="AB17" s="47"/>
      <c r="AC17" s="28"/>
      <c r="AD17" s="28"/>
      <c r="AE17" s="28"/>
      <c r="AF17" s="47"/>
      <c r="AG17" s="28"/>
      <c r="AH17" s="28"/>
      <c r="AI17" s="28"/>
      <c r="AJ17" s="47"/>
      <c r="AK17" s="84"/>
    </row>
    <row r="18" spans="1:37" x14ac:dyDescent="0.4">
      <c r="A18" s="124" t="s">
        <v>7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6"/>
      <c r="Q18" s="126"/>
      <c r="R18" s="127"/>
      <c r="T18" s="114" t="s">
        <v>51</v>
      </c>
      <c r="U18" s="12">
        <f>0.8*U16</f>
        <v>5500</v>
      </c>
      <c r="V18" s="12">
        <f>0.8*V16</f>
        <v>5000</v>
      </c>
      <c r="W18" s="33">
        <f>0.8*W16</f>
        <v>6000</v>
      </c>
      <c r="X18" s="39">
        <f>SUM(U18:W18)</f>
        <v>16500</v>
      </c>
      <c r="Y18" s="14">
        <f>0.8*Y16</f>
        <v>8000</v>
      </c>
      <c r="Z18" s="12">
        <f>0.8*Z16</f>
        <v>7500</v>
      </c>
      <c r="AA18" s="12">
        <f>0.8*AA16</f>
        <v>8500</v>
      </c>
      <c r="AB18" s="39">
        <f>SUM(Y18:AA18)</f>
        <v>24000</v>
      </c>
      <c r="AC18" s="12">
        <f t="shared" ref="AC18:AI18" si="9">0.8*AC16</f>
        <v>8500</v>
      </c>
      <c r="AD18" s="12">
        <f t="shared" si="9"/>
        <v>8500</v>
      </c>
      <c r="AE18" s="12">
        <f t="shared" si="9"/>
        <v>8500</v>
      </c>
      <c r="AF18" s="39">
        <f>SUM(AC18:AE18)</f>
        <v>25500</v>
      </c>
      <c r="AG18" s="12">
        <f t="shared" si="9"/>
        <v>8500</v>
      </c>
      <c r="AH18" s="12">
        <f t="shared" si="9"/>
        <v>8500</v>
      </c>
      <c r="AI18" s="12">
        <f t="shared" si="9"/>
        <v>8500</v>
      </c>
      <c r="AJ18" s="39">
        <f>SUM(AG18:AI18)</f>
        <v>25500</v>
      </c>
      <c r="AK18" s="47">
        <f>X18+AB18+AF18+AJ18</f>
        <v>91500</v>
      </c>
    </row>
    <row r="19" spans="1:37" x14ac:dyDescent="0.4">
      <c r="A19" s="132" t="s">
        <v>25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4"/>
      <c r="T19" s="114" t="s">
        <v>52</v>
      </c>
      <c r="U19" s="29"/>
      <c r="V19" s="29"/>
      <c r="W19" s="40"/>
      <c r="X19" s="47"/>
      <c r="Y19" s="79"/>
      <c r="Z19" s="29"/>
      <c r="AA19" s="29"/>
      <c r="AB19" s="47"/>
      <c r="AC19" s="29"/>
      <c r="AD19" s="29"/>
      <c r="AE19" s="29"/>
      <c r="AF19" s="47"/>
      <c r="AG19" s="29"/>
      <c r="AH19" s="29"/>
      <c r="AI19" s="29"/>
      <c r="AJ19" s="47"/>
      <c r="AK19" s="85"/>
    </row>
    <row r="20" spans="1:37" ht="15" thickBot="1" x14ac:dyDescent="0.45">
      <c r="A20" s="135" t="s">
        <v>9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7"/>
      <c r="Q20" s="137"/>
      <c r="R20" s="138"/>
      <c r="T20" s="114" t="s">
        <v>53</v>
      </c>
      <c r="U20" s="12">
        <f>0.5*0.2*U16</f>
        <v>687.5</v>
      </c>
      <c r="V20" s="12">
        <f>0.5*0.2*V16</f>
        <v>625</v>
      </c>
      <c r="W20" s="33">
        <f>0.5*0.2*W16</f>
        <v>750</v>
      </c>
      <c r="X20" s="39">
        <f t="shared" ref="X20:X21" si="10">SUM(U20:W20)</f>
        <v>2062.5</v>
      </c>
      <c r="Y20" s="14">
        <f>0.5*0.2*Y16</f>
        <v>1000</v>
      </c>
      <c r="Z20" s="12">
        <f>0.5*0.2*Z16</f>
        <v>937.5</v>
      </c>
      <c r="AA20" s="12">
        <f>0.5*0.2*AA16</f>
        <v>1062.5</v>
      </c>
      <c r="AB20" s="39">
        <f t="shared" ref="AB20:AB21" si="11">SUM(Y20:AA20)</f>
        <v>3000</v>
      </c>
      <c r="AC20" s="12">
        <f t="shared" ref="AC20:AI20" si="12">0.5*0.2*AC16</f>
        <v>1062.5</v>
      </c>
      <c r="AD20" s="12">
        <f t="shared" si="12"/>
        <v>1062.5</v>
      </c>
      <c r="AE20" s="12">
        <f t="shared" si="12"/>
        <v>1062.5</v>
      </c>
      <c r="AF20" s="39">
        <f t="shared" ref="AF20:AF21" si="13">SUM(AC20:AE20)</f>
        <v>3187.5</v>
      </c>
      <c r="AG20" s="12">
        <f t="shared" si="12"/>
        <v>1062.5</v>
      </c>
      <c r="AH20" s="12">
        <f t="shared" si="12"/>
        <v>1062.5</v>
      </c>
      <c r="AI20" s="12">
        <f t="shared" si="12"/>
        <v>1062.5</v>
      </c>
      <c r="AJ20" s="39">
        <f t="shared" ref="AJ20:AJ21" si="14">SUM(AG20:AI20)</f>
        <v>3187.5</v>
      </c>
      <c r="AK20" s="47">
        <f>X20+AB20+AF20+AJ20</f>
        <v>11437.5</v>
      </c>
    </row>
    <row r="21" spans="1:37" x14ac:dyDescent="0.4">
      <c r="A21" s="111"/>
      <c r="B21" s="26" t="s">
        <v>63</v>
      </c>
      <c r="C21" s="26" t="s">
        <v>64</v>
      </c>
      <c r="D21" s="26" t="s">
        <v>20</v>
      </c>
      <c r="E21" s="37" t="s">
        <v>70</v>
      </c>
      <c r="F21" s="27" t="s">
        <v>2</v>
      </c>
      <c r="G21" s="26" t="s">
        <v>3</v>
      </c>
      <c r="H21" s="26" t="s">
        <v>4</v>
      </c>
      <c r="I21" s="37" t="s">
        <v>71</v>
      </c>
      <c r="J21" s="27" t="s">
        <v>5</v>
      </c>
      <c r="K21" s="26" t="s">
        <v>6</v>
      </c>
      <c r="L21" s="26" t="s">
        <v>65</v>
      </c>
      <c r="M21" s="37" t="s">
        <v>72</v>
      </c>
      <c r="N21" s="27" t="s">
        <v>66</v>
      </c>
      <c r="O21" s="26" t="s">
        <v>67</v>
      </c>
      <c r="P21" s="26" t="s">
        <v>68</v>
      </c>
      <c r="Q21" s="37" t="s">
        <v>73</v>
      </c>
      <c r="R21" s="59" t="s">
        <v>74</v>
      </c>
      <c r="T21" s="113" t="s">
        <v>54</v>
      </c>
      <c r="U21" s="12">
        <f>0.5*0.2*U16</f>
        <v>687.5</v>
      </c>
      <c r="V21" s="12">
        <f>0.5*0.2*U16</f>
        <v>687.5</v>
      </c>
      <c r="W21" s="33">
        <f>0.5*0.2*V16</f>
        <v>625</v>
      </c>
      <c r="X21" s="39">
        <f t="shared" si="10"/>
        <v>2000</v>
      </c>
      <c r="Y21" s="14">
        <f>0.5*0.2*W16</f>
        <v>750</v>
      </c>
      <c r="Z21" s="12">
        <f>0.5*0.2*Y16</f>
        <v>1000</v>
      </c>
      <c r="AA21" s="12">
        <f>0.5*0.2*Z16</f>
        <v>937.5</v>
      </c>
      <c r="AB21" s="39">
        <f t="shared" si="11"/>
        <v>2687.5</v>
      </c>
      <c r="AC21" s="12">
        <f>0.5*0.2*AA16</f>
        <v>1062.5</v>
      </c>
      <c r="AD21" s="12">
        <f t="shared" ref="AD21:AH21" si="15">0.5*0.2*AC16</f>
        <v>1062.5</v>
      </c>
      <c r="AE21" s="12">
        <f t="shared" si="15"/>
        <v>1062.5</v>
      </c>
      <c r="AF21" s="39">
        <f t="shared" si="13"/>
        <v>3187.5</v>
      </c>
      <c r="AG21" s="12">
        <f>0.5*0.2*AE16</f>
        <v>1062.5</v>
      </c>
      <c r="AH21" s="12">
        <f t="shared" si="15"/>
        <v>1062.5</v>
      </c>
      <c r="AI21" s="12">
        <f>0.5*0.2*AF16</f>
        <v>3187.5</v>
      </c>
      <c r="AJ21" s="39">
        <f t="shared" si="14"/>
        <v>5312.5</v>
      </c>
      <c r="AK21" s="47">
        <f>X21+AB21+AF21+AJ21</f>
        <v>13187.5</v>
      </c>
    </row>
    <row r="22" spans="1:37" ht="15" thickBot="1" x14ac:dyDescent="0.45">
      <c r="A22" s="112" t="s">
        <v>60</v>
      </c>
      <c r="B22" s="6">
        <f>B16</f>
        <v>210</v>
      </c>
      <c r="C22" s="6">
        <f>C16</f>
        <v>270</v>
      </c>
      <c r="D22" s="32">
        <f>D16</f>
        <v>340</v>
      </c>
      <c r="E22" s="38">
        <f>SUM(B22:D22)</f>
        <v>820</v>
      </c>
      <c r="F22" s="35">
        <f>F16</f>
        <v>390</v>
      </c>
      <c r="G22" s="6">
        <f>G16</f>
        <v>395</v>
      </c>
      <c r="H22" s="32">
        <f>H16</f>
        <v>425</v>
      </c>
      <c r="I22" s="38">
        <f>SUM(F22:H22)</f>
        <v>1210</v>
      </c>
      <c r="J22" s="35">
        <f t="shared" ref="J22:P22" si="16">J16</f>
        <v>425</v>
      </c>
      <c r="K22" s="6">
        <f t="shared" si="16"/>
        <v>425</v>
      </c>
      <c r="L22" s="32">
        <f t="shared" si="16"/>
        <v>425</v>
      </c>
      <c r="M22" s="38">
        <f>SUM(J22:L22)</f>
        <v>1275</v>
      </c>
      <c r="N22" s="35">
        <f t="shared" si="16"/>
        <v>425</v>
      </c>
      <c r="O22" s="6">
        <f t="shared" si="16"/>
        <v>2085</v>
      </c>
      <c r="P22" s="32">
        <f t="shared" si="16"/>
        <v>2085</v>
      </c>
      <c r="Q22" s="38">
        <f>SUM(N22:P22)</f>
        <v>4595</v>
      </c>
      <c r="R22" s="46">
        <f>E22+I22+M22+Q22</f>
        <v>7900</v>
      </c>
      <c r="T22" s="115" t="s">
        <v>11</v>
      </c>
      <c r="U22" s="16">
        <f>SUM(U18:U21)</f>
        <v>6875</v>
      </c>
      <c r="V22" s="16">
        <f>SUM(V18:V21)</f>
        <v>6312.5</v>
      </c>
      <c r="W22" s="66">
        <f>SUM(W18:W21)</f>
        <v>7375</v>
      </c>
      <c r="X22" s="87">
        <f>SUM(U22:W22)</f>
        <v>20562.5</v>
      </c>
      <c r="Y22" s="70">
        <f>SUM(Y18:Y21)</f>
        <v>9750</v>
      </c>
      <c r="Z22" s="16">
        <f>SUM(Z18:Z21)</f>
        <v>9437.5</v>
      </c>
      <c r="AA22" s="16">
        <f>SUM(AA18:AA21)</f>
        <v>10500</v>
      </c>
      <c r="AB22" s="87">
        <f>SUM(Y22:AA22)</f>
        <v>29687.5</v>
      </c>
      <c r="AC22" s="16">
        <f t="shared" ref="AC22:AI22" si="17">SUM(AC18:AC21)</f>
        <v>10625</v>
      </c>
      <c r="AD22" s="16">
        <f t="shared" si="17"/>
        <v>10625</v>
      </c>
      <c r="AE22" s="16">
        <f t="shared" si="17"/>
        <v>10625</v>
      </c>
      <c r="AF22" s="87">
        <f>SUM(AC22:AE22)</f>
        <v>31875</v>
      </c>
      <c r="AG22" s="16">
        <f t="shared" si="17"/>
        <v>10625</v>
      </c>
      <c r="AH22" s="16">
        <f t="shared" si="17"/>
        <v>10625</v>
      </c>
      <c r="AI22" s="16">
        <f t="shared" si="17"/>
        <v>12750</v>
      </c>
      <c r="AJ22" s="87">
        <f>SUM(AG22:AI22)</f>
        <v>34000</v>
      </c>
      <c r="AK22" s="86">
        <f>X22+AB22+AF22+AJ22</f>
        <v>116125</v>
      </c>
    </row>
    <row r="23" spans="1:37" ht="15.45" thickTop="1" thickBot="1" x14ac:dyDescent="0.45">
      <c r="A23" s="113" t="s">
        <v>46</v>
      </c>
      <c r="B23" s="8">
        <v>4</v>
      </c>
      <c r="C23" s="8">
        <v>4</v>
      </c>
      <c r="D23" s="8">
        <v>4</v>
      </c>
      <c r="E23" s="56" t="s">
        <v>12</v>
      </c>
      <c r="F23" s="9">
        <v>4</v>
      </c>
      <c r="G23" s="8">
        <v>4</v>
      </c>
      <c r="H23" s="8">
        <v>4</v>
      </c>
      <c r="I23" s="56" t="s">
        <v>12</v>
      </c>
      <c r="J23" s="30">
        <v>4</v>
      </c>
      <c r="K23" s="7">
        <v>4</v>
      </c>
      <c r="L23" s="8">
        <v>4</v>
      </c>
      <c r="M23" s="56" t="s">
        <v>12</v>
      </c>
      <c r="N23" s="30">
        <v>4</v>
      </c>
      <c r="O23" s="7">
        <v>4</v>
      </c>
      <c r="P23" s="8">
        <v>4</v>
      </c>
      <c r="Q23" s="56" t="s">
        <v>12</v>
      </c>
      <c r="R23" s="67" t="s">
        <v>12</v>
      </c>
    </row>
    <row r="24" spans="1:37" x14ac:dyDescent="0.4">
      <c r="A24" s="114" t="s">
        <v>59</v>
      </c>
      <c r="B24" s="6">
        <f>B23*B22</f>
        <v>840</v>
      </c>
      <c r="C24" s="6">
        <f>C23*C22</f>
        <v>1080</v>
      </c>
      <c r="D24" s="32">
        <f>D23*D22</f>
        <v>1360</v>
      </c>
      <c r="E24" s="48">
        <f>SUM(B24:D24)</f>
        <v>3280</v>
      </c>
      <c r="F24" s="44">
        <f>F23*F22</f>
        <v>1560</v>
      </c>
      <c r="G24" s="5">
        <f>G23*G22</f>
        <v>1580</v>
      </c>
      <c r="H24" s="41">
        <f>H23*H22</f>
        <v>1700</v>
      </c>
      <c r="I24" s="48">
        <f>SUM(F24:H24)</f>
        <v>4840</v>
      </c>
      <c r="J24" s="44">
        <f t="shared" ref="J24:P24" si="18">J23*J22</f>
        <v>1700</v>
      </c>
      <c r="K24" s="5">
        <f t="shared" si="18"/>
        <v>1700</v>
      </c>
      <c r="L24" s="41">
        <f t="shared" si="18"/>
        <v>1700</v>
      </c>
      <c r="M24" s="48">
        <f>SUM(J24:L24)</f>
        <v>5100</v>
      </c>
      <c r="N24" s="44">
        <f t="shared" si="18"/>
        <v>1700</v>
      </c>
      <c r="O24" s="5">
        <f t="shared" si="18"/>
        <v>8340</v>
      </c>
      <c r="P24" s="41">
        <f t="shared" si="18"/>
        <v>8340</v>
      </c>
      <c r="Q24" s="48">
        <f>SUM(N24:P24)</f>
        <v>18380</v>
      </c>
      <c r="R24" s="64">
        <f t="shared" ref="R24:R27" si="19">E24+I24+M24+Q24</f>
        <v>31600</v>
      </c>
      <c r="T24" s="124" t="s">
        <v>7</v>
      </c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6"/>
      <c r="AJ24" s="126"/>
      <c r="AK24" s="127"/>
    </row>
    <row r="25" spans="1:37" x14ac:dyDescent="0.4">
      <c r="A25" s="114" t="s">
        <v>57</v>
      </c>
      <c r="B25" s="5">
        <f>0.3*C24</f>
        <v>324</v>
      </c>
      <c r="C25" s="5">
        <f>0.3*D24</f>
        <v>408</v>
      </c>
      <c r="D25" s="41">
        <f>0.3*F24</f>
        <v>468</v>
      </c>
      <c r="E25" s="48">
        <f t="shared" ref="E25:E27" si="20">SUM(B25:D25)</f>
        <v>1200</v>
      </c>
      <c r="F25" s="44">
        <f>0.3*G24</f>
        <v>474</v>
      </c>
      <c r="G25" s="5">
        <f>0.3*H24</f>
        <v>510</v>
      </c>
      <c r="H25" s="41">
        <f>0.3*J24</f>
        <v>510</v>
      </c>
      <c r="I25" s="48">
        <f t="shared" ref="I25:I27" si="21">SUM(F25:H25)</f>
        <v>1494</v>
      </c>
      <c r="J25" s="44">
        <f t="shared" ref="J25:N25" si="22">0.3*K24</f>
        <v>510</v>
      </c>
      <c r="K25" s="5">
        <f t="shared" si="22"/>
        <v>510</v>
      </c>
      <c r="L25" s="41">
        <f>0.3*N24</f>
        <v>510</v>
      </c>
      <c r="M25" s="48">
        <f t="shared" ref="M25:M27" si="23">SUM(J25:L25)</f>
        <v>1530</v>
      </c>
      <c r="N25" s="44">
        <f t="shared" si="22"/>
        <v>2502</v>
      </c>
      <c r="O25" s="5">
        <f>0.3*R24</f>
        <v>9480</v>
      </c>
      <c r="P25" s="41">
        <f>0.3*R24</f>
        <v>9480</v>
      </c>
      <c r="Q25" s="48">
        <f t="shared" ref="Q25:Q27" si="24">SUM(N25:P25)</f>
        <v>21462</v>
      </c>
      <c r="R25" s="63">
        <f t="shared" si="19"/>
        <v>25686</v>
      </c>
      <c r="T25" s="132" t="s">
        <v>13</v>
      </c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4"/>
    </row>
    <row r="26" spans="1:37" ht="15" thickBot="1" x14ac:dyDescent="0.45">
      <c r="A26" s="113" t="s">
        <v>58</v>
      </c>
      <c r="B26" s="7">
        <f>-(0.7*B24)</f>
        <v>-588</v>
      </c>
      <c r="C26" s="7">
        <f>-B25</f>
        <v>-324</v>
      </c>
      <c r="D26" s="8">
        <f>-C25</f>
        <v>-408</v>
      </c>
      <c r="E26" s="55">
        <f t="shared" si="20"/>
        <v>-1320</v>
      </c>
      <c r="F26" s="30">
        <f>-D25</f>
        <v>-468</v>
      </c>
      <c r="G26" s="7">
        <f t="shared" ref="G26:O26" si="25">-F25</f>
        <v>-474</v>
      </c>
      <c r="H26" s="8">
        <f t="shared" si="25"/>
        <v>-510</v>
      </c>
      <c r="I26" s="55">
        <f t="shared" si="21"/>
        <v>-1452</v>
      </c>
      <c r="J26" s="30">
        <f>-H25</f>
        <v>-510</v>
      </c>
      <c r="K26" s="7">
        <f t="shared" si="25"/>
        <v>-510</v>
      </c>
      <c r="L26" s="8">
        <f t="shared" si="25"/>
        <v>-510</v>
      </c>
      <c r="M26" s="55">
        <f t="shared" si="23"/>
        <v>-1530</v>
      </c>
      <c r="N26" s="30">
        <f>-L25</f>
        <v>-510</v>
      </c>
      <c r="O26" s="7">
        <f t="shared" si="25"/>
        <v>-2502</v>
      </c>
      <c r="P26" s="8">
        <f>-N25</f>
        <v>-2502</v>
      </c>
      <c r="Q26" s="55">
        <f t="shared" si="24"/>
        <v>-5514</v>
      </c>
      <c r="R26" s="67">
        <f t="shared" si="19"/>
        <v>-9816</v>
      </c>
      <c r="T26" s="135" t="s">
        <v>9</v>
      </c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7"/>
      <c r="AJ26" s="137"/>
      <c r="AK26" s="138"/>
    </row>
    <row r="27" spans="1:37" x14ac:dyDescent="0.4">
      <c r="A27" s="112" t="s">
        <v>48</v>
      </c>
      <c r="B27" s="6">
        <f>SUM(B24:B26)</f>
        <v>576</v>
      </c>
      <c r="C27" s="6">
        <f>SUM(C24:C26)</f>
        <v>1164</v>
      </c>
      <c r="D27" s="32">
        <f>SUM(D24:D26)</f>
        <v>1420</v>
      </c>
      <c r="E27" s="48">
        <f t="shared" si="20"/>
        <v>3160</v>
      </c>
      <c r="F27" s="44">
        <f>SUM(F24:F26)</f>
        <v>1566</v>
      </c>
      <c r="G27" s="5">
        <f>SUM(G24:G26)</f>
        <v>1616</v>
      </c>
      <c r="H27" s="41">
        <f>SUM(H24:H26)</f>
        <v>1700</v>
      </c>
      <c r="I27" s="48">
        <f t="shared" si="21"/>
        <v>4882</v>
      </c>
      <c r="J27" s="44">
        <f t="shared" ref="J27:P27" si="26">SUM(J24:J26)</f>
        <v>1700</v>
      </c>
      <c r="K27" s="5">
        <f t="shared" si="26"/>
        <v>1700</v>
      </c>
      <c r="L27" s="41">
        <f t="shared" si="26"/>
        <v>1700</v>
      </c>
      <c r="M27" s="48">
        <f t="shared" si="23"/>
        <v>5100</v>
      </c>
      <c r="N27" s="44">
        <f t="shared" si="26"/>
        <v>3692</v>
      </c>
      <c r="O27" s="5">
        <f t="shared" si="26"/>
        <v>15318</v>
      </c>
      <c r="P27" s="41">
        <f t="shared" si="26"/>
        <v>15318</v>
      </c>
      <c r="Q27" s="48">
        <f t="shared" si="24"/>
        <v>34328</v>
      </c>
      <c r="R27" s="46">
        <f t="shared" si="19"/>
        <v>47470</v>
      </c>
      <c r="T27" s="111"/>
      <c r="U27" s="26" t="s">
        <v>63</v>
      </c>
      <c r="V27" s="3" t="s">
        <v>64</v>
      </c>
      <c r="W27" s="43" t="s">
        <v>20</v>
      </c>
      <c r="X27" s="80" t="s">
        <v>70</v>
      </c>
      <c r="Y27" s="1" t="s">
        <v>2</v>
      </c>
      <c r="Z27" s="1" t="s">
        <v>3</v>
      </c>
      <c r="AA27" s="27" t="s">
        <v>4</v>
      </c>
      <c r="AB27" s="37" t="s">
        <v>71</v>
      </c>
      <c r="AC27" s="1" t="s">
        <v>5</v>
      </c>
      <c r="AD27" s="1" t="s">
        <v>6</v>
      </c>
      <c r="AE27" s="27" t="s">
        <v>65</v>
      </c>
      <c r="AF27" s="37" t="s">
        <v>72</v>
      </c>
      <c r="AG27" s="1" t="s">
        <v>66</v>
      </c>
      <c r="AH27" s="1" t="s">
        <v>67</v>
      </c>
      <c r="AI27" s="27" t="s">
        <v>68</v>
      </c>
      <c r="AJ27" s="61" t="s">
        <v>73</v>
      </c>
      <c r="AK27" s="45" t="s">
        <v>74</v>
      </c>
    </row>
    <row r="28" spans="1:37" ht="15" thickBot="1" x14ac:dyDescent="0.45">
      <c r="A28" s="113" t="s">
        <v>49</v>
      </c>
      <c r="B28" s="10">
        <v>2</v>
      </c>
      <c r="C28" s="10">
        <v>2</v>
      </c>
      <c r="D28" s="65">
        <v>2</v>
      </c>
      <c r="E28" s="56" t="s">
        <v>12</v>
      </c>
      <c r="F28" s="69">
        <v>2</v>
      </c>
      <c r="G28" s="10">
        <v>2</v>
      </c>
      <c r="H28" s="65">
        <v>2</v>
      </c>
      <c r="I28" s="56" t="s">
        <v>12</v>
      </c>
      <c r="J28" s="69">
        <v>2</v>
      </c>
      <c r="K28" s="10">
        <v>2</v>
      </c>
      <c r="L28" s="65">
        <v>2</v>
      </c>
      <c r="M28" s="56" t="s">
        <v>12</v>
      </c>
      <c r="N28" s="69">
        <v>2</v>
      </c>
      <c r="O28" s="10">
        <v>2</v>
      </c>
      <c r="P28" s="65">
        <v>2</v>
      </c>
      <c r="Q28" s="56" t="s">
        <v>12</v>
      </c>
      <c r="R28" s="68" t="s">
        <v>12</v>
      </c>
      <c r="T28" s="121" t="s">
        <v>14</v>
      </c>
      <c r="U28" s="23">
        <v>2000</v>
      </c>
      <c r="V28" s="23">
        <f>C29</f>
        <v>2328</v>
      </c>
      <c r="W28" s="23">
        <f>D29</f>
        <v>2840</v>
      </c>
      <c r="X28" s="81">
        <f>SUM(U28:W28)</f>
        <v>7168</v>
      </c>
      <c r="Y28" s="23">
        <f>F29</f>
        <v>3132</v>
      </c>
      <c r="Z28" s="23">
        <f>G29</f>
        <v>3232</v>
      </c>
      <c r="AA28" s="23">
        <f>H29</f>
        <v>3400</v>
      </c>
      <c r="AB28" s="81">
        <f>SUM(Y28:AA28)</f>
        <v>9764</v>
      </c>
      <c r="AC28" s="23">
        <f>J29</f>
        <v>3400</v>
      </c>
      <c r="AD28" s="23">
        <f>K29</f>
        <v>3400</v>
      </c>
      <c r="AE28" s="23">
        <f>L29</f>
        <v>3400</v>
      </c>
      <c r="AF28" s="81">
        <f>SUM(AC28:AE28)</f>
        <v>10200</v>
      </c>
      <c r="AG28" s="23">
        <f>N29</f>
        <v>7384</v>
      </c>
      <c r="AH28" s="23">
        <f>O29</f>
        <v>30636</v>
      </c>
      <c r="AI28" s="23">
        <f>P29</f>
        <v>30636</v>
      </c>
      <c r="AJ28" s="81">
        <f>SUM(AG28:AI28)</f>
        <v>68656</v>
      </c>
      <c r="AK28" s="83">
        <f>X28+AB28+AF28+AJ28</f>
        <v>95788</v>
      </c>
    </row>
    <row r="29" spans="1:37" ht="15" thickBot="1" x14ac:dyDescent="0.45">
      <c r="A29" s="115" t="s">
        <v>14</v>
      </c>
      <c r="B29" s="16">
        <f>B27*B28</f>
        <v>1152</v>
      </c>
      <c r="C29" s="16">
        <f>C27*C28</f>
        <v>2328</v>
      </c>
      <c r="D29" s="66">
        <f>D27*D28</f>
        <v>2840</v>
      </c>
      <c r="E29" s="71">
        <f>SUM(B29:D29)</f>
        <v>6320</v>
      </c>
      <c r="F29" s="70">
        <f>F27*F28</f>
        <v>3132</v>
      </c>
      <c r="G29" s="16">
        <f>G27*G28</f>
        <v>3232</v>
      </c>
      <c r="H29" s="66">
        <f>H27*H28</f>
        <v>3400</v>
      </c>
      <c r="I29" s="71">
        <f>SUM(F29:H29)</f>
        <v>9764</v>
      </c>
      <c r="J29" s="70">
        <f t="shared" ref="J29:P29" si="27">J27*J28</f>
        <v>3400</v>
      </c>
      <c r="K29" s="16">
        <f t="shared" si="27"/>
        <v>3400</v>
      </c>
      <c r="L29" s="66">
        <f t="shared" si="27"/>
        <v>3400</v>
      </c>
      <c r="M29" s="71">
        <f>SUM(J29:L29)</f>
        <v>10200</v>
      </c>
      <c r="N29" s="70">
        <f t="shared" si="27"/>
        <v>7384</v>
      </c>
      <c r="O29" s="16">
        <f t="shared" si="27"/>
        <v>30636</v>
      </c>
      <c r="P29" s="66">
        <f t="shared" si="27"/>
        <v>30636</v>
      </c>
      <c r="Q29" s="71">
        <f>SUM(N29:P29)</f>
        <v>68656</v>
      </c>
      <c r="R29" s="72">
        <f t="shared" ref="R29" si="28">E29+I29+M29+Q29</f>
        <v>94940</v>
      </c>
      <c r="T29" s="122"/>
      <c r="U29" s="28"/>
      <c r="V29" s="28"/>
      <c r="W29" s="28"/>
      <c r="X29" s="47"/>
      <c r="Y29" s="28"/>
      <c r="Z29" s="28"/>
      <c r="AA29" s="28"/>
      <c r="AB29" s="47"/>
      <c r="AC29" s="28"/>
      <c r="AD29" s="28"/>
      <c r="AE29" s="28"/>
      <c r="AF29" s="47"/>
      <c r="AG29" s="28"/>
      <c r="AH29" s="28"/>
      <c r="AI29" s="28"/>
      <c r="AJ29" s="47"/>
      <c r="AK29" s="84"/>
    </row>
    <row r="30" spans="1:37" ht="15.45" thickTop="1" thickBot="1" x14ac:dyDescent="0.45">
      <c r="T30" s="114" t="s">
        <v>55</v>
      </c>
      <c r="U30" s="12">
        <f>0.8*U28</f>
        <v>1600</v>
      </c>
      <c r="V30" s="12">
        <f>0.8*V28</f>
        <v>1862.4</v>
      </c>
      <c r="W30" s="12">
        <f>0.8*W28</f>
        <v>2272</v>
      </c>
      <c r="X30" s="39">
        <f>SUM(U30:W30)</f>
        <v>5734.4</v>
      </c>
      <c r="Y30" s="12">
        <f>0.8*Y28</f>
        <v>2505.6000000000004</v>
      </c>
      <c r="Z30" s="12">
        <f>0.8*Z28</f>
        <v>2585.6000000000004</v>
      </c>
      <c r="AA30" s="12">
        <f>0.8*AA28</f>
        <v>2720</v>
      </c>
      <c r="AB30" s="39">
        <f>SUM(Y30:AA30)</f>
        <v>7811.2000000000007</v>
      </c>
      <c r="AC30" s="12">
        <f t="shared" ref="AC30:AI30" si="29">0.8*AC28</f>
        <v>2720</v>
      </c>
      <c r="AD30" s="12">
        <f t="shared" si="29"/>
        <v>2720</v>
      </c>
      <c r="AE30" s="12">
        <f t="shared" si="29"/>
        <v>2720</v>
      </c>
      <c r="AF30" s="39">
        <f>SUM(AC30:AE30)</f>
        <v>8160</v>
      </c>
      <c r="AG30" s="12">
        <f t="shared" si="29"/>
        <v>5907.2000000000007</v>
      </c>
      <c r="AH30" s="12">
        <f t="shared" si="29"/>
        <v>24508.800000000003</v>
      </c>
      <c r="AI30" s="12">
        <f t="shared" si="29"/>
        <v>24508.800000000003</v>
      </c>
      <c r="AJ30" s="39">
        <f>SUM(AG30:AI30)</f>
        <v>54924.800000000003</v>
      </c>
      <c r="AK30" s="47">
        <f>X30+AB30+AF30+AJ30</f>
        <v>76630.399999999994</v>
      </c>
    </row>
    <row r="31" spans="1:37" x14ac:dyDescent="0.4">
      <c r="A31" s="124" t="s">
        <v>7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6"/>
      <c r="Q31" s="126"/>
      <c r="R31" s="127"/>
      <c r="T31" s="113" t="s">
        <v>56</v>
      </c>
      <c r="U31" s="13">
        <f>0.2*U28</f>
        <v>400</v>
      </c>
      <c r="V31" s="13">
        <f>0.2*U28</f>
        <v>400</v>
      </c>
      <c r="W31" s="13">
        <f>0.2*V28</f>
        <v>465.6</v>
      </c>
      <c r="X31" s="88">
        <f t="shared" ref="X31:X37" si="30">SUM(U31:W31)</f>
        <v>1265.5999999999999</v>
      </c>
      <c r="Y31" s="13">
        <f>0.2*W28</f>
        <v>568</v>
      </c>
      <c r="Z31" s="13">
        <f>0.2*Y28</f>
        <v>626.40000000000009</v>
      </c>
      <c r="AA31" s="13">
        <f>0.2*Z28</f>
        <v>646.40000000000009</v>
      </c>
      <c r="AB31" s="88">
        <f t="shared" ref="AB31:AB37" si="31">SUM(Y31:AA31)</f>
        <v>1840.8000000000002</v>
      </c>
      <c r="AC31" s="13">
        <f>0.2*AA28</f>
        <v>680</v>
      </c>
      <c r="AD31" s="13">
        <f t="shared" ref="AD31:AH31" si="32">0.2*AC28</f>
        <v>680</v>
      </c>
      <c r="AE31" s="13">
        <f t="shared" si="32"/>
        <v>680</v>
      </c>
      <c r="AF31" s="88">
        <f t="shared" ref="AF31:AF37" si="33">SUM(AC31:AE31)</f>
        <v>2040</v>
      </c>
      <c r="AG31" s="13">
        <f>0.2*AE28</f>
        <v>680</v>
      </c>
      <c r="AH31" s="13">
        <f t="shared" si="32"/>
        <v>1476.8000000000002</v>
      </c>
      <c r="AI31" s="13">
        <f>0.2*AF28</f>
        <v>2040</v>
      </c>
      <c r="AJ31" s="88">
        <f t="shared" ref="AJ31:AJ37" si="34">SUM(AG31:AI31)</f>
        <v>4196.8</v>
      </c>
      <c r="AK31" s="89">
        <f t="shared" ref="AK31:AK37" si="35">X31+AB31+AF31+AJ31</f>
        <v>9343.2000000000007</v>
      </c>
    </row>
    <row r="32" spans="1:37" x14ac:dyDescent="0.4">
      <c r="A32" s="132" t="s">
        <v>26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4"/>
      <c r="T32" s="114" t="s">
        <v>15</v>
      </c>
      <c r="U32" s="12">
        <f>SUM(U30:U31)</f>
        <v>2000</v>
      </c>
      <c r="V32" s="12">
        <f>SUM(V30:V31)</f>
        <v>2262.4</v>
      </c>
      <c r="W32" s="12">
        <f>SUM(W30:W31)</f>
        <v>2737.6</v>
      </c>
      <c r="X32" s="39">
        <f t="shared" si="30"/>
        <v>7000</v>
      </c>
      <c r="Y32" s="12">
        <f>SUM(Y30:Y31)</f>
        <v>3073.6000000000004</v>
      </c>
      <c r="Z32" s="12">
        <f>SUM(Z30:Z31)</f>
        <v>3212.0000000000005</v>
      </c>
      <c r="AA32" s="12">
        <f>SUM(AA30:AA31)</f>
        <v>3366.4</v>
      </c>
      <c r="AB32" s="39">
        <f t="shared" si="31"/>
        <v>9652</v>
      </c>
      <c r="AC32" s="12">
        <f t="shared" ref="AC32:AI32" si="36">SUM(AC30:AC31)</f>
        <v>3400</v>
      </c>
      <c r="AD32" s="12">
        <f t="shared" si="36"/>
        <v>3400</v>
      </c>
      <c r="AE32" s="12">
        <f t="shared" si="36"/>
        <v>3400</v>
      </c>
      <c r="AF32" s="39">
        <f t="shared" si="33"/>
        <v>10200</v>
      </c>
      <c r="AG32" s="12">
        <f t="shared" si="36"/>
        <v>6587.2000000000007</v>
      </c>
      <c r="AH32" s="12">
        <f t="shared" si="36"/>
        <v>25985.600000000002</v>
      </c>
      <c r="AI32" s="12">
        <f t="shared" si="36"/>
        <v>26548.800000000003</v>
      </c>
      <c r="AJ32" s="39">
        <f t="shared" si="34"/>
        <v>59121.600000000006</v>
      </c>
      <c r="AK32" s="47">
        <f t="shared" si="35"/>
        <v>85973.6</v>
      </c>
    </row>
    <row r="33" spans="1:37" ht="15" thickBot="1" x14ac:dyDescent="0.45">
      <c r="A33" s="135" t="s">
        <v>9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/>
      <c r="R33" s="138"/>
      <c r="T33" s="114" t="s">
        <v>16</v>
      </c>
      <c r="U33" s="24">
        <f>B39</f>
        <v>1260</v>
      </c>
      <c r="V33" s="24">
        <f>C39</f>
        <v>1620</v>
      </c>
      <c r="W33" s="24">
        <f>D39</f>
        <v>2040</v>
      </c>
      <c r="X33" s="39">
        <f t="shared" si="30"/>
        <v>4920</v>
      </c>
      <c r="Y33" s="24">
        <f>F39</f>
        <v>2340</v>
      </c>
      <c r="Z33" s="24">
        <f>G39</f>
        <v>2370</v>
      </c>
      <c r="AA33" s="24">
        <f>H39</f>
        <v>2550</v>
      </c>
      <c r="AB33" s="39">
        <f t="shared" si="31"/>
        <v>7260</v>
      </c>
      <c r="AC33" s="24">
        <f>J39</f>
        <v>2550</v>
      </c>
      <c r="AD33" s="24">
        <f>K39</f>
        <v>2550</v>
      </c>
      <c r="AE33" s="24">
        <f>L39</f>
        <v>2550</v>
      </c>
      <c r="AF33" s="39">
        <f t="shared" si="33"/>
        <v>7650</v>
      </c>
      <c r="AG33" s="24">
        <f>N39</f>
        <v>2550</v>
      </c>
      <c r="AH33" s="24">
        <f>O39</f>
        <v>12510</v>
      </c>
      <c r="AI33" s="24">
        <f>P39</f>
        <v>12510</v>
      </c>
      <c r="AJ33" s="39">
        <f t="shared" si="34"/>
        <v>27570</v>
      </c>
      <c r="AK33" s="47">
        <f t="shared" si="35"/>
        <v>47400</v>
      </c>
    </row>
    <row r="34" spans="1:37" x14ac:dyDescent="0.4">
      <c r="A34" s="116"/>
      <c r="B34" s="26" t="s">
        <v>63</v>
      </c>
      <c r="C34" s="26" t="s">
        <v>64</v>
      </c>
      <c r="D34" s="26" t="s">
        <v>20</v>
      </c>
      <c r="E34" s="37" t="s">
        <v>70</v>
      </c>
      <c r="F34" s="26" t="s">
        <v>2</v>
      </c>
      <c r="G34" s="26" t="s">
        <v>3</v>
      </c>
      <c r="H34" s="26" t="s">
        <v>4</v>
      </c>
      <c r="I34" s="37" t="s">
        <v>71</v>
      </c>
      <c r="J34" s="26" t="s">
        <v>5</v>
      </c>
      <c r="K34" s="26" t="s">
        <v>6</v>
      </c>
      <c r="L34" s="26" t="s">
        <v>65</v>
      </c>
      <c r="M34" s="37" t="s">
        <v>72</v>
      </c>
      <c r="N34" s="26" t="s">
        <v>66</v>
      </c>
      <c r="O34" s="26" t="s">
        <v>67</v>
      </c>
      <c r="P34" s="26" t="s">
        <v>68</v>
      </c>
      <c r="Q34" s="37" t="s">
        <v>73</v>
      </c>
      <c r="R34" s="59" t="s">
        <v>74</v>
      </c>
      <c r="T34" s="114" t="s">
        <v>31</v>
      </c>
      <c r="U34" s="12">
        <f>B49</f>
        <v>663</v>
      </c>
      <c r="V34" s="12">
        <f>C49</f>
        <v>681</v>
      </c>
      <c r="W34" s="12">
        <f>D49</f>
        <v>702</v>
      </c>
      <c r="X34" s="39">
        <f t="shared" si="30"/>
        <v>2046</v>
      </c>
      <c r="Y34" s="12">
        <f>F49</f>
        <v>717</v>
      </c>
      <c r="Z34" s="12">
        <f>G49</f>
        <v>718.5</v>
      </c>
      <c r="AA34" s="12">
        <f>H49</f>
        <v>727.5</v>
      </c>
      <c r="AB34" s="39">
        <f t="shared" si="31"/>
        <v>2163</v>
      </c>
      <c r="AC34" s="12">
        <f>J49</f>
        <v>727.5</v>
      </c>
      <c r="AD34" s="12">
        <f>K49</f>
        <v>727.5</v>
      </c>
      <c r="AE34" s="12">
        <f>L49</f>
        <v>727.5</v>
      </c>
      <c r="AF34" s="39">
        <f t="shared" si="33"/>
        <v>2182.5</v>
      </c>
      <c r="AG34" s="12">
        <f>N49</f>
        <v>727.5</v>
      </c>
      <c r="AH34" s="12">
        <f>O49</f>
        <v>1225.5</v>
      </c>
      <c r="AI34" s="12">
        <f>P49</f>
        <v>1225.5</v>
      </c>
      <c r="AJ34" s="39">
        <f t="shared" si="34"/>
        <v>3178.5</v>
      </c>
      <c r="AK34" s="47">
        <f t="shared" si="35"/>
        <v>9570</v>
      </c>
    </row>
    <row r="35" spans="1:37" x14ac:dyDescent="0.4">
      <c r="A35" s="112" t="s">
        <v>1</v>
      </c>
      <c r="B35" s="6">
        <f>B16</f>
        <v>210</v>
      </c>
      <c r="C35" s="6">
        <f>C16</f>
        <v>270</v>
      </c>
      <c r="D35" s="6">
        <f>D16</f>
        <v>340</v>
      </c>
      <c r="E35" s="38">
        <f>SUM(B35:D35)</f>
        <v>820</v>
      </c>
      <c r="F35" s="6">
        <f>F16</f>
        <v>390</v>
      </c>
      <c r="G35" s="6">
        <f>G16</f>
        <v>395</v>
      </c>
      <c r="H35" s="6">
        <f>H16</f>
        <v>425</v>
      </c>
      <c r="I35" s="38">
        <f>SUM(F35:H35)</f>
        <v>1210</v>
      </c>
      <c r="J35" s="6">
        <f t="shared" ref="J35:P35" si="37">J16</f>
        <v>425</v>
      </c>
      <c r="K35" s="6">
        <f t="shared" si="37"/>
        <v>425</v>
      </c>
      <c r="L35" s="6">
        <f t="shared" si="37"/>
        <v>425</v>
      </c>
      <c r="M35" s="38">
        <f>SUM(J35:L35)</f>
        <v>1275</v>
      </c>
      <c r="N35" s="6">
        <f t="shared" si="37"/>
        <v>425</v>
      </c>
      <c r="O35" s="6">
        <f t="shared" si="37"/>
        <v>2085</v>
      </c>
      <c r="P35" s="6">
        <f t="shared" si="37"/>
        <v>2085</v>
      </c>
      <c r="Q35" s="38">
        <f>SUM(N35:P35)</f>
        <v>4595</v>
      </c>
      <c r="R35" s="46">
        <f>E35+I35+M35+Q35</f>
        <v>7900</v>
      </c>
      <c r="T35" s="114" t="s">
        <v>17</v>
      </c>
      <c r="U35" s="12">
        <v>-150</v>
      </c>
      <c r="V35" s="12">
        <v>-150</v>
      </c>
      <c r="W35" s="12">
        <v>-150</v>
      </c>
      <c r="X35" s="39">
        <f t="shared" si="30"/>
        <v>-450</v>
      </c>
      <c r="Y35" s="12">
        <v>-150</v>
      </c>
      <c r="Z35" s="12">
        <v>-150</v>
      </c>
      <c r="AA35" s="12">
        <v>-150</v>
      </c>
      <c r="AB35" s="39">
        <f t="shared" si="31"/>
        <v>-450</v>
      </c>
      <c r="AC35" s="12">
        <v>-150</v>
      </c>
      <c r="AD35" s="12">
        <v>-150</v>
      </c>
      <c r="AE35" s="12">
        <v>-150</v>
      </c>
      <c r="AF35" s="39">
        <f t="shared" si="33"/>
        <v>-450</v>
      </c>
      <c r="AG35" s="12">
        <v>-150</v>
      </c>
      <c r="AH35" s="12">
        <v>-150</v>
      </c>
      <c r="AI35" s="12">
        <v>-150</v>
      </c>
      <c r="AJ35" s="39">
        <f t="shared" si="34"/>
        <v>-450</v>
      </c>
      <c r="AK35" s="47">
        <f t="shared" si="35"/>
        <v>-1800</v>
      </c>
    </row>
    <row r="36" spans="1:37" x14ac:dyDescent="0.4">
      <c r="A36" s="113" t="s">
        <v>69</v>
      </c>
      <c r="B36" s="8">
        <v>0.5</v>
      </c>
      <c r="C36" s="8">
        <v>0.5</v>
      </c>
      <c r="D36" s="8">
        <v>0.5</v>
      </c>
      <c r="E36" s="56" t="s">
        <v>12</v>
      </c>
      <c r="F36" s="8">
        <v>0.5</v>
      </c>
      <c r="G36" s="8">
        <v>0.5</v>
      </c>
      <c r="H36" s="7">
        <v>0.5</v>
      </c>
      <c r="I36" s="56" t="s">
        <v>12</v>
      </c>
      <c r="J36" s="7">
        <v>0.5</v>
      </c>
      <c r="K36" s="7">
        <v>0.5</v>
      </c>
      <c r="L36" s="7">
        <v>0.5</v>
      </c>
      <c r="M36" s="56" t="s">
        <v>12</v>
      </c>
      <c r="N36" s="7">
        <v>0.5</v>
      </c>
      <c r="O36" s="7">
        <v>0.5</v>
      </c>
      <c r="P36" s="7">
        <v>0.5</v>
      </c>
      <c r="Q36" s="56" t="s">
        <v>12</v>
      </c>
      <c r="R36" s="68" t="s">
        <v>12</v>
      </c>
      <c r="T36" s="114" t="s">
        <v>18</v>
      </c>
      <c r="U36" s="12">
        <f>B73</f>
        <v>815</v>
      </c>
      <c r="V36" s="12">
        <f>C73</f>
        <v>800</v>
      </c>
      <c r="W36" s="12">
        <f>D73</f>
        <v>830</v>
      </c>
      <c r="X36" s="39">
        <f t="shared" si="30"/>
        <v>2445</v>
      </c>
      <c r="Y36" s="12">
        <f>F73</f>
        <v>890</v>
      </c>
      <c r="Z36" s="12">
        <f>G73</f>
        <v>875</v>
      </c>
      <c r="AA36" s="12">
        <f>H73</f>
        <v>905</v>
      </c>
      <c r="AB36" s="39">
        <f t="shared" si="31"/>
        <v>2670</v>
      </c>
      <c r="AC36" s="12">
        <f>J73</f>
        <v>905</v>
      </c>
      <c r="AD36" s="12">
        <f>K73</f>
        <v>905</v>
      </c>
      <c r="AE36" s="12">
        <f>L73</f>
        <v>905</v>
      </c>
      <c r="AF36" s="39">
        <f t="shared" si="33"/>
        <v>2715</v>
      </c>
      <c r="AG36" s="12">
        <f>N73</f>
        <v>905</v>
      </c>
      <c r="AH36" s="12">
        <f>O73</f>
        <v>905</v>
      </c>
      <c r="AI36" s="12">
        <f>P73</f>
        <v>905</v>
      </c>
      <c r="AJ36" s="39">
        <f t="shared" si="34"/>
        <v>2715</v>
      </c>
      <c r="AK36" s="47">
        <f t="shared" si="35"/>
        <v>10545</v>
      </c>
    </row>
    <row r="37" spans="1:37" x14ac:dyDescent="0.4">
      <c r="A37" s="112" t="s">
        <v>27</v>
      </c>
      <c r="B37" s="6">
        <f>B36*B35</f>
        <v>105</v>
      </c>
      <c r="C37" s="6">
        <f>C36*C35</f>
        <v>135</v>
      </c>
      <c r="D37" s="6">
        <f>D36*D35</f>
        <v>170</v>
      </c>
      <c r="E37" s="48">
        <f t="shared" ref="E37" si="38">SUM(B37:D37)</f>
        <v>410</v>
      </c>
      <c r="F37" s="6">
        <f>F36*F35</f>
        <v>195</v>
      </c>
      <c r="G37" s="6">
        <f>G36*G35</f>
        <v>197.5</v>
      </c>
      <c r="H37" s="6">
        <f>H36*H35</f>
        <v>212.5</v>
      </c>
      <c r="I37" s="48">
        <f t="shared" ref="I37" si="39">SUM(F37:H37)</f>
        <v>605</v>
      </c>
      <c r="J37" s="6">
        <f t="shared" ref="J37:P37" si="40">J36*J35</f>
        <v>212.5</v>
      </c>
      <c r="K37" s="6">
        <f t="shared" si="40"/>
        <v>212.5</v>
      </c>
      <c r="L37" s="6">
        <f t="shared" si="40"/>
        <v>212.5</v>
      </c>
      <c r="M37" s="48">
        <f t="shared" ref="M37" si="41">SUM(J37:L37)</f>
        <v>637.5</v>
      </c>
      <c r="N37" s="6">
        <f t="shared" si="40"/>
        <v>212.5</v>
      </c>
      <c r="O37" s="6">
        <f t="shared" si="40"/>
        <v>1042.5</v>
      </c>
      <c r="P37" s="6">
        <f t="shared" si="40"/>
        <v>1042.5</v>
      </c>
      <c r="Q37" s="48">
        <f t="shared" ref="Q37" si="42">SUM(N37:P37)</f>
        <v>2297.5</v>
      </c>
      <c r="R37" s="46">
        <f t="shared" ref="R37" si="43">E37+I37+M37+Q37</f>
        <v>3950</v>
      </c>
      <c r="T37" s="114" t="s">
        <v>19</v>
      </c>
      <c r="U37" s="12">
        <v>0</v>
      </c>
      <c r="V37" s="12">
        <v>3000</v>
      </c>
      <c r="W37" s="12">
        <v>0</v>
      </c>
      <c r="X37" s="39">
        <f t="shared" si="30"/>
        <v>3000</v>
      </c>
      <c r="Y37" s="12">
        <v>0</v>
      </c>
      <c r="Z37" s="12">
        <v>0</v>
      </c>
      <c r="AA37" s="12">
        <v>0</v>
      </c>
      <c r="AB37" s="39">
        <f t="shared" si="31"/>
        <v>0</v>
      </c>
      <c r="AC37" s="12">
        <v>0</v>
      </c>
      <c r="AD37" s="12">
        <v>0</v>
      </c>
      <c r="AE37" s="12">
        <v>0</v>
      </c>
      <c r="AF37" s="39">
        <f t="shared" si="33"/>
        <v>0</v>
      </c>
      <c r="AG37" s="12">
        <v>0</v>
      </c>
      <c r="AH37" s="12">
        <v>0</v>
      </c>
      <c r="AI37" s="12">
        <v>0</v>
      </c>
      <c r="AJ37" s="39">
        <f t="shared" si="34"/>
        <v>0</v>
      </c>
      <c r="AK37" s="47">
        <f t="shared" si="35"/>
        <v>3000</v>
      </c>
    </row>
    <row r="38" spans="1:37" ht="15" thickBot="1" x14ac:dyDescent="0.45">
      <c r="A38" s="113" t="s">
        <v>28</v>
      </c>
      <c r="B38" s="12">
        <v>12</v>
      </c>
      <c r="C38" s="12">
        <v>12</v>
      </c>
      <c r="D38" s="12">
        <v>12</v>
      </c>
      <c r="E38" s="56" t="s">
        <v>12</v>
      </c>
      <c r="F38" s="12">
        <v>12</v>
      </c>
      <c r="G38" s="12">
        <v>12</v>
      </c>
      <c r="H38" s="12">
        <v>12</v>
      </c>
      <c r="I38" s="56" t="s">
        <v>12</v>
      </c>
      <c r="J38" s="12">
        <v>12</v>
      </c>
      <c r="K38" s="12">
        <v>12</v>
      </c>
      <c r="L38" s="12">
        <v>12</v>
      </c>
      <c r="M38" s="56" t="s">
        <v>12</v>
      </c>
      <c r="N38" s="12">
        <v>12</v>
      </c>
      <c r="O38" s="12">
        <v>12</v>
      </c>
      <c r="P38" s="12">
        <v>12</v>
      </c>
      <c r="Q38" s="56" t="s">
        <v>12</v>
      </c>
      <c r="R38" s="68" t="s">
        <v>12</v>
      </c>
      <c r="T38" s="108" t="s">
        <v>13</v>
      </c>
      <c r="U38" s="17">
        <f>SUM(U32:U37)</f>
        <v>4588</v>
      </c>
      <c r="V38" s="17">
        <f>SUM(V32:V37)</f>
        <v>8213.4</v>
      </c>
      <c r="W38" s="17">
        <f>SUM(W32:W37)</f>
        <v>6159.6</v>
      </c>
      <c r="X38" s="87">
        <f>SUM(U38:W38)</f>
        <v>18961</v>
      </c>
      <c r="Y38" s="17">
        <f>SUM(Y32:Y37)</f>
        <v>6870.6</v>
      </c>
      <c r="Z38" s="17">
        <f>SUM(Z32:Z37)</f>
        <v>7025.5</v>
      </c>
      <c r="AA38" s="17">
        <f>SUM(AA32:AA37)</f>
        <v>7398.9</v>
      </c>
      <c r="AB38" s="87">
        <f>SUM(Y38:AA38)</f>
        <v>21295</v>
      </c>
      <c r="AC38" s="17">
        <f t="shared" ref="AC38:AI38" si="44">SUM(AC32:AC37)</f>
        <v>7432.5</v>
      </c>
      <c r="AD38" s="17">
        <f t="shared" si="44"/>
        <v>7432.5</v>
      </c>
      <c r="AE38" s="17">
        <f t="shared" si="44"/>
        <v>7432.5</v>
      </c>
      <c r="AF38" s="87">
        <f>SUM(AC38:AE38)</f>
        <v>22297.5</v>
      </c>
      <c r="AG38" s="17">
        <f t="shared" si="44"/>
        <v>10619.7</v>
      </c>
      <c r="AH38" s="17">
        <f t="shared" si="44"/>
        <v>40476.100000000006</v>
      </c>
      <c r="AI38" s="17">
        <f t="shared" si="44"/>
        <v>41039.300000000003</v>
      </c>
      <c r="AJ38" s="87">
        <f>SUM(AG38:AI38)</f>
        <v>92135.1</v>
      </c>
      <c r="AK38" s="86">
        <f>X38+AB38+AF38+AJ38</f>
        <v>154688.6</v>
      </c>
    </row>
    <row r="39" spans="1:37" ht="15.45" thickTop="1" thickBot="1" x14ac:dyDescent="0.45">
      <c r="A39" s="115" t="s">
        <v>29</v>
      </c>
      <c r="B39" s="16">
        <f>B37*B38</f>
        <v>1260</v>
      </c>
      <c r="C39" s="16">
        <f>C37*C38</f>
        <v>1620</v>
      </c>
      <c r="D39" s="16">
        <f>D37*D38</f>
        <v>2040</v>
      </c>
      <c r="E39" s="71">
        <f>SUM(B39:D39)</f>
        <v>4920</v>
      </c>
      <c r="F39" s="16">
        <f>F37*F38</f>
        <v>2340</v>
      </c>
      <c r="G39" s="16">
        <f>G37*G38</f>
        <v>2370</v>
      </c>
      <c r="H39" s="16">
        <f>H37*H38</f>
        <v>2550</v>
      </c>
      <c r="I39" s="71">
        <f>SUM(F39:H39)</f>
        <v>7260</v>
      </c>
      <c r="J39" s="16">
        <f t="shared" ref="J39:P39" si="45">J37*J38</f>
        <v>2550</v>
      </c>
      <c r="K39" s="16">
        <f t="shared" si="45"/>
        <v>2550</v>
      </c>
      <c r="L39" s="16">
        <f t="shared" si="45"/>
        <v>2550</v>
      </c>
      <c r="M39" s="71">
        <f>SUM(J39:L39)</f>
        <v>7650</v>
      </c>
      <c r="N39" s="16">
        <f t="shared" si="45"/>
        <v>2550</v>
      </c>
      <c r="O39" s="16">
        <f t="shared" si="45"/>
        <v>12510</v>
      </c>
      <c r="P39" s="16">
        <f t="shared" si="45"/>
        <v>12510</v>
      </c>
      <c r="Q39" s="71">
        <f>SUM(N39:P39)</f>
        <v>27570</v>
      </c>
      <c r="R39" s="72">
        <f t="shared" ref="R39" si="46">E39+I39+M39+Q39</f>
        <v>47400</v>
      </c>
    </row>
    <row r="40" spans="1:37" ht="15.45" thickTop="1" thickBot="1" x14ac:dyDescent="0.45">
      <c r="T40" s="124" t="s">
        <v>7</v>
      </c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6"/>
      <c r="AJ40" s="126"/>
      <c r="AK40" s="127"/>
    </row>
    <row r="41" spans="1:37" x14ac:dyDescent="0.4">
      <c r="A41" s="124" t="s">
        <v>7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6"/>
      <c r="Q41" s="126"/>
      <c r="R41" s="127"/>
      <c r="T41" s="132" t="s">
        <v>75</v>
      </c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4"/>
    </row>
    <row r="42" spans="1:37" ht="15" thickBot="1" x14ac:dyDescent="0.45">
      <c r="A42" s="132" t="s">
        <v>30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4"/>
      <c r="T42" s="135" t="s">
        <v>9</v>
      </c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7"/>
      <c r="AJ42" s="137"/>
      <c r="AK42" s="138"/>
    </row>
    <row r="43" spans="1:37" ht="15" thickBot="1" x14ac:dyDescent="0.45">
      <c r="A43" s="135" t="s">
        <v>9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7"/>
      <c r="Q43" s="137"/>
      <c r="R43" s="138"/>
      <c r="T43" s="123"/>
      <c r="U43" s="43" t="s">
        <v>63</v>
      </c>
      <c r="V43" s="31" t="s">
        <v>64</v>
      </c>
      <c r="W43" s="43" t="s">
        <v>20</v>
      </c>
      <c r="X43" s="37" t="s">
        <v>70</v>
      </c>
      <c r="Y43" s="91" t="s">
        <v>2</v>
      </c>
      <c r="Z43" s="91" t="s">
        <v>3</v>
      </c>
      <c r="AA43" s="92" t="s">
        <v>4</v>
      </c>
      <c r="AB43" s="37" t="s">
        <v>71</v>
      </c>
      <c r="AC43" s="91" t="s">
        <v>5</v>
      </c>
      <c r="AD43" s="91" t="s">
        <v>6</v>
      </c>
      <c r="AE43" s="92" t="s">
        <v>65</v>
      </c>
      <c r="AF43" s="37" t="s">
        <v>72</v>
      </c>
      <c r="AG43" s="91" t="s">
        <v>66</v>
      </c>
      <c r="AH43" s="91" t="s">
        <v>67</v>
      </c>
      <c r="AI43" s="92" t="s">
        <v>68</v>
      </c>
      <c r="AJ43" s="61" t="s">
        <v>73</v>
      </c>
      <c r="AK43" s="45" t="s">
        <v>74</v>
      </c>
    </row>
    <row r="44" spans="1:37" x14ac:dyDescent="0.4">
      <c r="A44" s="116"/>
      <c r="B44" s="26" t="s">
        <v>63</v>
      </c>
      <c r="C44" s="26" t="s">
        <v>64</v>
      </c>
      <c r="D44" s="26" t="s">
        <v>20</v>
      </c>
      <c r="E44" s="37" t="s">
        <v>70</v>
      </c>
      <c r="F44" s="26" t="s">
        <v>2</v>
      </c>
      <c r="G44" s="26" t="s">
        <v>3</v>
      </c>
      <c r="H44" s="26" t="s">
        <v>4</v>
      </c>
      <c r="I44" s="37" t="s">
        <v>71</v>
      </c>
      <c r="J44" s="26" t="s">
        <v>5</v>
      </c>
      <c r="K44" s="26" t="s">
        <v>6</v>
      </c>
      <c r="L44" s="26" t="s">
        <v>65</v>
      </c>
      <c r="M44" s="37" t="s">
        <v>72</v>
      </c>
      <c r="N44" s="26" t="s">
        <v>66</v>
      </c>
      <c r="O44" s="26" t="s">
        <v>67</v>
      </c>
      <c r="P44" s="26" t="s">
        <v>68</v>
      </c>
      <c r="Q44" s="37" t="s">
        <v>73</v>
      </c>
      <c r="R44" s="59" t="s">
        <v>74</v>
      </c>
      <c r="T44" s="114" t="s">
        <v>76</v>
      </c>
      <c r="U44" s="90">
        <v>180000</v>
      </c>
      <c r="V44" s="90">
        <v>180000</v>
      </c>
      <c r="W44" s="90">
        <v>180000</v>
      </c>
      <c r="X44" s="39">
        <f>SUM(U44:W44)</f>
        <v>540000</v>
      </c>
      <c r="Y44" s="12">
        <f>W49</f>
        <v>181215.4</v>
      </c>
      <c r="Z44" s="12">
        <f t="shared" ref="Z44:AI44" si="47">Y49</f>
        <v>184094.8</v>
      </c>
      <c r="AA44" s="12">
        <f t="shared" si="47"/>
        <v>186506.8</v>
      </c>
      <c r="AB44" s="39">
        <f>SUM(Y44:AA44)</f>
        <v>551817</v>
      </c>
      <c r="AC44" s="12">
        <f>AA49</f>
        <v>189607.9</v>
      </c>
      <c r="AD44" s="12">
        <f t="shared" si="47"/>
        <v>192800.4</v>
      </c>
      <c r="AE44" s="12">
        <f t="shared" si="47"/>
        <v>195992.9</v>
      </c>
      <c r="AF44" s="39">
        <f>SUM(AC44:AE44)</f>
        <v>578401.19999999995</v>
      </c>
      <c r="AG44" s="12">
        <f>AE49</f>
        <v>199185.4</v>
      </c>
      <c r="AH44" s="12">
        <f t="shared" si="47"/>
        <v>199190.69999999998</v>
      </c>
      <c r="AI44" s="12">
        <f t="shared" si="47"/>
        <v>169339.59999999998</v>
      </c>
      <c r="AJ44" s="39">
        <f>SUM(AG44:AI44)</f>
        <v>567715.69999999995</v>
      </c>
      <c r="AK44" s="47">
        <f t="shared" ref="AK44" si="48">X44+AB44+AF44+AJ44</f>
        <v>2237933.9</v>
      </c>
    </row>
    <row r="45" spans="1:37" x14ac:dyDescent="0.4">
      <c r="A45" s="112" t="s">
        <v>1</v>
      </c>
      <c r="B45" s="6">
        <f>B16</f>
        <v>210</v>
      </c>
      <c r="C45" s="6">
        <f>C16</f>
        <v>270</v>
      </c>
      <c r="D45" s="6">
        <f>D16</f>
        <v>340</v>
      </c>
      <c r="E45" s="38">
        <f>SUM(B45:D45)</f>
        <v>820</v>
      </c>
      <c r="F45" s="6">
        <f>F16</f>
        <v>390</v>
      </c>
      <c r="G45" s="6">
        <f>G16</f>
        <v>395</v>
      </c>
      <c r="H45" s="6">
        <f>H16</f>
        <v>425</v>
      </c>
      <c r="I45" s="38">
        <f>SUM(F45:H45)</f>
        <v>1210</v>
      </c>
      <c r="J45" s="6">
        <f t="shared" ref="J45:P45" si="49">J16</f>
        <v>425</v>
      </c>
      <c r="K45" s="6">
        <f t="shared" si="49"/>
        <v>425</v>
      </c>
      <c r="L45" s="6">
        <f t="shared" si="49"/>
        <v>425</v>
      </c>
      <c r="M45" s="38">
        <f>SUM(J45:L45)</f>
        <v>1275</v>
      </c>
      <c r="N45" s="6">
        <f t="shared" si="49"/>
        <v>425</v>
      </c>
      <c r="O45" s="6">
        <f t="shared" si="49"/>
        <v>2085</v>
      </c>
      <c r="P45" s="6">
        <f t="shared" si="49"/>
        <v>2085</v>
      </c>
      <c r="Q45" s="38">
        <f>SUM(N45:P45)</f>
        <v>4595</v>
      </c>
      <c r="R45" s="46">
        <f>E45+I45+M45+Q45</f>
        <v>7900</v>
      </c>
      <c r="T45" s="114" t="s">
        <v>77</v>
      </c>
      <c r="U45" s="90">
        <f>U22</f>
        <v>6875</v>
      </c>
      <c r="V45" s="90">
        <f t="shared" ref="V45:AI45" si="50">V22</f>
        <v>6312.5</v>
      </c>
      <c r="W45" s="90">
        <f t="shared" si="50"/>
        <v>7375</v>
      </c>
      <c r="X45" s="39">
        <f>SUM(U45:W45)</f>
        <v>20562.5</v>
      </c>
      <c r="Y45" s="90">
        <f t="shared" si="50"/>
        <v>9750</v>
      </c>
      <c r="Z45" s="90">
        <f t="shared" si="50"/>
        <v>9437.5</v>
      </c>
      <c r="AA45" s="90">
        <f t="shared" si="50"/>
        <v>10500</v>
      </c>
      <c r="AB45" s="39">
        <f>SUM(Y45:AA45)</f>
        <v>29687.5</v>
      </c>
      <c r="AC45" s="90">
        <f t="shared" si="50"/>
        <v>10625</v>
      </c>
      <c r="AD45" s="90">
        <f t="shared" si="50"/>
        <v>10625</v>
      </c>
      <c r="AE45" s="90">
        <f t="shared" si="50"/>
        <v>10625</v>
      </c>
      <c r="AF45" s="39">
        <f>SUM(AC45:AE45)</f>
        <v>31875</v>
      </c>
      <c r="AG45" s="90">
        <f t="shared" si="50"/>
        <v>10625</v>
      </c>
      <c r="AH45" s="90">
        <f t="shared" si="50"/>
        <v>10625</v>
      </c>
      <c r="AI45" s="90">
        <f t="shared" si="50"/>
        <v>12750</v>
      </c>
      <c r="AJ45" s="39">
        <f>SUM(AG45:AI45)</f>
        <v>34000</v>
      </c>
      <c r="AK45" s="47">
        <f>X45+AB45+AF45+AJ45</f>
        <v>116125</v>
      </c>
    </row>
    <row r="46" spans="1:37" x14ac:dyDescent="0.4">
      <c r="A46" s="113" t="s">
        <v>47</v>
      </c>
      <c r="B46" s="20">
        <v>0.3</v>
      </c>
      <c r="C46" s="20">
        <v>0.3</v>
      </c>
      <c r="D46" s="20">
        <v>0.3</v>
      </c>
      <c r="E46" s="56" t="s">
        <v>12</v>
      </c>
      <c r="F46" s="20">
        <v>0.3</v>
      </c>
      <c r="G46" s="20">
        <v>0.3</v>
      </c>
      <c r="H46" s="13">
        <v>0.3</v>
      </c>
      <c r="I46" s="56" t="s">
        <v>12</v>
      </c>
      <c r="J46" s="13">
        <v>0.3</v>
      </c>
      <c r="K46" s="13">
        <v>0.3</v>
      </c>
      <c r="L46" s="13">
        <v>0.3</v>
      </c>
      <c r="M46" s="56" t="s">
        <v>12</v>
      </c>
      <c r="N46" s="13">
        <v>0.3</v>
      </c>
      <c r="O46" s="13">
        <v>0.3</v>
      </c>
      <c r="P46" s="13">
        <v>0.3</v>
      </c>
      <c r="Q46" s="56" t="s">
        <v>12</v>
      </c>
      <c r="R46" s="68" t="s">
        <v>12</v>
      </c>
      <c r="T46" s="113" t="s">
        <v>78</v>
      </c>
      <c r="U46" s="13">
        <f>-U38</f>
        <v>-4588</v>
      </c>
      <c r="V46" s="13">
        <f t="shared" ref="V46:AI46" si="51">-V38</f>
        <v>-8213.4</v>
      </c>
      <c r="W46" s="13">
        <f t="shared" si="51"/>
        <v>-6159.6</v>
      </c>
      <c r="X46" s="88">
        <f t="shared" ref="X46" si="52">SUM(U46:W46)</f>
        <v>-18961</v>
      </c>
      <c r="Y46" s="13">
        <f t="shared" si="51"/>
        <v>-6870.6</v>
      </c>
      <c r="Z46" s="13">
        <f t="shared" si="51"/>
        <v>-7025.5</v>
      </c>
      <c r="AA46" s="13">
        <f t="shared" si="51"/>
        <v>-7398.9</v>
      </c>
      <c r="AB46" s="88">
        <f t="shared" ref="AB46" si="53">SUM(Y46:AA46)</f>
        <v>-21295</v>
      </c>
      <c r="AC46" s="13">
        <f t="shared" si="51"/>
        <v>-7432.5</v>
      </c>
      <c r="AD46" s="13">
        <f t="shared" si="51"/>
        <v>-7432.5</v>
      </c>
      <c r="AE46" s="13">
        <f t="shared" si="51"/>
        <v>-7432.5</v>
      </c>
      <c r="AF46" s="88">
        <f t="shared" ref="AF46" si="54">SUM(AC46:AE46)</f>
        <v>-22297.5</v>
      </c>
      <c r="AG46" s="13">
        <f t="shared" si="51"/>
        <v>-10619.7</v>
      </c>
      <c r="AH46" s="13">
        <f t="shared" si="51"/>
        <v>-40476.100000000006</v>
      </c>
      <c r="AI46" s="13">
        <f t="shared" si="51"/>
        <v>-41039.300000000003</v>
      </c>
      <c r="AJ46" s="88">
        <f t="shared" ref="AJ46" si="55">SUM(AG46:AI46)</f>
        <v>-92135.1</v>
      </c>
      <c r="AK46" s="89">
        <f t="shared" ref="AK46" si="56">X46+AB46+AF46+AJ46</f>
        <v>-154688.6</v>
      </c>
    </row>
    <row r="47" spans="1:37" x14ac:dyDescent="0.4">
      <c r="A47" s="112" t="s">
        <v>33</v>
      </c>
      <c r="B47" s="21">
        <f>B46*B45</f>
        <v>63</v>
      </c>
      <c r="C47" s="21">
        <f>C46*C45</f>
        <v>81</v>
      </c>
      <c r="D47" s="21">
        <f>D46*D45</f>
        <v>102</v>
      </c>
      <c r="E47" s="39">
        <f t="shared" ref="E47" si="57">SUM(B47:D47)</f>
        <v>246</v>
      </c>
      <c r="F47" s="21">
        <f>F46*F45</f>
        <v>117</v>
      </c>
      <c r="G47" s="21">
        <f>G46*G45</f>
        <v>118.5</v>
      </c>
      <c r="H47" s="21">
        <f>H46*H45</f>
        <v>127.5</v>
      </c>
      <c r="I47" s="39">
        <f t="shared" ref="I47" si="58">SUM(F47:H47)</f>
        <v>363</v>
      </c>
      <c r="J47" s="21">
        <f t="shared" ref="J47:P47" si="59">J46*J45</f>
        <v>127.5</v>
      </c>
      <c r="K47" s="21">
        <f t="shared" si="59"/>
        <v>127.5</v>
      </c>
      <c r="L47" s="21">
        <f t="shared" si="59"/>
        <v>127.5</v>
      </c>
      <c r="M47" s="39">
        <f t="shared" ref="M47" si="60">SUM(J47:L47)</f>
        <v>382.5</v>
      </c>
      <c r="N47" s="21">
        <f t="shared" si="59"/>
        <v>127.5</v>
      </c>
      <c r="O47" s="21">
        <f t="shared" si="59"/>
        <v>625.5</v>
      </c>
      <c r="P47" s="21">
        <f t="shared" si="59"/>
        <v>625.5</v>
      </c>
      <c r="Q47" s="39">
        <f t="shared" ref="Q47" si="61">SUM(N47:P47)</f>
        <v>1378.5</v>
      </c>
      <c r="R47" s="73">
        <f t="shared" ref="R47" si="62">E47+I47+M47+Q47</f>
        <v>2370</v>
      </c>
      <c r="T47" s="114" t="s">
        <v>79</v>
      </c>
      <c r="U47" s="90">
        <f>SUM(U44:U46)</f>
        <v>182287</v>
      </c>
      <c r="V47" s="90">
        <f t="shared" ref="V47:AI47" si="63">SUM(V44:V46)</f>
        <v>178099.1</v>
      </c>
      <c r="W47" s="90">
        <f t="shared" si="63"/>
        <v>181215.4</v>
      </c>
      <c r="X47" s="39">
        <f>SUM(U47:W47)</f>
        <v>541601.5</v>
      </c>
      <c r="Y47" s="90">
        <f t="shared" si="63"/>
        <v>184094.8</v>
      </c>
      <c r="Z47" s="90">
        <f t="shared" si="63"/>
        <v>186506.8</v>
      </c>
      <c r="AA47" s="90">
        <f t="shared" si="63"/>
        <v>189607.9</v>
      </c>
      <c r="AB47" s="39">
        <f>SUM(Y47:AA47)</f>
        <v>560209.5</v>
      </c>
      <c r="AC47" s="90">
        <f t="shared" si="63"/>
        <v>192800.4</v>
      </c>
      <c r="AD47" s="90">
        <f t="shared" si="63"/>
        <v>195992.9</v>
      </c>
      <c r="AE47" s="90">
        <f t="shared" si="63"/>
        <v>199185.4</v>
      </c>
      <c r="AF47" s="39">
        <f>SUM(AC47:AE47)</f>
        <v>587978.69999999995</v>
      </c>
      <c r="AG47" s="90">
        <f t="shared" si="63"/>
        <v>199190.69999999998</v>
      </c>
      <c r="AH47" s="90">
        <f t="shared" si="63"/>
        <v>169339.59999999998</v>
      </c>
      <c r="AI47" s="90">
        <f t="shared" si="63"/>
        <v>141050.29999999999</v>
      </c>
      <c r="AJ47" s="39">
        <f>SUM(AG47:AI47)</f>
        <v>509580.59999999992</v>
      </c>
      <c r="AK47" s="47">
        <f>X47+AB47+AF47+AJ47</f>
        <v>2199370.2999999998</v>
      </c>
    </row>
    <row r="48" spans="1:37" x14ac:dyDescent="0.4">
      <c r="A48" s="113" t="s">
        <v>32</v>
      </c>
      <c r="B48" s="12">
        <v>600</v>
      </c>
      <c r="C48" s="12">
        <v>600</v>
      </c>
      <c r="D48" s="12">
        <v>600</v>
      </c>
      <c r="E48" s="56" t="s">
        <v>12</v>
      </c>
      <c r="F48" s="12">
        <v>600</v>
      </c>
      <c r="G48" s="12">
        <v>600</v>
      </c>
      <c r="H48" s="12">
        <v>600</v>
      </c>
      <c r="I48" s="56" t="s">
        <v>12</v>
      </c>
      <c r="J48" s="12">
        <v>600</v>
      </c>
      <c r="K48" s="12">
        <v>600</v>
      </c>
      <c r="L48" s="12">
        <v>600</v>
      </c>
      <c r="M48" s="56" t="s">
        <v>12</v>
      </c>
      <c r="N48" s="12">
        <v>600</v>
      </c>
      <c r="O48" s="12">
        <v>600</v>
      </c>
      <c r="P48" s="12">
        <v>600</v>
      </c>
      <c r="Q48" s="56" t="s">
        <v>12</v>
      </c>
      <c r="R48" s="68" t="s">
        <v>12</v>
      </c>
      <c r="T48" s="114" t="s">
        <v>80</v>
      </c>
      <c r="U48" s="24">
        <v>0</v>
      </c>
      <c r="V48" s="24">
        <v>0</v>
      </c>
      <c r="W48" s="24">
        <v>0</v>
      </c>
      <c r="X48" s="39">
        <f>SUM(U48:W48)</f>
        <v>0</v>
      </c>
      <c r="Y48" s="24">
        <v>0</v>
      </c>
      <c r="Z48" s="24">
        <v>0</v>
      </c>
      <c r="AA48" s="24">
        <v>0</v>
      </c>
      <c r="AB48" s="39">
        <f>SUM(Y48:AA48)</f>
        <v>0</v>
      </c>
      <c r="AC48" s="24">
        <v>0</v>
      </c>
      <c r="AD48" s="24">
        <v>0</v>
      </c>
      <c r="AE48" s="24">
        <v>0</v>
      </c>
      <c r="AF48" s="39">
        <f>SUM(AC48:AE48)</f>
        <v>0</v>
      </c>
      <c r="AG48" s="24">
        <v>0</v>
      </c>
      <c r="AH48" s="24">
        <v>0</v>
      </c>
      <c r="AI48" s="24">
        <v>0</v>
      </c>
      <c r="AJ48" s="39">
        <f>SUM(AG48:AI48)</f>
        <v>0</v>
      </c>
      <c r="AK48" s="89">
        <f t="shared" ref="AK48" si="64">X48+AB48+AF48+AJ48</f>
        <v>0</v>
      </c>
    </row>
    <row r="49" spans="1:37" ht="15" thickBot="1" x14ac:dyDescent="0.45">
      <c r="A49" s="115" t="s">
        <v>34</v>
      </c>
      <c r="B49" s="17">
        <f>B47+B48</f>
        <v>663</v>
      </c>
      <c r="C49" s="17">
        <f>C47+C48</f>
        <v>681</v>
      </c>
      <c r="D49" s="17">
        <f>D47+D48</f>
        <v>702</v>
      </c>
      <c r="E49" s="71">
        <f>SUM(B49:D49)</f>
        <v>2046</v>
      </c>
      <c r="F49" s="17">
        <f>F47+F48</f>
        <v>717</v>
      </c>
      <c r="G49" s="17">
        <f>G47+G48</f>
        <v>718.5</v>
      </c>
      <c r="H49" s="17">
        <f>H47+H48</f>
        <v>727.5</v>
      </c>
      <c r="I49" s="71">
        <f>SUM(F49:H49)</f>
        <v>2163</v>
      </c>
      <c r="J49" s="17">
        <f t="shared" ref="J49:P49" si="65">J47+J48</f>
        <v>727.5</v>
      </c>
      <c r="K49" s="17">
        <f t="shared" si="65"/>
        <v>727.5</v>
      </c>
      <c r="L49" s="17">
        <f t="shared" si="65"/>
        <v>727.5</v>
      </c>
      <c r="M49" s="71">
        <f>SUM(J49:L49)</f>
        <v>2182.5</v>
      </c>
      <c r="N49" s="17">
        <f t="shared" si="65"/>
        <v>727.5</v>
      </c>
      <c r="O49" s="17">
        <f t="shared" si="65"/>
        <v>1225.5</v>
      </c>
      <c r="P49" s="17">
        <f t="shared" si="65"/>
        <v>1225.5</v>
      </c>
      <c r="Q49" s="71">
        <f>SUM(N49:P49)</f>
        <v>3178.5</v>
      </c>
      <c r="R49" s="72">
        <f t="shared" ref="R49" si="66">E49+I49+M49+Q49</f>
        <v>9570</v>
      </c>
      <c r="T49" s="108" t="s">
        <v>81</v>
      </c>
      <c r="U49" s="17">
        <f>SUM(U47:U48)</f>
        <v>182287</v>
      </c>
      <c r="V49" s="17">
        <f>SUM(V47:V48)</f>
        <v>178099.1</v>
      </c>
      <c r="W49" s="17">
        <f>SUM(W47:W48)</f>
        <v>181215.4</v>
      </c>
      <c r="X49" s="87">
        <f>SUM(U49:W49)</f>
        <v>541601.5</v>
      </c>
      <c r="Y49" s="17">
        <f>SUM(Y47:Y48)</f>
        <v>184094.8</v>
      </c>
      <c r="Z49" s="17">
        <f>SUM(Z47:Z48)</f>
        <v>186506.8</v>
      </c>
      <c r="AA49" s="17">
        <f>SUM(AA47:AA48)</f>
        <v>189607.9</v>
      </c>
      <c r="AB49" s="87">
        <f>SUM(Y49:AA49)</f>
        <v>560209.5</v>
      </c>
      <c r="AC49" s="17">
        <f>SUM(AC47:AC48)</f>
        <v>192800.4</v>
      </c>
      <c r="AD49" s="17">
        <f>SUM(AD47:AD48)</f>
        <v>195992.9</v>
      </c>
      <c r="AE49" s="17">
        <f>SUM(AE47:AE48)</f>
        <v>199185.4</v>
      </c>
      <c r="AF49" s="87">
        <f>SUM(AC49:AE49)</f>
        <v>587978.69999999995</v>
      </c>
      <c r="AG49" s="17">
        <f>SUM(AG47:AG48)</f>
        <v>199190.69999999998</v>
      </c>
      <c r="AH49" s="17">
        <f>SUM(AH47:AH48)</f>
        <v>169339.59999999998</v>
      </c>
      <c r="AI49" s="17">
        <f>SUM(AI47:AI48)</f>
        <v>141050.29999999999</v>
      </c>
      <c r="AJ49" s="87">
        <f>SUM(AG49:AI49)</f>
        <v>509580.59999999992</v>
      </c>
      <c r="AK49" s="86">
        <f>X49+AB49+AF49+AJ49</f>
        <v>2199370.2999999998</v>
      </c>
    </row>
    <row r="50" spans="1:37" ht="15.45" thickTop="1" thickBot="1" x14ac:dyDescent="0.45"/>
    <row r="51" spans="1:37" x14ac:dyDescent="0.4">
      <c r="A51" s="124" t="s">
        <v>7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6"/>
      <c r="Q51" s="126"/>
      <c r="R51" s="127"/>
    </row>
    <row r="52" spans="1:37" x14ac:dyDescent="0.4">
      <c r="A52" s="132" t="s">
        <v>35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4"/>
    </row>
    <row r="53" spans="1:37" ht="15" thickBot="1" x14ac:dyDescent="0.45">
      <c r="A53" s="135" t="s">
        <v>9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7"/>
      <c r="Q53" s="137"/>
      <c r="R53" s="138"/>
    </row>
    <row r="54" spans="1:37" x14ac:dyDescent="0.4">
      <c r="A54" s="116" t="s">
        <v>36</v>
      </c>
      <c r="B54" s="18" t="s">
        <v>39</v>
      </c>
      <c r="C54" s="13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1"/>
    </row>
    <row r="55" spans="1:37" x14ac:dyDescent="0.4">
      <c r="A55" s="112" t="s">
        <v>62</v>
      </c>
      <c r="B55" s="21">
        <f>B28*B23</f>
        <v>8</v>
      </c>
      <c r="C55" s="142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4"/>
    </row>
    <row r="56" spans="1:37" x14ac:dyDescent="0.4">
      <c r="A56" s="114" t="s">
        <v>61</v>
      </c>
      <c r="B56" s="12">
        <f>B36*B38</f>
        <v>6</v>
      </c>
      <c r="C56" s="142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4"/>
    </row>
    <row r="57" spans="1:37" x14ac:dyDescent="0.4">
      <c r="A57" s="114" t="s">
        <v>37</v>
      </c>
      <c r="B57" s="12">
        <f>B46</f>
        <v>0.3</v>
      </c>
      <c r="C57" s="142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4"/>
    </row>
    <row r="58" spans="1:37" x14ac:dyDescent="0.4">
      <c r="A58" s="113" t="s">
        <v>32</v>
      </c>
      <c r="B58" s="12">
        <v>1.8</v>
      </c>
      <c r="C58" s="142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4"/>
    </row>
    <row r="59" spans="1:37" ht="15" thickBot="1" x14ac:dyDescent="0.45">
      <c r="A59" s="115" t="s">
        <v>38</v>
      </c>
      <c r="B59" s="22">
        <f>SUM(B55:B58)</f>
        <v>16.100000000000001</v>
      </c>
      <c r="C59" s="145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7"/>
    </row>
    <row r="60" spans="1:37" ht="15" thickTop="1" x14ac:dyDescent="0.4">
      <c r="A60" s="111"/>
      <c r="B60" s="26" t="s">
        <v>63</v>
      </c>
      <c r="C60" s="3" t="s">
        <v>64</v>
      </c>
      <c r="D60" s="43" t="s">
        <v>20</v>
      </c>
      <c r="E60" s="37" t="s">
        <v>70</v>
      </c>
      <c r="F60" s="1" t="s">
        <v>2</v>
      </c>
      <c r="G60" s="1" t="s">
        <v>3</v>
      </c>
      <c r="H60" s="27" t="s">
        <v>4</v>
      </c>
      <c r="I60" s="37" t="s">
        <v>71</v>
      </c>
      <c r="J60" s="1" t="s">
        <v>5</v>
      </c>
      <c r="K60" s="1" t="s">
        <v>6</v>
      </c>
      <c r="L60" s="27" t="s">
        <v>65</v>
      </c>
      <c r="M60" s="37" t="s">
        <v>72</v>
      </c>
      <c r="N60" s="1" t="s">
        <v>66</v>
      </c>
      <c r="O60" s="1" t="s">
        <v>67</v>
      </c>
      <c r="P60" s="27" t="s">
        <v>68</v>
      </c>
      <c r="Q60" s="61" t="s">
        <v>73</v>
      </c>
      <c r="R60" s="45" t="s">
        <v>74</v>
      </c>
    </row>
    <row r="61" spans="1:37" x14ac:dyDescent="0.4">
      <c r="A61" s="112" t="s">
        <v>40</v>
      </c>
      <c r="B61" s="6">
        <f>B13</f>
        <v>275</v>
      </c>
      <c r="C61" s="6">
        <f>C13</f>
        <v>250</v>
      </c>
      <c r="D61" s="6">
        <f>D13</f>
        <v>300</v>
      </c>
      <c r="E61" s="38">
        <f>SUM(B61:D61)</f>
        <v>825</v>
      </c>
      <c r="F61" s="6">
        <f>F13</f>
        <v>400</v>
      </c>
      <c r="G61" s="6">
        <f>G13</f>
        <v>375</v>
      </c>
      <c r="H61" s="6">
        <f>H13</f>
        <v>425</v>
      </c>
      <c r="I61" s="38">
        <f>SUM(F61:H61)</f>
        <v>1200</v>
      </c>
      <c r="J61" s="6">
        <f>J13</f>
        <v>425</v>
      </c>
      <c r="K61" s="6">
        <f>K13</f>
        <v>425</v>
      </c>
      <c r="L61" s="6">
        <f>L13</f>
        <v>425</v>
      </c>
      <c r="M61" s="38">
        <f>SUM(J61:L61)</f>
        <v>1275</v>
      </c>
      <c r="N61" s="6">
        <f>N13</f>
        <v>425</v>
      </c>
      <c r="O61" s="6">
        <f>O13</f>
        <v>425</v>
      </c>
      <c r="P61" s="6">
        <f>P13</f>
        <v>425</v>
      </c>
      <c r="Q61" s="38">
        <f>SUM(N61:P61)</f>
        <v>1275</v>
      </c>
      <c r="R61" s="46">
        <f>E61+I61+M61+Q61</f>
        <v>4575</v>
      </c>
    </row>
    <row r="62" spans="1:37" x14ac:dyDescent="0.4">
      <c r="A62" s="113" t="s">
        <v>38</v>
      </c>
      <c r="B62" s="20">
        <f>$B59</f>
        <v>16.100000000000001</v>
      </c>
      <c r="C62" s="20">
        <f>$B59</f>
        <v>16.100000000000001</v>
      </c>
      <c r="D62" s="20">
        <f>$B59</f>
        <v>16.100000000000001</v>
      </c>
      <c r="E62" s="39">
        <v>16.100000000000001</v>
      </c>
      <c r="F62" s="20">
        <f>$B59</f>
        <v>16.100000000000001</v>
      </c>
      <c r="G62" s="20">
        <f>$B59</f>
        <v>16.100000000000001</v>
      </c>
      <c r="H62" s="13">
        <f>$B59</f>
        <v>16.100000000000001</v>
      </c>
      <c r="I62" s="39">
        <v>16.100000000000001</v>
      </c>
      <c r="J62" s="13">
        <f>$B59</f>
        <v>16.100000000000001</v>
      </c>
      <c r="K62" s="13">
        <f>$B59</f>
        <v>16.100000000000001</v>
      </c>
      <c r="L62" s="13">
        <f>$B59</f>
        <v>16.100000000000001</v>
      </c>
      <c r="M62" s="39">
        <v>16.100000000000001</v>
      </c>
      <c r="N62" s="13">
        <f>$B59</f>
        <v>16.100000000000001</v>
      </c>
      <c r="O62" s="13">
        <f>$B59</f>
        <v>16.100000000000001</v>
      </c>
      <c r="P62" s="13">
        <f>$B59</f>
        <v>16.100000000000001</v>
      </c>
      <c r="Q62" s="39">
        <v>16.100000000000001</v>
      </c>
      <c r="R62" s="47">
        <v>16.100000000000001</v>
      </c>
    </row>
    <row r="63" spans="1:37" ht="15" thickBot="1" x14ac:dyDescent="0.45">
      <c r="A63" s="108" t="s">
        <v>41</v>
      </c>
      <c r="B63" s="25">
        <f>B62*B61</f>
        <v>4427.5</v>
      </c>
      <c r="C63" s="25">
        <f>C62*C61</f>
        <v>4025.0000000000005</v>
      </c>
      <c r="D63" s="25">
        <f>D62*D61</f>
        <v>4830</v>
      </c>
      <c r="E63" s="49">
        <f>SUM(B63:D63)</f>
        <v>13282.5</v>
      </c>
      <c r="F63" s="25">
        <f>F62*F61</f>
        <v>6440.0000000000009</v>
      </c>
      <c r="G63" s="25">
        <f>G62*G61</f>
        <v>6037.5000000000009</v>
      </c>
      <c r="H63" s="25">
        <f>H62*H61</f>
        <v>6842.5000000000009</v>
      </c>
      <c r="I63" s="49">
        <f>SUM(F63:H63)</f>
        <v>19320.000000000004</v>
      </c>
      <c r="J63" s="25">
        <f t="shared" ref="J63:P63" si="67">J62*J61</f>
        <v>6842.5000000000009</v>
      </c>
      <c r="K63" s="25">
        <f t="shared" si="67"/>
        <v>6842.5000000000009</v>
      </c>
      <c r="L63" s="25">
        <f t="shared" si="67"/>
        <v>6842.5000000000009</v>
      </c>
      <c r="M63" s="49">
        <f>SUM(J63:L63)</f>
        <v>20527.500000000004</v>
      </c>
      <c r="N63" s="25">
        <f t="shared" si="67"/>
        <v>6842.5000000000009</v>
      </c>
      <c r="O63" s="25">
        <f t="shared" si="67"/>
        <v>6842.5000000000009</v>
      </c>
      <c r="P63" s="25">
        <f t="shared" si="67"/>
        <v>6842.5000000000009</v>
      </c>
      <c r="Q63" s="49">
        <f>SUM(N63:P63)</f>
        <v>20527.500000000004</v>
      </c>
      <c r="R63" s="49">
        <f>E63+I63+M63+Q63</f>
        <v>73657.500000000015</v>
      </c>
    </row>
    <row r="64" spans="1:37" ht="15.45" thickTop="1" thickBot="1" x14ac:dyDescent="0.45"/>
    <row r="65" spans="1:18" x14ac:dyDescent="0.4">
      <c r="A65" s="124" t="s">
        <v>7</v>
      </c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6"/>
      <c r="Q65" s="126"/>
      <c r="R65" s="127"/>
    </row>
    <row r="66" spans="1:18" x14ac:dyDescent="0.4">
      <c r="A66" s="132" t="s">
        <v>42</v>
      </c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4"/>
    </row>
    <row r="67" spans="1:18" ht="15" thickBot="1" x14ac:dyDescent="0.45">
      <c r="A67" s="135" t="s">
        <v>9</v>
      </c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7"/>
      <c r="Q67" s="137"/>
      <c r="R67" s="138"/>
    </row>
    <row r="68" spans="1:18" x14ac:dyDescent="0.4">
      <c r="A68" s="111"/>
      <c r="B68" s="26" t="s">
        <v>63</v>
      </c>
      <c r="C68" s="3" t="s">
        <v>64</v>
      </c>
      <c r="D68" s="43" t="s">
        <v>20</v>
      </c>
      <c r="E68" s="37" t="s">
        <v>70</v>
      </c>
      <c r="F68" s="1" t="s">
        <v>2</v>
      </c>
      <c r="G68" s="1" t="s">
        <v>3</v>
      </c>
      <c r="H68" s="27" t="s">
        <v>4</v>
      </c>
      <c r="I68" s="37" t="s">
        <v>71</v>
      </c>
      <c r="J68" s="1" t="s">
        <v>5</v>
      </c>
      <c r="K68" s="1" t="s">
        <v>6</v>
      </c>
      <c r="L68" s="27" t="s">
        <v>65</v>
      </c>
      <c r="M68" s="37" t="s">
        <v>72</v>
      </c>
      <c r="N68" s="1" t="s">
        <v>66</v>
      </c>
      <c r="O68" s="1" t="s">
        <v>67</v>
      </c>
      <c r="P68" s="27" t="s">
        <v>68</v>
      </c>
      <c r="Q68" s="61" t="s">
        <v>73</v>
      </c>
      <c r="R68" s="45" t="s">
        <v>74</v>
      </c>
    </row>
    <row r="69" spans="1:18" x14ac:dyDescent="0.4">
      <c r="A69" s="112" t="s">
        <v>40</v>
      </c>
      <c r="B69" s="6">
        <f>B5</f>
        <v>275</v>
      </c>
      <c r="C69" s="6">
        <f>C5</f>
        <v>250</v>
      </c>
      <c r="D69" s="6">
        <f>D5</f>
        <v>300</v>
      </c>
      <c r="E69" s="38">
        <f>SUM(B69:D69)</f>
        <v>825</v>
      </c>
      <c r="F69" s="6">
        <f>F5</f>
        <v>400</v>
      </c>
      <c r="G69" s="6">
        <f>G5</f>
        <v>375</v>
      </c>
      <c r="H69" s="6">
        <f>H5</f>
        <v>425</v>
      </c>
      <c r="I69" s="38">
        <f>SUM(F69:H69)</f>
        <v>1200</v>
      </c>
      <c r="J69" s="6">
        <f>J5</f>
        <v>425</v>
      </c>
      <c r="K69" s="6">
        <f>K5</f>
        <v>425</v>
      </c>
      <c r="L69" s="6">
        <f>L5</f>
        <v>425</v>
      </c>
      <c r="M69" s="38">
        <f>SUM(J69:L69)</f>
        <v>1275</v>
      </c>
      <c r="N69" s="6">
        <f>N5</f>
        <v>425</v>
      </c>
      <c r="O69" s="6">
        <f>O5</f>
        <v>425</v>
      </c>
      <c r="P69" s="6">
        <f>P5</f>
        <v>425</v>
      </c>
      <c r="Q69" s="38">
        <f>SUM(N69:P69)</f>
        <v>1275</v>
      </c>
      <c r="R69" s="46">
        <f>E69+I69+M69+Q69</f>
        <v>4575</v>
      </c>
    </row>
    <row r="70" spans="1:18" x14ac:dyDescent="0.4">
      <c r="A70" s="113" t="s">
        <v>50</v>
      </c>
      <c r="B70" s="20">
        <v>0.6</v>
      </c>
      <c r="C70" s="20">
        <v>0.6</v>
      </c>
      <c r="D70" s="20">
        <v>0.6</v>
      </c>
      <c r="E70" s="39">
        <v>0.6</v>
      </c>
      <c r="F70" s="20">
        <v>0.6</v>
      </c>
      <c r="G70" s="20">
        <v>0.6</v>
      </c>
      <c r="H70" s="13">
        <v>0.6</v>
      </c>
      <c r="I70" s="39">
        <v>0.6</v>
      </c>
      <c r="J70" s="13">
        <v>0.6</v>
      </c>
      <c r="K70" s="13">
        <v>0.6</v>
      </c>
      <c r="L70" s="13">
        <v>0.6</v>
      </c>
      <c r="M70" s="39">
        <v>0.6</v>
      </c>
      <c r="N70" s="13">
        <v>0.6</v>
      </c>
      <c r="O70" s="13">
        <v>0.6</v>
      </c>
      <c r="P70" s="13">
        <v>0.6</v>
      </c>
      <c r="Q70" s="39">
        <v>0.6</v>
      </c>
      <c r="R70" s="47">
        <v>0.6</v>
      </c>
    </row>
    <row r="71" spans="1:18" x14ac:dyDescent="0.4">
      <c r="A71" s="114" t="s">
        <v>43</v>
      </c>
      <c r="B71" s="21">
        <f>B70*B69</f>
        <v>165</v>
      </c>
      <c r="C71" s="21">
        <f>C70*C69</f>
        <v>150</v>
      </c>
      <c r="D71" s="21">
        <f>D70*D69</f>
        <v>180</v>
      </c>
      <c r="E71" s="75">
        <f>SUM(B71:D71)</f>
        <v>495</v>
      </c>
      <c r="F71" s="21">
        <f>F70*F69</f>
        <v>240</v>
      </c>
      <c r="G71" s="21">
        <f>G70*G69</f>
        <v>225</v>
      </c>
      <c r="H71" s="21">
        <f>H70*H69</f>
        <v>255</v>
      </c>
      <c r="I71" s="75">
        <f>SUM(F71:H71)</f>
        <v>720</v>
      </c>
      <c r="J71" s="21">
        <f t="shared" ref="J71:P71" si="68">J70*J69</f>
        <v>255</v>
      </c>
      <c r="K71" s="21">
        <f t="shared" si="68"/>
        <v>255</v>
      </c>
      <c r="L71" s="21">
        <f t="shared" si="68"/>
        <v>255</v>
      </c>
      <c r="M71" s="75">
        <f>SUM(J71:L71)</f>
        <v>765</v>
      </c>
      <c r="N71" s="21">
        <f t="shared" si="68"/>
        <v>255</v>
      </c>
      <c r="O71" s="21">
        <f t="shared" si="68"/>
        <v>255</v>
      </c>
      <c r="P71" s="21">
        <f t="shared" si="68"/>
        <v>255</v>
      </c>
      <c r="Q71" s="75">
        <f>SUM(N71:P71)</f>
        <v>765</v>
      </c>
      <c r="R71" s="73">
        <f>E71+I71+M71+Q71</f>
        <v>2745</v>
      </c>
    </row>
    <row r="72" spans="1:18" x14ac:dyDescent="0.4">
      <c r="A72" s="114" t="s">
        <v>44</v>
      </c>
      <c r="B72" s="12">
        <v>650</v>
      </c>
      <c r="C72" s="12">
        <v>650</v>
      </c>
      <c r="D72" s="12">
        <v>650</v>
      </c>
      <c r="E72" s="74" t="s">
        <v>12</v>
      </c>
      <c r="F72" s="12">
        <v>650</v>
      </c>
      <c r="G72" s="12">
        <v>650</v>
      </c>
      <c r="H72" s="12">
        <v>650</v>
      </c>
      <c r="I72" s="74" t="s">
        <v>12</v>
      </c>
      <c r="J72" s="12">
        <v>650</v>
      </c>
      <c r="K72" s="12">
        <v>650</v>
      </c>
      <c r="L72" s="12">
        <v>650</v>
      </c>
      <c r="M72" s="74" t="s">
        <v>12</v>
      </c>
      <c r="N72" s="12">
        <v>650</v>
      </c>
      <c r="O72" s="12">
        <v>650</v>
      </c>
      <c r="P72" s="12">
        <v>650</v>
      </c>
      <c r="Q72" s="74" t="s">
        <v>12</v>
      </c>
      <c r="R72" s="82">
        <f>SUM(B72:P72)</f>
        <v>7800</v>
      </c>
    </row>
    <row r="73" spans="1:18" ht="15" thickBot="1" x14ac:dyDescent="0.45">
      <c r="A73" s="115" t="s">
        <v>45</v>
      </c>
      <c r="B73" s="17">
        <f>B71+B72</f>
        <v>815</v>
      </c>
      <c r="C73" s="17">
        <f>C71+C72</f>
        <v>800</v>
      </c>
      <c r="D73" s="17">
        <f>D71+D72</f>
        <v>830</v>
      </c>
      <c r="E73" s="49">
        <f>SUM(B73:D73)</f>
        <v>2445</v>
      </c>
      <c r="F73" s="17">
        <f>F71+F72</f>
        <v>890</v>
      </c>
      <c r="G73" s="17">
        <f>G71+G72</f>
        <v>875</v>
      </c>
      <c r="H73" s="17">
        <f>H71+H72</f>
        <v>905</v>
      </c>
      <c r="I73" s="49">
        <f>SUM(F73:H73)</f>
        <v>2670</v>
      </c>
      <c r="J73" s="17">
        <f t="shared" ref="J73:P73" si="69">J71+J72</f>
        <v>905</v>
      </c>
      <c r="K73" s="17">
        <f t="shared" si="69"/>
        <v>905</v>
      </c>
      <c r="L73" s="17">
        <f t="shared" si="69"/>
        <v>905</v>
      </c>
      <c r="M73" s="49">
        <f>SUM(J73:L73)</f>
        <v>2715</v>
      </c>
      <c r="N73" s="17">
        <f t="shared" si="69"/>
        <v>905</v>
      </c>
      <c r="O73" s="17">
        <f t="shared" si="69"/>
        <v>905</v>
      </c>
      <c r="P73" s="17">
        <f t="shared" si="69"/>
        <v>905</v>
      </c>
      <c r="Q73" s="49">
        <f>SUM(N73:P73)</f>
        <v>2715</v>
      </c>
      <c r="R73" s="49">
        <f>E73+I73+M73+Q73</f>
        <v>10545</v>
      </c>
    </row>
    <row r="74" spans="1:18" ht="15" thickTop="1" x14ac:dyDescent="0.4"/>
  </sheetData>
  <mergeCells count="51">
    <mergeCell ref="AE8:AH8"/>
    <mergeCell ref="AA1:AJ1"/>
    <mergeCell ref="AA2:AJ2"/>
    <mergeCell ref="AA3:AJ3"/>
    <mergeCell ref="T1:Y1"/>
    <mergeCell ref="T2:Y2"/>
    <mergeCell ref="T3:Y3"/>
    <mergeCell ref="AE9:AH9"/>
    <mergeCell ref="T42:AK42"/>
    <mergeCell ref="AA4:AB4"/>
    <mergeCell ref="AA5:AB5"/>
    <mergeCell ref="AE4:AH4"/>
    <mergeCell ref="T26:AK26"/>
    <mergeCell ref="T14:AK14"/>
    <mergeCell ref="AE10:AH10"/>
    <mergeCell ref="AA6:AB6"/>
    <mergeCell ref="AA7:AB7"/>
    <mergeCell ref="AA8:AB8"/>
    <mergeCell ref="AA9:AB9"/>
    <mergeCell ref="AA10:AB10"/>
    <mergeCell ref="AE5:AH5"/>
    <mergeCell ref="AE6:AH6"/>
    <mergeCell ref="AE7:AH7"/>
    <mergeCell ref="T12:AK12"/>
    <mergeCell ref="T13:AK13"/>
    <mergeCell ref="C54:R59"/>
    <mergeCell ref="A31:R31"/>
    <mergeCell ref="A32:R32"/>
    <mergeCell ref="A33:R33"/>
    <mergeCell ref="T24:AK24"/>
    <mergeCell ref="T25:AK25"/>
    <mergeCell ref="A41:R41"/>
    <mergeCell ref="A42:R42"/>
    <mergeCell ref="A43:R43"/>
    <mergeCell ref="T40:AK40"/>
    <mergeCell ref="T41:AK41"/>
    <mergeCell ref="A65:R65"/>
    <mergeCell ref="A66:R66"/>
    <mergeCell ref="A53:R53"/>
    <mergeCell ref="A67:R67"/>
    <mergeCell ref="A18:R18"/>
    <mergeCell ref="A19:R19"/>
    <mergeCell ref="A20:R20"/>
    <mergeCell ref="A1:R1"/>
    <mergeCell ref="A51:R51"/>
    <mergeCell ref="A2:R2"/>
    <mergeCell ref="A52:R52"/>
    <mergeCell ref="A3:R3"/>
    <mergeCell ref="A9:R9"/>
    <mergeCell ref="A10:R10"/>
    <mergeCell ref="A11:R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4" sqref="D4"/>
    </sheetView>
  </sheetViews>
  <sheetFormatPr defaultRowHeight="14.6" x14ac:dyDescent="0.4"/>
  <cols>
    <col min="1" max="4" width="9.23046875" style="167"/>
    <col min="5" max="5" width="0.84375" style="167" customWidth="1"/>
    <col min="6" max="6" width="9.15234375" style="248"/>
    <col min="7" max="16384" width="9.23046875" style="167"/>
  </cols>
  <sheetData>
    <row r="1" spans="1:9" x14ac:dyDescent="0.4">
      <c r="A1" s="249" t="s">
        <v>106</v>
      </c>
      <c r="B1" s="249"/>
      <c r="C1" s="249"/>
      <c r="D1" s="249"/>
      <c r="E1" s="249"/>
      <c r="F1" s="249"/>
      <c r="G1" s="249"/>
      <c r="H1" s="249"/>
      <c r="I1" s="249"/>
    </row>
    <row r="2" spans="1:9" ht="4.5" customHeight="1" x14ac:dyDescent="0.4">
      <c r="A2" s="249"/>
      <c r="B2" s="249"/>
      <c r="C2" s="249"/>
      <c r="D2" s="249"/>
      <c r="E2" s="249"/>
      <c r="F2" s="249"/>
      <c r="G2" s="249"/>
      <c r="H2" s="249"/>
      <c r="I2" s="249"/>
    </row>
    <row r="3" spans="1:9" x14ac:dyDescent="0.4">
      <c r="A3" s="250" t="s">
        <v>110</v>
      </c>
      <c r="B3" s="250"/>
      <c r="C3" s="250"/>
      <c r="D3" s="250"/>
      <c r="E3" s="251"/>
      <c r="F3" s="252" t="s">
        <v>130</v>
      </c>
      <c r="G3" s="252"/>
    </row>
    <row r="4" spans="1:9" x14ac:dyDescent="0.4">
      <c r="A4" s="253" t="s">
        <v>107</v>
      </c>
      <c r="B4" s="254">
        <v>52503</v>
      </c>
      <c r="C4" s="255" t="s">
        <v>109</v>
      </c>
      <c r="D4" s="256">
        <f>B4/B5</f>
        <v>0.23928137654128279</v>
      </c>
      <c r="E4" s="251"/>
      <c r="F4" s="248" t="s">
        <v>109</v>
      </c>
      <c r="G4" s="257">
        <f>G7/G9</f>
        <v>0.125</v>
      </c>
      <c r="H4" s="167">
        <f>1.6*4</f>
        <v>6.4</v>
      </c>
    </row>
    <row r="5" spans="1:9" x14ac:dyDescent="0.4">
      <c r="A5" s="255" t="s">
        <v>108</v>
      </c>
      <c r="B5" s="254">
        <f>D8</f>
        <v>219419.5</v>
      </c>
      <c r="C5" s="251"/>
      <c r="D5" s="251"/>
      <c r="E5" s="251"/>
      <c r="F5" s="248" t="s">
        <v>129</v>
      </c>
      <c r="G5" s="257">
        <f>G4/G6</f>
        <v>6.25E-2</v>
      </c>
    </row>
    <row r="6" spans="1:9" x14ac:dyDescent="0.4">
      <c r="A6" s="258" t="s">
        <v>114</v>
      </c>
      <c r="B6" s="258"/>
      <c r="C6" s="258"/>
      <c r="D6" s="258"/>
      <c r="E6" s="259"/>
      <c r="F6" s="248" t="s">
        <v>120</v>
      </c>
      <c r="G6" s="260">
        <v>2</v>
      </c>
    </row>
    <row r="7" spans="1:9" x14ac:dyDescent="0.4">
      <c r="A7" s="261" t="s">
        <v>111</v>
      </c>
      <c r="B7" s="262"/>
      <c r="C7" s="262"/>
      <c r="D7" s="263"/>
      <c r="E7" s="259"/>
      <c r="F7" s="248" t="s">
        <v>107</v>
      </c>
      <c r="G7" s="167">
        <f>150000</f>
        <v>150000</v>
      </c>
    </row>
    <row r="8" spans="1:9" x14ac:dyDescent="0.4">
      <c r="A8" s="264" t="s">
        <v>112</v>
      </c>
      <c r="B8" s="265">
        <v>207000</v>
      </c>
      <c r="C8" s="264" t="s">
        <v>108</v>
      </c>
      <c r="D8" s="265">
        <f>(B8+B9)/2</f>
        <v>219419.5</v>
      </c>
      <c r="E8" s="259"/>
      <c r="F8" s="248" t="s">
        <v>119</v>
      </c>
      <c r="G8" s="167">
        <v>600000</v>
      </c>
    </row>
    <row r="9" spans="1:9" x14ac:dyDescent="0.4">
      <c r="A9" s="264" t="s">
        <v>113</v>
      </c>
      <c r="B9" s="265">
        <v>231839</v>
      </c>
      <c r="C9" s="259"/>
      <c r="D9" s="259"/>
      <c r="E9" s="259"/>
      <c r="F9" s="248" t="s">
        <v>108</v>
      </c>
      <c r="G9" s="167">
        <f>1200000</f>
        <v>1200000</v>
      </c>
    </row>
    <row r="10" spans="1:9" x14ac:dyDescent="0.4">
      <c r="A10" s="266" t="s">
        <v>115</v>
      </c>
      <c r="B10" s="266"/>
      <c r="C10" s="266"/>
      <c r="D10" s="266"/>
      <c r="E10" s="266"/>
      <c r="F10" s="248" t="s">
        <v>128</v>
      </c>
      <c r="G10" s="167">
        <f>G7-(G9*G11)</f>
        <v>6000</v>
      </c>
    </row>
    <row r="11" spans="1:9" x14ac:dyDescent="0.4">
      <c r="A11" s="267" t="s">
        <v>116</v>
      </c>
      <c r="B11" s="268"/>
      <c r="C11" s="268"/>
      <c r="D11" s="269"/>
      <c r="E11" s="270"/>
      <c r="F11" s="248" t="s">
        <v>126</v>
      </c>
      <c r="G11" s="257">
        <v>0.12</v>
      </c>
    </row>
    <row r="12" spans="1:9" x14ac:dyDescent="0.4">
      <c r="A12" s="271" t="s">
        <v>117</v>
      </c>
      <c r="B12" s="272"/>
      <c r="C12" s="271" t="s">
        <v>118</v>
      </c>
      <c r="D12" s="272"/>
      <c r="E12" s="210"/>
    </row>
    <row r="13" spans="1:9" x14ac:dyDescent="0.4">
      <c r="A13" s="273" t="s">
        <v>119</v>
      </c>
      <c r="B13" s="274">
        <v>3000000</v>
      </c>
      <c r="C13" s="273" t="s">
        <v>120</v>
      </c>
      <c r="D13" s="274">
        <f>B13/D8</f>
        <v>13.672440234345625</v>
      </c>
      <c r="E13" s="210"/>
      <c r="F13" s="248" t="s">
        <v>109</v>
      </c>
      <c r="G13" s="257">
        <f>G16/G18</f>
        <v>0.1875</v>
      </c>
    </row>
    <row r="14" spans="1:9" x14ac:dyDescent="0.4">
      <c r="A14" s="275"/>
      <c r="B14" s="275"/>
      <c r="C14" s="273" t="s">
        <v>121</v>
      </c>
      <c r="D14" s="276">
        <f>B4/B13</f>
        <v>1.7500999999999999E-2</v>
      </c>
      <c r="E14" s="275"/>
      <c r="F14" s="248" t="s">
        <v>129</v>
      </c>
      <c r="G14" s="257">
        <f>G13/G15</f>
        <v>9.375E-2</v>
      </c>
    </row>
    <row r="15" spans="1:9" x14ac:dyDescent="0.4">
      <c r="A15" s="275"/>
      <c r="B15" s="275"/>
      <c r="C15" s="273" t="s">
        <v>109</v>
      </c>
      <c r="D15" s="276">
        <f>D13*D14</f>
        <v>0.23928137654128279</v>
      </c>
      <c r="E15" s="275"/>
      <c r="F15" s="248" t="s">
        <v>120</v>
      </c>
      <c r="G15" s="260">
        <v>2</v>
      </c>
    </row>
    <row r="16" spans="1:9" x14ac:dyDescent="0.4">
      <c r="A16" s="277" t="s">
        <v>122</v>
      </c>
      <c r="B16" s="277"/>
      <c r="C16" s="277"/>
      <c r="D16" s="277"/>
      <c r="E16" s="277"/>
      <c r="F16" s="248" t="s">
        <v>107</v>
      </c>
      <c r="G16" s="167">
        <f>300000</f>
        <v>300000</v>
      </c>
    </row>
    <row r="17" spans="1:7" x14ac:dyDescent="0.4">
      <c r="A17" s="278" t="s">
        <v>123</v>
      </c>
      <c r="B17" s="278"/>
      <c r="C17" s="278"/>
      <c r="D17" s="278"/>
      <c r="E17" s="279"/>
      <c r="F17" s="248" t="s">
        <v>119</v>
      </c>
      <c r="G17" s="167">
        <v>900000</v>
      </c>
    </row>
    <row r="18" spans="1:7" x14ac:dyDescent="0.4">
      <c r="A18" s="280" t="s">
        <v>124</v>
      </c>
      <c r="B18" s="280"/>
      <c r="C18" s="280"/>
      <c r="D18" s="280"/>
      <c r="E18" s="279"/>
      <c r="F18" s="248" t="s">
        <v>108</v>
      </c>
      <c r="G18" s="167">
        <f>1600000</f>
        <v>1600000</v>
      </c>
    </row>
    <row r="19" spans="1:7" x14ac:dyDescent="0.4">
      <c r="A19" s="281" t="s">
        <v>125</v>
      </c>
      <c r="B19" s="282">
        <f>D8</f>
        <v>219419.5</v>
      </c>
      <c r="C19" s="281" t="s">
        <v>127</v>
      </c>
      <c r="D19" s="282">
        <f>B19*B20</f>
        <v>21941.95</v>
      </c>
      <c r="E19" s="279"/>
      <c r="F19" s="248" t="s">
        <v>128</v>
      </c>
      <c r="G19" s="167">
        <f>G16-(G18*G20)</f>
        <v>108000</v>
      </c>
    </row>
    <row r="20" spans="1:7" x14ac:dyDescent="0.4">
      <c r="A20" s="281" t="s">
        <v>126</v>
      </c>
      <c r="B20" s="283">
        <v>0.1</v>
      </c>
      <c r="C20" s="284"/>
      <c r="D20" s="285"/>
      <c r="E20" s="279"/>
      <c r="F20" s="248" t="s">
        <v>126</v>
      </c>
      <c r="G20" s="257">
        <v>0.12</v>
      </c>
    </row>
    <row r="21" spans="1:7" x14ac:dyDescent="0.4">
      <c r="A21" s="281" t="s">
        <v>107</v>
      </c>
      <c r="B21" s="282">
        <f>B4</f>
        <v>52503</v>
      </c>
      <c r="C21" s="281" t="s">
        <v>128</v>
      </c>
      <c r="D21" s="282">
        <f>B21-D19</f>
        <v>30561.05</v>
      </c>
      <c r="E21" s="279"/>
    </row>
  </sheetData>
  <mergeCells count="12">
    <mergeCell ref="A1:I2"/>
    <mergeCell ref="A17:D17"/>
    <mergeCell ref="A18:D18"/>
    <mergeCell ref="A12:B12"/>
    <mergeCell ref="C12:D12"/>
    <mergeCell ref="F3:G3"/>
    <mergeCell ref="A6:D6"/>
    <mergeCell ref="A7:D7"/>
    <mergeCell ref="A10:E10"/>
    <mergeCell ref="A11:D11"/>
    <mergeCell ref="A16:E16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H1" zoomScaleNormal="100" workbookViewId="0">
      <selection activeCell="I26" sqref="I26"/>
    </sheetView>
  </sheetViews>
  <sheetFormatPr defaultColWidth="9.15234375" defaultRowHeight="14.6" x14ac:dyDescent="0.4"/>
  <cols>
    <col min="1" max="1" width="9.15234375" style="248"/>
    <col min="2" max="2" width="14.3046875" style="248" bestFit="1" customWidth="1"/>
    <col min="3" max="3" width="12.53515625" style="248" bestFit="1" customWidth="1"/>
    <col min="4" max="4" width="14.69140625" style="248" bestFit="1" customWidth="1"/>
    <col min="5" max="5" width="0.53515625" style="248" customWidth="1"/>
    <col min="6" max="6" width="1.3828125" style="248" customWidth="1"/>
    <col min="7" max="7" width="9.15234375" style="248"/>
    <col min="8" max="8" width="17.3046875" style="248" bestFit="1" customWidth="1"/>
    <col min="9" max="9" width="9.15234375" style="248"/>
    <col min="10" max="10" width="15" style="248" bestFit="1" customWidth="1"/>
    <col min="11" max="11" width="0.69140625" style="167" customWidth="1"/>
    <col min="12" max="12" width="9.15234375" style="167"/>
    <col min="13" max="13" width="14.69140625" style="167" bestFit="1" customWidth="1"/>
    <col min="14" max="16384" width="9.15234375" style="167"/>
  </cols>
  <sheetData>
    <row r="1" spans="1:13" x14ac:dyDescent="0.4">
      <c r="A1" s="163" t="s">
        <v>156</v>
      </c>
      <c r="B1" s="163"/>
      <c r="C1" s="163"/>
      <c r="D1" s="163"/>
      <c r="E1" s="163"/>
      <c r="F1" s="164"/>
      <c r="G1" s="165" t="s">
        <v>155</v>
      </c>
      <c r="H1" s="165"/>
      <c r="I1" s="165"/>
      <c r="J1" s="165"/>
      <c r="K1" s="165"/>
      <c r="L1" s="166"/>
    </row>
    <row r="2" spans="1:13" x14ac:dyDescent="0.4">
      <c r="A2" s="168" t="s">
        <v>131</v>
      </c>
      <c r="B2" s="168"/>
      <c r="C2" s="168"/>
      <c r="D2" s="168"/>
      <c r="E2" s="169"/>
      <c r="F2" s="164"/>
      <c r="G2" s="170" t="s">
        <v>157</v>
      </c>
      <c r="H2" s="170"/>
      <c r="I2" s="170"/>
      <c r="J2" s="170"/>
      <c r="K2" s="170"/>
      <c r="L2" s="171" t="s">
        <v>175</v>
      </c>
      <c r="M2" s="171"/>
    </row>
    <row r="3" spans="1:13" x14ac:dyDescent="0.4">
      <c r="A3" s="172" t="s">
        <v>132</v>
      </c>
      <c r="B3" s="172"/>
      <c r="C3" s="172"/>
      <c r="D3" s="172"/>
      <c r="E3" s="169"/>
      <c r="F3" s="173"/>
      <c r="G3" s="174" t="s">
        <v>158</v>
      </c>
      <c r="H3" s="174"/>
      <c r="I3" s="174"/>
      <c r="J3" s="174"/>
      <c r="K3" s="175"/>
      <c r="L3" s="166" t="s">
        <v>133</v>
      </c>
      <c r="M3" s="176">
        <v>1600000</v>
      </c>
    </row>
    <row r="4" spans="1:13" x14ac:dyDescent="0.4">
      <c r="A4" s="177" t="s">
        <v>107</v>
      </c>
      <c r="B4" s="178">
        <v>108000</v>
      </c>
      <c r="C4" s="177" t="s">
        <v>134</v>
      </c>
      <c r="D4" s="179">
        <f>B4/B5</f>
        <v>0.108</v>
      </c>
      <c r="E4" s="180"/>
      <c r="F4" s="173"/>
      <c r="G4" s="181" t="s">
        <v>161</v>
      </c>
      <c r="H4" s="181" t="s">
        <v>162</v>
      </c>
      <c r="I4" s="182" t="s">
        <v>163</v>
      </c>
      <c r="J4" s="183">
        <v>0.12</v>
      </c>
      <c r="K4" s="175"/>
      <c r="L4" s="166" t="s">
        <v>176</v>
      </c>
      <c r="M4" s="176">
        <v>250000</v>
      </c>
    </row>
    <row r="5" spans="1:13" ht="15.75" customHeight="1" x14ac:dyDescent="0.4">
      <c r="A5" s="177" t="s">
        <v>133</v>
      </c>
      <c r="B5" s="178">
        <v>1000000</v>
      </c>
      <c r="C5" s="180"/>
      <c r="D5" s="180"/>
      <c r="E5" s="180"/>
      <c r="F5" s="173"/>
      <c r="G5" s="184" t="s">
        <v>133</v>
      </c>
      <c r="H5" s="185">
        <f>-B5</f>
        <v>-1000000</v>
      </c>
      <c r="I5" s="175"/>
      <c r="J5" s="175"/>
      <c r="K5" s="175"/>
      <c r="L5" s="167" t="s">
        <v>144</v>
      </c>
      <c r="M5" s="186">
        <f>M4+((M3-M7)/M6)</f>
        <v>406250</v>
      </c>
    </row>
    <row r="6" spans="1:13" x14ac:dyDescent="0.4">
      <c r="A6" s="187" t="s">
        <v>135</v>
      </c>
      <c r="B6" s="187"/>
      <c r="C6" s="187"/>
      <c r="D6" s="187"/>
      <c r="E6" s="187"/>
      <c r="F6" s="173"/>
      <c r="G6" s="188">
        <v>1</v>
      </c>
      <c r="H6" s="189">
        <v>250000</v>
      </c>
      <c r="I6" s="190"/>
      <c r="J6" s="175"/>
      <c r="K6" s="175"/>
      <c r="L6" s="166" t="s">
        <v>177</v>
      </c>
      <c r="M6" s="167">
        <v>8</v>
      </c>
    </row>
    <row r="7" spans="1:13" x14ac:dyDescent="0.4">
      <c r="A7" s="191" t="s">
        <v>136</v>
      </c>
      <c r="B7" s="191"/>
      <c r="C7" s="191"/>
      <c r="D7" s="191"/>
      <c r="E7" s="192"/>
      <c r="F7" s="173"/>
      <c r="G7" s="184">
        <v>2</v>
      </c>
      <c r="H7" s="185">
        <v>300000</v>
      </c>
      <c r="I7" s="175"/>
      <c r="J7" s="175"/>
      <c r="K7" s="175"/>
      <c r="L7" s="193" t="s">
        <v>178</v>
      </c>
      <c r="M7" s="176">
        <v>350000</v>
      </c>
    </row>
    <row r="8" spans="1:13" x14ac:dyDescent="0.4">
      <c r="A8" s="194" t="s">
        <v>137</v>
      </c>
      <c r="B8" s="194"/>
      <c r="C8" s="194"/>
      <c r="D8" s="194"/>
      <c r="E8" s="192"/>
      <c r="F8" s="164"/>
      <c r="G8" s="188">
        <v>3</v>
      </c>
      <c r="H8" s="189">
        <v>340000</v>
      </c>
      <c r="I8" s="190"/>
      <c r="J8" s="190"/>
      <c r="K8" s="175"/>
      <c r="L8" s="193" t="s">
        <v>179</v>
      </c>
      <c r="M8" s="195">
        <v>0.2</v>
      </c>
    </row>
    <row r="9" spans="1:13" x14ac:dyDescent="0.4">
      <c r="A9" s="196" t="s">
        <v>138</v>
      </c>
      <c r="B9" s="197">
        <v>108000</v>
      </c>
      <c r="C9" s="196" t="s">
        <v>140</v>
      </c>
      <c r="D9" s="197">
        <f>B9+B10</f>
        <v>308000</v>
      </c>
      <c r="E9" s="198"/>
      <c r="F9" s="164"/>
      <c r="G9" s="184">
        <v>4</v>
      </c>
      <c r="H9" s="185">
        <v>375000</v>
      </c>
      <c r="I9" s="190"/>
      <c r="J9" s="190"/>
      <c r="K9" s="175"/>
      <c r="L9" s="193" t="s">
        <v>180</v>
      </c>
      <c r="M9" s="199">
        <f>M5*5.3349</f>
        <v>2167303.125</v>
      </c>
    </row>
    <row r="10" spans="1:13" x14ac:dyDescent="0.4">
      <c r="A10" s="196" t="s">
        <v>139</v>
      </c>
      <c r="B10" s="197">
        <v>200000</v>
      </c>
      <c r="C10" s="196"/>
      <c r="D10" s="197"/>
      <c r="E10" s="198"/>
      <c r="F10" s="173"/>
      <c r="G10" s="181">
        <v>5</v>
      </c>
      <c r="H10" s="200">
        <v>300000</v>
      </c>
      <c r="I10" s="201" t="s">
        <v>160</v>
      </c>
      <c r="J10" s="202">
        <f>NPV(J4, H6:H10)</f>
        <v>1112925.069353543</v>
      </c>
      <c r="K10" s="175"/>
      <c r="L10" s="203" t="s">
        <v>181</v>
      </c>
      <c r="M10" s="204">
        <f>M7*0.4665</f>
        <v>163275</v>
      </c>
    </row>
    <row r="11" spans="1:13" x14ac:dyDescent="0.4">
      <c r="A11" s="196" t="s">
        <v>119</v>
      </c>
      <c r="B11" s="197">
        <v>700000</v>
      </c>
      <c r="C11" s="196" t="s">
        <v>140</v>
      </c>
      <c r="D11" s="197">
        <f>B11-B12</f>
        <v>308000</v>
      </c>
      <c r="E11" s="198"/>
      <c r="F11" s="173"/>
      <c r="G11" s="184" t="s">
        <v>164</v>
      </c>
      <c r="H11" s="205">
        <f>J10-H5</f>
        <v>2112925.0693535432</v>
      </c>
      <c r="I11" s="175"/>
      <c r="J11" s="175"/>
      <c r="K11" s="175"/>
      <c r="L11" s="193" t="s">
        <v>159</v>
      </c>
      <c r="M11" s="199">
        <f>M9-M3+M10</f>
        <v>730578.125</v>
      </c>
    </row>
    <row r="12" spans="1:13" x14ac:dyDescent="0.4">
      <c r="A12" s="196" t="s">
        <v>141</v>
      </c>
      <c r="B12" s="197">
        <v>392000</v>
      </c>
      <c r="C12" s="196"/>
      <c r="D12" s="197"/>
      <c r="E12" s="198"/>
      <c r="F12" s="164"/>
      <c r="G12" s="206" t="s">
        <v>165</v>
      </c>
      <c r="H12" s="206"/>
      <c r="I12" s="206"/>
      <c r="J12" s="206"/>
      <c r="K12" s="206"/>
      <c r="L12" s="166"/>
    </row>
    <row r="13" spans="1:13" x14ac:dyDescent="0.4">
      <c r="A13" s="207" t="s">
        <v>142</v>
      </c>
      <c r="B13" s="207"/>
      <c r="C13" s="207"/>
      <c r="D13" s="207"/>
      <c r="E13" s="207"/>
      <c r="F13" s="164"/>
      <c r="G13" s="208" t="s">
        <v>166</v>
      </c>
      <c r="H13" s="209"/>
      <c r="I13" s="209"/>
      <c r="J13" s="209"/>
      <c r="K13" s="210"/>
      <c r="L13" s="166"/>
    </row>
    <row r="14" spans="1:13" x14ac:dyDescent="0.4">
      <c r="A14" s="211" t="s">
        <v>143</v>
      </c>
      <c r="B14" s="211"/>
      <c r="C14" s="211"/>
      <c r="D14" s="211"/>
      <c r="E14" s="212"/>
      <c r="F14" s="164"/>
      <c r="G14" s="213" t="s">
        <v>167</v>
      </c>
      <c r="H14" s="214">
        <f>IRR(H5:H10, J4)</f>
        <v>0.16254264170170019</v>
      </c>
      <c r="I14" s="215"/>
      <c r="J14" s="215"/>
      <c r="K14" s="210"/>
    </row>
    <row r="15" spans="1:13" x14ac:dyDescent="0.4">
      <c r="A15" s="216" t="s">
        <v>133</v>
      </c>
      <c r="B15" s="217">
        <f>B5</f>
        <v>1000000</v>
      </c>
      <c r="C15" s="218" t="s">
        <v>145</v>
      </c>
      <c r="D15" s="219">
        <f>B15/B16</f>
        <v>3.2467532467532467</v>
      </c>
      <c r="E15" s="212"/>
      <c r="F15" s="164"/>
      <c r="G15" s="209" t="s">
        <v>168</v>
      </c>
      <c r="H15" s="209"/>
      <c r="I15" s="209"/>
      <c r="J15" s="210"/>
      <c r="K15" s="210"/>
    </row>
    <row r="16" spans="1:13" ht="15" customHeight="1" x14ac:dyDescent="0.4">
      <c r="A16" s="220" t="s">
        <v>144</v>
      </c>
      <c r="B16" s="221">
        <f>D11</f>
        <v>308000</v>
      </c>
      <c r="C16" s="222"/>
      <c r="D16" s="223"/>
      <c r="E16" s="212"/>
      <c r="F16" s="164"/>
      <c r="G16" s="209" t="s">
        <v>169</v>
      </c>
      <c r="H16" s="209"/>
      <c r="I16" s="209"/>
      <c r="J16" s="210"/>
      <c r="K16" s="210"/>
    </row>
    <row r="17" spans="1:13" ht="15" customHeight="1" x14ac:dyDescent="0.4">
      <c r="A17" s="224" t="s">
        <v>146</v>
      </c>
      <c r="B17" s="224"/>
      <c r="C17" s="224"/>
      <c r="D17" s="224"/>
      <c r="E17" s="212"/>
      <c r="F17" s="164"/>
      <c r="G17" s="225" t="s">
        <v>170</v>
      </c>
      <c r="H17" s="225"/>
      <c r="I17" s="225"/>
      <c r="J17" s="225"/>
      <c r="K17" s="225"/>
      <c r="M17" s="226"/>
    </row>
    <row r="18" spans="1:13" x14ac:dyDescent="0.4">
      <c r="A18" s="227" t="s">
        <v>147</v>
      </c>
      <c r="B18" s="228" t="s">
        <v>148</v>
      </c>
      <c r="C18" s="228" t="s">
        <v>149</v>
      </c>
      <c r="D18" s="227" t="s">
        <v>150</v>
      </c>
      <c r="E18" s="229"/>
      <c r="F18" s="164"/>
      <c r="G18" s="230" t="s">
        <v>171</v>
      </c>
      <c r="H18" s="230"/>
      <c r="I18" s="230"/>
      <c r="J18" s="230"/>
      <c r="K18" s="231"/>
      <c r="L18" s="166" t="s">
        <v>182</v>
      </c>
      <c r="M18" s="226">
        <v>8000</v>
      </c>
    </row>
    <row r="19" spans="1:13" x14ac:dyDescent="0.4">
      <c r="A19" s="232">
        <v>1</v>
      </c>
      <c r="B19" s="233">
        <f>B5</f>
        <v>1000000</v>
      </c>
      <c r="C19" s="233">
        <v>250000</v>
      </c>
      <c r="D19" s="234">
        <f>B19-C19</f>
        <v>750000</v>
      </c>
      <c r="E19" s="229"/>
      <c r="F19" s="164"/>
      <c r="G19" s="235" t="s">
        <v>172</v>
      </c>
      <c r="H19" s="236">
        <f>J10</f>
        <v>1112925.069353543</v>
      </c>
      <c r="I19" s="235" t="s">
        <v>173</v>
      </c>
      <c r="J19" s="237">
        <f>H19/H20</f>
        <v>1.1129250693535431</v>
      </c>
      <c r="K19" s="231"/>
      <c r="L19" s="166" t="s">
        <v>183</v>
      </c>
      <c r="M19" s="226">
        <f>M18*2.1589</f>
        <v>17271.2</v>
      </c>
    </row>
    <row r="20" spans="1:13" x14ac:dyDescent="0.4">
      <c r="A20" s="227">
        <v>2</v>
      </c>
      <c r="B20" s="217">
        <f t="shared" ref="B20:B22" si="0">IF(D19&gt;0,D19, 0)</f>
        <v>750000</v>
      </c>
      <c r="C20" s="217">
        <v>300000</v>
      </c>
      <c r="D20" s="219">
        <f t="shared" ref="D20:D23" si="1">B20-C20</f>
        <v>450000</v>
      </c>
      <c r="E20" s="229"/>
      <c r="F20" s="164"/>
      <c r="G20" s="235" t="s">
        <v>133</v>
      </c>
      <c r="H20" s="238">
        <f>B5</f>
        <v>1000000</v>
      </c>
      <c r="I20" s="235"/>
      <c r="J20" s="239"/>
      <c r="K20" s="231"/>
      <c r="L20" s="193"/>
      <c r="M20" s="226">
        <f>M19-M18</f>
        <v>9271.2000000000007</v>
      </c>
    </row>
    <row r="21" spans="1:13" x14ac:dyDescent="0.4">
      <c r="A21" s="232">
        <v>3</v>
      </c>
      <c r="B21" s="233">
        <f t="shared" si="0"/>
        <v>450000</v>
      </c>
      <c r="C21" s="233">
        <v>340000</v>
      </c>
      <c r="D21" s="234">
        <f t="shared" si="1"/>
        <v>110000</v>
      </c>
      <c r="E21" s="229"/>
      <c r="F21" s="164"/>
      <c r="G21" s="164"/>
      <c r="H21" s="164"/>
      <c r="I21" s="164"/>
      <c r="J21" s="164"/>
      <c r="K21" s="166"/>
      <c r="L21" s="166"/>
      <c r="M21" s="167">
        <f>M18*1.08-M18</f>
        <v>640</v>
      </c>
    </row>
    <row r="22" spans="1:13" x14ac:dyDescent="0.4">
      <c r="A22" s="227">
        <v>4</v>
      </c>
      <c r="B22" s="217">
        <f t="shared" si="0"/>
        <v>110000</v>
      </c>
      <c r="C22" s="217">
        <v>375000</v>
      </c>
      <c r="D22" s="219">
        <f t="shared" si="1"/>
        <v>-265000</v>
      </c>
      <c r="E22" s="229"/>
      <c r="F22" s="164"/>
      <c r="G22" s="173"/>
      <c r="H22" s="164"/>
      <c r="I22" s="164"/>
      <c r="J22" s="164"/>
      <c r="K22" s="166"/>
      <c r="L22" s="166"/>
      <c r="M22" s="167">
        <f>(M18+M21)*1.08-(M18+M21)</f>
        <v>691.20000000000073</v>
      </c>
    </row>
    <row r="23" spans="1:13" x14ac:dyDescent="0.4">
      <c r="A23" s="240">
        <v>5</v>
      </c>
      <c r="B23" s="241">
        <f>IF(D22&gt;0,D22, 0)</f>
        <v>0</v>
      </c>
      <c r="C23" s="241">
        <v>0</v>
      </c>
      <c r="D23" s="242">
        <f t="shared" si="1"/>
        <v>0</v>
      </c>
      <c r="E23" s="229"/>
      <c r="F23" s="164"/>
      <c r="G23" s="173"/>
      <c r="H23" s="164"/>
      <c r="I23" s="164"/>
      <c r="J23" s="164"/>
      <c r="K23" s="166"/>
      <c r="L23" s="166"/>
    </row>
    <row r="24" spans="1:13" x14ac:dyDescent="0.4">
      <c r="A24" s="243" t="s">
        <v>151</v>
      </c>
      <c r="B24" s="243"/>
      <c r="C24" s="243"/>
      <c r="D24" s="243"/>
      <c r="E24" s="229"/>
      <c r="F24" s="164"/>
      <c r="G24" s="173"/>
      <c r="H24" s="164"/>
      <c r="I24" s="164"/>
      <c r="J24" s="164"/>
      <c r="K24" s="166"/>
      <c r="L24" s="166"/>
    </row>
    <row r="25" spans="1:13" x14ac:dyDescent="0.4">
      <c r="A25" s="227" t="s">
        <v>152</v>
      </c>
      <c r="B25" s="244">
        <f>A21</f>
        <v>3</v>
      </c>
      <c r="C25" s="228" t="s">
        <v>174</v>
      </c>
      <c r="D25" s="245">
        <f>B25+(B26/B27)</f>
        <v>3.2933333333333334</v>
      </c>
      <c r="E25" s="229"/>
      <c r="F25" s="164"/>
      <c r="G25" s="173"/>
      <c r="H25" s="164"/>
      <c r="I25" s="164"/>
      <c r="J25" s="164"/>
      <c r="K25" s="166"/>
      <c r="L25" s="166"/>
    </row>
    <row r="26" spans="1:13" x14ac:dyDescent="0.4">
      <c r="A26" s="227" t="s">
        <v>153</v>
      </c>
      <c r="B26" s="246">
        <f>B22</f>
        <v>110000</v>
      </c>
      <c r="C26" s="229"/>
      <c r="D26" s="247"/>
      <c r="E26" s="229"/>
      <c r="F26" s="164"/>
      <c r="G26" s="173"/>
      <c r="H26" s="164"/>
      <c r="I26" s="164"/>
      <c r="J26" s="164"/>
      <c r="K26" s="166"/>
      <c r="L26" s="166"/>
    </row>
    <row r="27" spans="1:13" x14ac:dyDescent="0.4">
      <c r="A27" s="228" t="s">
        <v>154</v>
      </c>
      <c r="B27" s="246">
        <f>C22</f>
        <v>375000</v>
      </c>
      <c r="C27" s="229"/>
      <c r="D27" s="229"/>
      <c r="E27" s="229"/>
      <c r="F27" s="164"/>
      <c r="G27" s="164"/>
      <c r="H27" s="164"/>
      <c r="I27" s="164"/>
      <c r="J27" s="164"/>
      <c r="K27" s="166"/>
      <c r="L27" s="166"/>
    </row>
    <row r="28" spans="1:13" x14ac:dyDescent="0.4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6"/>
      <c r="L28" s="166"/>
    </row>
    <row r="29" spans="1:13" x14ac:dyDescent="0.4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6"/>
      <c r="L29" s="166"/>
    </row>
    <row r="30" spans="1:13" x14ac:dyDescent="0.4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6"/>
      <c r="L30" s="166"/>
    </row>
    <row r="31" spans="1:13" x14ac:dyDescent="0.4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6"/>
      <c r="L31" s="166"/>
    </row>
    <row r="32" spans="1:13" x14ac:dyDescent="0.4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6"/>
      <c r="L32" s="166"/>
    </row>
    <row r="33" spans="1:12" x14ac:dyDescent="0.4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6"/>
      <c r="L33" s="166"/>
    </row>
  </sheetData>
  <mergeCells count="20">
    <mergeCell ref="G16:I16"/>
    <mergeCell ref="G17:K17"/>
    <mergeCell ref="G18:J18"/>
    <mergeCell ref="G1:K1"/>
    <mergeCell ref="A1:E1"/>
    <mergeCell ref="G12:K12"/>
    <mergeCell ref="G13:J13"/>
    <mergeCell ref="G15:I15"/>
    <mergeCell ref="A8:D8"/>
    <mergeCell ref="A13:E13"/>
    <mergeCell ref="A14:D14"/>
    <mergeCell ref="A17:D17"/>
    <mergeCell ref="A24:D24"/>
    <mergeCell ref="L2:M2"/>
    <mergeCell ref="A2:D2"/>
    <mergeCell ref="A3:D3"/>
    <mergeCell ref="A6:E6"/>
    <mergeCell ref="A7:D7"/>
    <mergeCell ref="G3:J3"/>
    <mergeCell ref="G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CH8 Master Budget Template</vt:lpstr>
      <vt:lpstr>CH 10 Decentralized Performance</vt:lpstr>
      <vt:lpstr>CH 11 Capital 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Rushford</dc:creator>
  <cp:lastModifiedBy>Risto Rushford</cp:lastModifiedBy>
  <dcterms:created xsi:type="dcterms:W3CDTF">2017-08-10T19:34:20Z</dcterms:created>
  <dcterms:modified xsi:type="dcterms:W3CDTF">2020-12-18T10:01:27Z</dcterms:modified>
</cp:coreProperties>
</file>