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to\Google Drive\3 Github\RistoRushford.github.io\pub\GSCM\"/>
    </mc:Choice>
  </mc:AlternateContent>
  <xr:revisionPtr revIDLastSave="0" documentId="13_ncr:1_{1DC18DAF-F5F0-42E7-B7BE-5BF25533FA13}" xr6:coauthVersionLast="45" xr6:coauthVersionMax="45" xr10:uidLastSave="{00000000-0000-0000-0000-000000000000}"/>
  <bookViews>
    <workbookView xWindow="-7920" yWindow="8486" windowWidth="24686" windowHeight="13148" activeTab="3" xr2:uid="{64250260-A19E-4E6C-9BC8-8876B661261E}"/>
  </bookViews>
  <sheets>
    <sheet name="P1" sheetId="1" r:id="rId1"/>
    <sheet name="P2" sheetId="9" r:id="rId2"/>
    <sheet name="P3" sheetId="10" r:id="rId3"/>
    <sheet name="P4" sheetId="7" r:id="rId4"/>
  </sheets>
  <definedNames>
    <definedName name="P2ADemand">'P2'!$I$5:$K$5</definedName>
    <definedName name="P2AMinInventory">'P2'!$I$10:$K$10</definedName>
    <definedName name="P2AProduction">'P2'!$I$6:$K$6</definedName>
    <definedName name="P2AProductOnHand">'P2'!$I$7:$K$7</definedName>
    <definedName name="P2ARemainingInventory">'P2'!$I$8:$K$8</definedName>
    <definedName name="P2BDemand">'P2'!$I$14:$K$14</definedName>
    <definedName name="P2BMinInventory">'P2'!$I$19:$K$19</definedName>
    <definedName name="P2BProduction">'P2'!$I$15:$K$15</definedName>
    <definedName name="P2BProductOnHand">'P2'!$I$16:$K$16</definedName>
    <definedName name="P2BRemInventory">'P2'!$I$17:$K$17</definedName>
    <definedName name="P2DirectCostPerUnit">'P2'!$D$8:$E$8</definedName>
    <definedName name="P2FebCapAv">'P2'!$E$20:$E$21</definedName>
    <definedName name="P2FebCapUsed">'P2'!$C$20:$C$21</definedName>
    <definedName name="P2JanCapAv">'P2'!$E$16:$E$17</definedName>
    <definedName name="P2JanCapUsed">'P2'!$C$16:$C$17</definedName>
    <definedName name="P2MachHrsPerUnit">'P2'!$D$12:$E$12</definedName>
    <definedName name="P2ManHoursPerUnit">'P2'!$D$13:$E$13</definedName>
    <definedName name="P2MarCapAv">'P2'!$E$24:$E$25</definedName>
    <definedName name="P2MarCapUsed">'P2'!$C$24:$C$25</definedName>
    <definedName name="P2ProdQuant">'P2'!$D$5:$E$7</definedName>
    <definedName name="P2TotalCosts">'P2'!$D$9</definedName>
    <definedName name="P2TotalMaintenanceCosts">'P2'!$I$28:$K$28</definedName>
    <definedName name="solver_adj" localSheetId="0" hidden="1">'P1'!$C$4:$H$4</definedName>
    <definedName name="solver_adj" localSheetId="1" hidden="1">'P2'!$D$5:$E$7</definedName>
    <definedName name="solver_adj" localSheetId="2" hidden="1">'P3'!$D$5:$F$7</definedName>
    <definedName name="solver_adj" localSheetId="3" hidden="1">'P4'!$C$11:$D$13</definedName>
    <definedName name="solver_adj_ob" localSheetId="3" hidden="1">1</definedName>
    <definedName name="solver_cha" localSheetId="3" hidden="1">0</definedName>
    <definedName name="solver_chc1" localSheetId="3" hidden="1">0</definedName>
    <definedName name="solver_chc10" localSheetId="3" hidden="1">0</definedName>
    <definedName name="solver_chc11" localSheetId="3" hidden="1">0</definedName>
    <definedName name="solver_chc2" localSheetId="3" hidden="1">0</definedName>
    <definedName name="solver_chc3" localSheetId="3" hidden="1">0</definedName>
    <definedName name="solver_chc4" localSheetId="3" hidden="1">0</definedName>
    <definedName name="solver_chc5" localSheetId="3" hidden="1">0</definedName>
    <definedName name="solver_chc6" localSheetId="3" hidden="1">0</definedName>
    <definedName name="solver_chc7" localSheetId="3" hidden="1">0</definedName>
    <definedName name="solver_chc8" localSheetId="3" hidden="1">0</definedName>
    <definedName name="solver_chc9" localSheetId="3" hidden="1">0</definedName>
    <definedName name="solver_chn" localSheetId="3" hidden="1">4</definedName>
    <definedName name="solver_chp1" localSheetId="3" hidden="1">0</definedName>
    <definedName name="solver_chp10" localSheetId="3" hidden="1">0</definedName>
    <definedName name="solver_chp11" localSheetId="3" hidden="1">0</definedName>
    <definedName name="solver_chp2" localSheetId="3" hidden="1">0</definedName>
    <definedName name="solver_chp3" localSheetId="3" hidden="1">0</definedName>
    <definedName name="solver_chp4" localSheetId="3" hidden="1">0</definedName>
    <definedName name="solver_chp5" localSheetId="3" hidden="1">0</definedName>
    <definedName name="solver_chp6" localSheetId="3" hidden="1">0</definedName>
    <definedName name="solver_chp7" localSheetId="3" hidden="1">0</definedName>
    <definedName name="solver_chp8" localSheetId="3" hidden="1">0</definedName>
    <definedName name="solver_chp9" localSheetId="3" hidden="1">0</definedName>
    <definedName name="solver_cht" localSheetId="3" hidden="1">0</definedName>
    <definedName name="solver_cir1" localSheetId="3" hidden="1">1</definedName>
    <definedName name="solver_cir10" localSheetId="3" hidden="1">1</definedName>
    <definedName name="solver_cir11" localSheetId="3" hidden="1">1</definedName>
    <definedName name="solver_cir2" localSheetId="3" hidden="1">1</definedName>
    <definedName name="solver_cir3" localSheetId="3" hidden="1">1</definedName>
    <definedName name="solver_cir4" localSheetId="3" hidden="1">1</definedName>
    <definedName name="solver_cir5" localSheetId="3" hidden="1">1</definedName>
    <definedName name="solver_cir6" localSheetId="3" hidden="1">1</definedName>
    <definedName name="solver_cir7" localSheetId="3" hidden="1">1</definedName>
    <definedName name="solver_cir8" localSheetId="3" hidden="1">1</definedName>
    <definedName name="solver_cir9" localSheetId="3" hidden="1">1</definedName>
    <definedName name="solver_con" localSheetId="3" hidden="1">" "</definedName>
    <definedName name="solver_con1" localSheetId="3" hidden="1">" "</definedName>
    <definedName name="solver_con10" localSheetId="3" hidden="1">" "</definedName>
    <definedName name="solver_con11" localSheetId="3" hidden="1">" "</definedName>
    <definedName name="solver_con2" localSheetId="3" hidden="1">" "</definedName>
    <definedName name="solver_con3" localSheetId="3" hidden="1">" "</definedName>
    <definedName name="solver_con4" localSheetId="3" hidden="1">" "</definedName>
    <definedName name="solver_con5" localSheetId="3" hidden="1">" "</definedName>
    <definedName name="solver_con6" localSheetId="3" hidden="1">" "</definedName>
    <definedName name="solver_con7" localSheetId="3" hidden="1">" "</definedName>
    <definedName name="solver_con8" localSheetId="3" hidden="1">" "</definedName>
    <definedName name="solver_con9" localSheetId="3" hidden="1">" "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ia" localSheetId="3" hidden="1">5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ao" localSheetId="3" hidden="1">0</definedName>
    <definedName name="solver_int" localSheetId="3" hidden="1">0</definedName>
    <definedName name="solver_irs" localSheetId="3" hidden="1">0</definedName>
    <definedName name="solver_ism" localSheetId="3" hidden="1">0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_ob1" localSheetId="3" hidden="1">0</definedName>
    <definedName name="solver_lhs_ob10" localSheetId="3" hidden="1">0</definedName>
    <definedName name="solver_lhs_ob11" localSheetId="3" hidden="1">0</definedName>
    <definedName name="solver_lhs_ob2" localSheetId="3" hidden="1">0</definedName>
    <definedName name="solver_lhs_ob3" localSheetId="3" hidden="1">0</definedName>
    <definedName name="solver_lhs_ob4" localSheetId="3" hidden="1">0</definedName>
    <definedName name="solver_lhs_ob5" localSheetId="3" hidden="1">0</definedName>
    <definedName name="solver_lhs_ob6" localSheetId="3" hidden="1">0</definedName>
    <definedName name="solver_lhs_ob7" localSheetId="3" hidden="1">0</definedName>
    <definedName name="solver_lhs_ob8" localSheetId="3" hidden="1">0</definedName>
    <definedName name="solver_lhs_ob9" localSheetId="3" hidden="1">0</definedName>
    <definedName name="solver_lhs0" localSheetId="2" hidden="1">'P3'!$L$7</definedName>
    <definedName name="solver_lhs1" localSheetId="0" hidden="1">'P1'!$K$4</definedName>
    <definedName name="solver_lhs1" localSheetId="1" hidden="1">'P2'!$I$7:$K$7</definedName>
    <definedName name="solver_lhs1" localSheetId="2" hidden="1">'P3'!$D$13:$F$13</definedName>
    <definedName name="solver_lhs1" localSheetId="3" hidden="1">'P4'!$C$11:$C$13</definedName>
    <definedName name="solver_lhs10" localSheetId="3" hidden="1">'P4'!$E$36:$E$41</definedName>
    <definedName name="solver_lhs11" localSheetId="3" hidden="1">'P4'!$E$18:$E$23</definedName>
    <definedName name="solver_lhs2" localSheetId="0" hidden="1">'P1'!$K$5:$K$10</definedName>
    <definedName name="solver_lhs2" localSheetId="1" hidden="1">'P2'!$C$16:$C$17</definedName>
    <definedName name="solver_lhs2" localSheetId="2" hidden="1">'P3'!$H$5:$H$7</definedName>
    <definedName name="solver_lhs2" localSheetId="3" hidden="1">'P4'!$D$11:$D$13</definedName>
    <definedName name="solver_lhs3" localSheetId="0" hidden="1">'P1'!#REF!</definedName>
    <definedName name="solver_lhs3" localSheetId="1" hidden="1">'P2'!$I$17:$K$17</definedName>
    <definedName name="solver_lhs3" localSheetId="2" hidden="1">'P3'!$L$6:$L$8</definedName>
    <definedName name="solver_lhs3" localSheetId="3" hidden="1">'P4'!$D$11:$D$13</definedName>
    <definedName name="solver_lhs4" localSheetId="0" hidden="1">'P1'!$M$15</definedName>
    <definedName name="solver_lhs4" localSheetId="1" hidden="1">'P2'!$C$24:$C$25</definedName>
    <definedName name="solver_lhs4" localSheetId="2" hidden="1">'P3'!$L$6:$L$8</definedName>
    <definedName name="solver_lhs4" localSheetId="3" hidden="1">'P4'!$E$11:$E$13</definedName>
    <definedName name="solver_lhs5" localSheetId="0" hidden="1">'P1'!$M$16</definedName>
    <definedName name="solver_lhs5" localSheetId="1" hidden="1">'P2'!$I$16:$K$16</definedName>
    <definedName name="solver_lhs5" localSheetId="2" hidden="1">'P3'!$L$6:$L$8</definedName>
    <definedName name="solver_lhs5" localSheetId="3" hidden="1">'P4'!$E$25:$E$27</definedName>
    <definedName name="solver_lhs6" localSheetId="0" hidden="1">'P1'!#REF!</definedName>
    <definedName name="solver_lhs6" localSheetId="1" hidden="1">'P2'!$I$8:$K$8</definedName>
    <definedName name="solver_lhs6" localSheetId="2" hidden="1">'P3'!$H$5:$H$7</definedName>
    <definedName name="solver_lhs6" localSheetId="3" hidden="1">'P4'!#REF!</definedName>
    <definedName name="solver_lhs7" localSheetId="0" hidden="1">'P1'!#REF!</definedName>
    <definedName name="solver_lhs7" localSheetId="1" hidden="1">'P2'!$C$20:$C$21</definedName>
    <definedName name="solver_lhs7" localSheetId="3" hidden="1">'P4'!$D$21</definedName>
    <definedName name="solver_lhs8" localSheetId="0" hidden="1">'P1'!#REF!</definedName>
    <definedName name="solver_lhs8" localSheetId="3" hidden="1">'P4'!$D$21</definedName>
    <definedName name="solver_lhs9" localSheetId="0" hidden="1">'P1'!#REF!</definedName>
    <definedName name="solver_lhs9" localSheetId="3" hidden="1">'P4'!$D$22</definedName>
    <definedName name="solver_lin" localSheetId="3" hidden="1">2</definedName>
    <definedName name="solver_mda" localSheetId="3" hidden="1">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od" localSheetId="3" hidden="1">3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tr" localSheetId="3" hidden="1">0</definedName>
    <definedName name="solver_ntri" hidden="1">1000</definedName>
    <definedName name="solver_num" localSheetId="0" hidden="1">2</definedName>
    <definedName name="solver_num" localSheetId="1" hidden="1">7</definedName>
    <definedName name="solver_num" localSheetId="2" hidden="1">3</definedName>
    <definedName name="solver_num" localSheetId="3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bc" localSheetId="3" hidden="1">0</definedName>
    <definedName name="solver_obp" localSheetId="3" hidden="1">0</definedName>
    <definedName name="solver_opt" localSheetId="0" hidden="1">'P1'!$G$6</definedName>
    <definedName name="solver_opt" localSheetId="1" hidden="1">'P2'!$D$9</definedName>
    <definedName name="solver_opt" localSheetId="2" hidden="1">'P3'!$D$21</definedName>
    <definedName name="solver_opt" localSheetId="3" hidden="1">'P4'!$G$5</definedName>
    <definedName name="solver_opt_ob" localSheetId="3" hidden="1">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si" localSheetId="3" hidden="1">0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dp" localSheetId="3" hidden="1">0</definedName>
    <definedName name="solver_reco1" localSheetId="3" hidden="1">0</definedName>
    <definedName name="solver_reco10" localSheetId="3" hidden="1">0</definedName>
    <definedName name="solver_reco11" localSheetId="3" hidden="1">0</definedName>
    <definedName name="solver_reco2" localSheetId="3" hidden="1">0</definedName>
    <definedName name="solver_reco3" localSheetId="3" hidden="1">0</definedName>
    <definedName name="solver_reco4" localSheetId="3" hidden="1">0</definedName>
    <definedName name="solver_reco5" localSheetId="3" hidden="1">0</definedName>
    <definedName name="solver_reco6" localSheetId="3" hidden="1">0</definedName>
    <definedName name="solver_reco7" localSheetId="3" hidden="1">0</definedName>
    <definedName name="solver_reco8" localSheetId="3" hidden="1">0</definedName>
    <definedName name="solver_reco9" localSheetId="3" hidden="1">0</definedName>
    <definedName name="solver_rel0" localSheetId="2" hidden="1">2</definedName>
    <definedName name="solver_rel1" localSheetId="0" hidden="1">2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10" localSheetId="3" hidden="1">1</definedName>
    <definedName name="solver_rel11" localSheetId="3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3" localSheetId="0" hidden="1">1</definedName>
    <definedName name="solver_rel3" localSheetId="1" hidden="1">3</definedName>
    <definedName name="solver_rel3" localSheetId="2" hidden="1">3</definedName>
    <definedName name="solver_rel3" localSheetId="3" hidden="1">3</definedName>
    <definedName name="solver_rel4" localSheetId="0" hidden="1">3</definedName>
    <definedName name="solver_rel4" localSheetId="1" hidden="1">1</definedName>
    <definedName name="solver_rel4" localSheetId="2" hidden="1">3</definedName>
    <definedName name="solver_rel4" localSheetId="3" hidden="1">3</definedName>
    <definedName name="solver_rel5" localSheetId="0" hidden="1">3</definedName>
    <definedName name="solver_rel5" localSheetId="1" hidden="1">3</definedName>
    <definedName name="solver_rel5" localSheetId="2" hidden="1">3</definedName>
    <definedName name="solver_rel5" localSheetId="3" hidden="1">1</definedName>
    <definedName name="solver_rel6" localSheetId="0" hidden="1">3</definedName>
    <definedName name="solver_rel6" localSheetId="1" hidden="1">3</definedName>
    <definedName name="solver_rel6" localSheetId="2" hidden="1">1</definedName>
    <definedName name="solver_rel6" localSheetId="3" hidden="1">1</definedName>
    <definedName name="solver_rel7" localSheetId="0" hidden="1">2</definedName>
    <definedName name="solver_rel7" localSheetId="1" hidden="1">1</definedName>
    <definedName name="solver_rel7" localSheetId="3" hidden="1">1</definedName>
    <definedName name="solver_rel8" localSheetId="0" hidden="1">3</definedName>
    <definedName name="solver_rel8" localSheetId="3" hidden="1">3</definedName>
    <definedName name="solver_rel9" localSheetId="0" hidden="1">3</definedName>
    <definedName name="solver_rel9" localSheetId="3" hidden="1">1</definedName>
    <definedName name="solver_rhs0" localSheetId="2" hidden="1">'P3'!$E$10</definedName>
    <definedName name="solver_rhs1" localSheetId="0" hidden="1">'P1'!$M$4</definedName>
    <definedName name="solver_rhs1" localSheetId="1" hidden="1">P2ADemand</definedName>
    <definedName name="solver_rhs1" localSheetId="2" hidden="1">'P3'!$D$15:$F$15</definedName>
    <definedName name="solver_rhs1" localSheetId="3" hidden="1">'P4'!$C$19:$C$21</definedName>
    <definedName name="solver_rhs10" localSheetId="3" hidden="1">'P4'!$G$36:$G$41</definedName>
    <definedName name="solver_rhs11" localSheetId="3" hidden="1">'P4'!$K$18:$K$23</definedName>
    <definedName name="solver_rhs2" localSheetId="0" hidden="1">'P1'!$M$5:$M$10</definedName>
    <definedName name="solver_rhs2" localSheetId="1" hidden="1">P2JanCapAv</definedName>
    <definedName name="solver_rhs2" localSheetId="2" hidden="1">'P3'!$J$5:$J$7</definedName>
    <definedName name="solver_rhs2" localSheetId="3" hidden="1">'P4'!$D$19:$D$21</definedName>
    <definedName name="solver_rhs3" localSheetId="0" hidden="1">'P1'!$O$14</definedName>
    <definedName name="solver_rhs3" localSheetId="1" hidden="1">P2BMinInventory</definedName>
    <definedName name="solver_rhs3" localSheetId="2" hidden="1">'P3'!$N$6:$N$8</definedName>
    <definedName name="solver_rhs3" localSheetId="3" hidden="1">'P4'!$D$15:$D$17</definedName>
    <definedName name="solver_rhs4" localSheetId="0" hidden="1">'P1'!$K$15</definedName>
    <definedName name="solver_rhs4" localSheetId="1" hidden="1">P2MarCapAv</definedName>
    <definedName name="solver_rhs4" localSheetId="2" hidden="1">'P3'!$N$6:$N$8</definedName>
    <definedName name="solver_rhs4" localSheetId="3" hidden="1">'P4'!$G$11:$G$13</definedName>
    <definedName name="solver_rhs5" localSheetId="0" hidden="1">'P1'!$K$16</definedName>
    <definedName name="solver_rhs5" localSheetId="1" hidden="1">P2BDemand</definedName>
    <definedName name="solver_rhs5" localSheetId="2" hidden="1">'P3'!$N$6:$N$8</definedName>
    <definedName name="solver_rhs5" localSheetId="3" hidden="1">'P4'!$G$25:$G$27</definedName>
    <definedName name="solver_rhs6" localSheetId="0" hidden="1">'P1'!#REF!</definedName>
    <definedName name="solver_rhs6" localSheetId="1" hidden="1">P2AMinInventory</definedName>
    <definedName name="solver_rhs6" localSheetId="2" hidden="1">'P3'!$J$5:$J$7</definedName>
    <definedName name="solver_rhs6" localSheetId="3" hidden="1">'P4'!$I$26</definedName>
    <definedName name="solver_rhs7" localSheetId="0" hidden="1">'P1'!$O$6</definedName>
    <definedName name="solver_rhs7" localSheetId="1" hidden="1">P2FebCapAv</definedName>
    <definedName name="solver_rhs7" localSheetId="3" hidden="1">'P4'!$I$22</definedName>
    <definedName name="solver_rhs8" localSheetId="0" hidden="1">'P1'!#REF!</definedName>
    <definedName name="solver_rhs8" localSheetId="3" hidden="1">'P4'!$G$21</definedName>
    <definedName name="solver_rhs9" localSheetId="0" hidden="1">'P1'!#REF!</definedName>
    <definedName name="solver_rhs9" localSheetId="3" hidden="1">'P4'!$I$19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mp" hidden="1">2</definedName>
    <definedName name="solver_rtr" localSheetId="3" hidden="1">0</definedName>
    <definedName name="solver_rxc1" localSheetId="3" hidden="1">1</definedName>
    <definedName name="solver_rxc10" localSheetId="3" hidden="1">1</definedName>
    <definedName name="solver_rxc11" localSheetId="3" hidden="1">1</definedName>
    <definedName name="solver_rxc2" localSheetId="3" hidden="1">1</definedName>
    <definedName name="solver_rxc3" localSheetId="3" hidden="1">1</definedName>
    <definedName name="solver_rxc4" localSheetId="3" hidden="1">1</definedName>
    <definedName name="solver_rxc5" localSheetId="3" hidden="1">1</definedName>
    <definedName name="solver_rxc6" localSheetId="3" hidden="1">1</definedName>
    <definedName name="solver_rxc7" localSheetId="3" hidden="1">1</definedName>
    <definedName name="solver_rxc8" localSheetId="3" hidden="1">1</definedName>
    <definedName name="solver_rxc9" localSheetId="3" hidden="1">1</definedName>
    <definedName name="solver_rxv" localSheetId="3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eed" hidden="1">0</definedName>
    <definedName name="solver_se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lv" localSheetId="3" hidden="1">0</definedName>
    <definedName name="solver_slvu" localSheetId="3" hidden="1">0</definedName>
    <definedName name="solver_spid" localSheetId="3" hidden="1">" "</definedName>
    <definedName name="solver_srvr" localSheetId="3" hidden="1">" "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umod" localSheetId="3" hidden="1">1</definedName>
    <definedName name="solver_urs" localSheetId="3" hidden="1">0</definedName>
    <definedName name="solver_userid" localSheetId="0" hidden="1">" "</definedName>
    <definedName name="solver_userid" localSheetId="1" hidden="1">" "</definedName>
    <definedName name="solver_userid" localSheetId="2" hidden="1">" "</definedName>
    <definedName name="solver_userid" localSheetId="3" hidden="1">" "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r" localSheetId="3" hidden="1">" "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ir" localSheetId="3" hidden="1">1</definedName>
    <definedName name="solver_vol" localSheetId="3" hidden="1">0</definedName>
    <definedName name="solver_vst" localSheetId="3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G5" i="7"/>
  <c r="G27" i="7"/>
  <c r="E26" i="7"/>
  <c r="E27" i="7"/>
  <c r="E25" i="7"/>
  <c r="E11" i="7"/>
  <c r="D15" i="7" s="1"/>
  <c r="E12" i="7"/>
  <c r="D16" i="7" s="1"/>
  <c r="E13" i="7"/>
  <c r="D17" i="7" s="1"/>
  <c r="I22" i="7" l="1"/>
  <c r="N8" i="10"/>
  <c r="N7" i="10"/>
  <c r="N6" i="10"/>
  <c r="L7" i="10"/>
  <c r="E8" i="10" s="1"/>
  <c r="L8" i="10"/>
  <c r="F8" i="10" s="1"/>
  <c r="L6" i="10"/>
  <c r="D8" i="10" s="1"/>
  <c r="D26" i="10"/>
  <c r="E26" i="10"/>
  <c r="F26" i="10"/>
  <c r="D27" i="10"/>
  <c r="E27" i="10"/>
  <c r="F27" i="10"/>
  <c r="E25" i="10"/>
  <c r="F25" i="10"/>
  <c r="D25" i="10"/>
  <c r="E13" i="10" l="1"/>
  <c r="F13" i="10"/>
  <c r="D13" i="10"/>
  <c r="K23" i="9"/>
  <c r="J23" i="9"/>
  <c r="I23" i="9"/>
  <c r="K22" i="9"/>
  <c r="J22" i="9"/>
  <c r="J24" i="9" s="1"/>
  <c r="I22" i="9"/>
  <c r="K15" i="9"/>
  <c r="J15" i="9"/>
  <c r="I15" i="9"/>
  <c r="I16" i="9" s="1"/>
  <c r="K6" i="9"/>
  <c r="J6" i="9"/>
  <c r="I6" i="9"/>
  <c r="I7" i="9" s="1"/>
  <c r="C16" i="9"/>
  <c r="K24" i="9" l="1"/>
  <c r="I24" i="9"/>
  <c r="H7" i="10"/>
  <c r="H6" i="10"/>
  <c r="H5" i="10"/>
  <c r="D19" i="10"/>
  <c r="I17" i="9"/>
  <c r="J16" i="9" s="1"/>
  <c r="I8" i="9"/>
  <c r="I26" i="9" s="1"/>
  <c r="B17" i="10" l="1"/>
  <c r="D21" i="10" s="1"/>
  <c r="I27" i="9"/>
  <c r="I28" i="9" s="1"/>
  <c r="J17" i="9"/>
  <c r="K17" i="9" s="1"/>
  <c r="K27" i="9" s="1"/>
  <c r="J8" i="9"/>
  <c r="K7" i="9" s="1"/>
  <c r="J7" i="9"/>
  <c r="J27" i="9" l="1"/>
  <c r="K16" i="9"/>
  <c r="J26" i="9"/>
  <c r="J28" i="9" s="1"/>
  <c r="K8" i="9"/>
  <c r="K26" i="9" s="1"/>
  <c r="K28" i="9" s="1"/>
  <c r="C24" i="9"/>
  <c r="C17" i="9"/>
  <c r="C25" i="9"/>
  <c r="C21" i="9"/>
  <c r="C20" i="9"/>
  <c r="M9" i="1"/>
  <c r="K9" i="1"/>
  <c r="M7" i="1"/>
  <c r="K4" i="1"/>
  <c r="K6" i="1"/>
  <c r="G6" i="1"/>
  <c r="E6" i="1" s="1"/>
  <c r="K10" i="1"/>
  <c r="K8" i="1"/>
  <c r="K5" i="1"/>
  <c r="M10" i="1" s="1"/>
  <c r="D9" i="9" l="1"/>
</calcChain>
</file>

<file path=xl/sharedStrings.xml><?xml version="1.0" encoding="utf-8"?>
<sst xmlns="http://schemas.openxmlformats.org/spreadsheetml/2006/main" count="192" uniqueCount="101">
  <si>
    <t>Risto B. Rushford</t>
  </si>
  <si>
    <t>&lt;=</t>
  </si>
  <si>
    <t>=</t>
  </si>
  <si>
    <t>Demand</t>
  </si>
  <si>
    <t>Constraints:</t>
  </si>
  <si>
    <t>ISQA 410 Summer 2018</t>
  </si>
  <si>
    <t>Expected Return</t>
  </si>
  <si>
    <t>Investment</t>
  </si>
  <si>
    <t>Share A Mfg</t>
  </si>
  <si>
    <t>Share B Mfg</t>
  </si>
  <si>
    <t>Share C Food/Bev</t>
  </si>
  <si>
    <t>Share D Food/Bev</t>
  </si>
  <si>
    <t>Mutual Fund E</t>
  </si>
  <si>
    <t>Mutual Fund Z</t>
  </si>
  <si>
    <t>% of Portfolio</t>
  </si>
  <si>
    <t>% Food/Bev Sector</t>
  </si>
  <si>
    <t>% Mfg        Sector</t>
  </si>
  <si>
    <t>Portfolio Constraints</t>
  </si>
  <si>
    <t>% Mutual Funds</t>
  </si>
  <si>
    <t>Amount to Invest:</t>
  </si>
  <si>
    <t>Total Portfolio %</t>
  </si>
  <si>
    <t>Return --&gt;</t>
  </si>
  <si>
    <t>Total Expected Return (Max. Objective)</t>
  </si>
  <si>
    <t>% Company B w/in Mfg sector</t>
  </si>
  <si>
    <t>% Company C w/in Food sector</t>
  </si>
  <si>
    <t>A</t>
  </si>
  <si>
    <t>B</t>
  </si>
  <si>
    <t>January</t>
  </si>
  <si>
    <t>February</t>
  </si>
  <si>
    <t>March</t>
  </si>
  <si>
    <t>Required Resources</t>
  </si>
  <si>
    <t>March Cap.</t>
  </si>
  <si>
    <t>Bike A</t>
  </si>
  <si>
    <t>Bike B</t>
  </si>
  <si>
    <t>Jan</t>
  </si>
  <si>
    <t>Feb</t>
  </si>
  <si>
    <t>Mar</t>
  </si>
  <si>
    <t>Qty Prod</t>
  </si>
  <si>
    <t>Mach. Hrs</t>
  </si>
  <si>
    <t>Man Hrs</t>
  </si>
  <si>
    <t>Cap. Av.</t>
  </si>
  <si>
    <t>Cap. Used</t>
  </si>
  <si>
    <t>Jan. Cap.</t>
  </si>
  <si>
    <t>Feb. Cap.</t>
  </si>
  <si>
    <t>Inventory</t>
  </si>
  <si>
    <t>&gt;=</t>
  </si>
  <si>
    <t>Production Quantity</t>
  </si>
  <si>
    <t>December</t>
  </si>
  <si>
    <t>Month</t>
  </si>
  <si>
    <t>Production</t>
  </si>
  <si>
    <t>Bicycle A</t>
  </si>
  <si>
    <t>Bicycle B</t>
  </si>
  <si>
    <t>Cost Calculations</t>
  </si>
  <si>
    <t>Total Production Costs</t>
  </si>
  <si>
    <t>*Maintenance Rate/Month/Unit:</t>
  </si>
  <si>
    <t>Total Maint. Costs</t>
  </si>
  <si>
    <t>Prd. On Hand</t>
  </si>
  <si>
    <t>Rem. Inv</t>
  </si>
  <si>
    <t>Direct Cost/Unit:</t>
  </si>
  <si>
    <t>Total Costs (Min. Obj.):</t>
  </si>
  <si>
    <t>C</t>
  </si>
  <si>
    <t>Standard</t>
  </si>
  <si>
    <t>Fuel Demand</t>
  </si>
  <si>
    <t>Super Fuel</t>
  </si>
  <si>
    <t>Unleaded</t>
  </si>
  <si>
    <t>Super Unleaded</t>
  </si>
  <si>
    <t>Material Cost</t>
  </si>
  <si>
    <t>Total Contribution</t>
  </si>
  <si>
    <t>Ingredients</t>
  </si>
  <si>
    <t>Octane</t>
  </si>
  <si>
    <t>Blended Octane</t>
  </si>
  <si>
    <t>Fuel Blend Calculations</t>
  </si>
  <si>
    <t>Raw Material Cost</t>
  </si>
  <si>
    <t>Total Raw Ingredients</t>
  </si>
  <si>
    <t>Fuel Revenue</t>
  </si>
  <si>
    <t>Cost/Day</t>
  </si>
  <si>
    <t>Advertising Time-Slots</t>
  </si>
  <si>
    <t>Total Viewers</t>
  </si>
  <si>
    <t>Expected Viewership Rate</t>
  </si>
  <si>
    <t>Day Time</t>
  </si>
  <si>
    <t>Night Time</t>
  </si>
  <si>
    <t>Friday</t>
  </si>
  <si>
    <t>Saturday</t>
  </si>
  <si>
    <t>Sunday</t>
  </si>
  <si>
    <t>Time Slots to Purchase</t>
  </si>
  <si>
    <t>Daily Spots</t>
  </si>
  <si>
    <t>Constraint</t>
  </si>
  <si>
    <t>Night Min.</t>
  </si>
  <si>
    <t>Daily Spot</t>
  </si>
  <si>
    <t>&lt;= Daily Max &lt;=</t>
  </si>
  <si>
    <t>Time Spot Costs</t>
  </si>
  <si>
    <t>Daily</t>
  </si>
  <si>
    <t>Budget</t>
  </si>
  <si>
    <t>Total</t>
  </si>
  <si>
    <t>Minimum</t>
  </si>
  <si>
    <t>% Company B in Total</t>
  </si>
  <si>
    <t>Fuel Blend Ratios</t>
  </si>
  <si>
    <t>Ingredient</t>
  </si>
  <si>
    <t>Intermediate Octane Calculations</t>
  </si>
  <si>
    <t>Fuel Blend</t>
  </si>
  <si>
    <t>Supply Chain Analysis HW3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</si>
</sst>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&quot;$&quot;#,##0.00"/>
    <numFmt numFmtId="166" formatCode="0.0%"/>
    <numFmt numFmtId="167" formatCode="&quot;$&quot;#,##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0" xfId="0" applyBorder="1" applyAlignment="1"/>
    <xf numFmtId="165" fontId="0" fillId="0" borderId="0" xfId="0" applyNumberFormat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9" fontId="0" fillId="12" borderId="4" xfId="3" applyFont="1" applyFill="1" applyBorder="1" applyAlignment="1">
      <alignment horizontal="center" vertical="center"/>
    </xf>
    <xf numFmtId="9" fontId="0" fillId="12" borderId="0" xfId="3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9" fontId="0" fillId="12" borderId="18" xfId="3" applyFont="1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165" fontId="2" fillId="4" borderId="6" xfId="2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9" fontId="0" fillId="12" borderId="7" xfId="3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6" fontId="0" fillId="0" borderId="0" xfId="0" applyNumberFormat="1"/>
    <xf numFmtId="9" fontId="0" fillId="13" borderId="14" xfId="3" applyFont="1" applyFill="1" applyBorder="1" applyAlignment="1">
      <alignment horizontal="center" vertical="center"/>
    </xf>
    <xf numFmtId="9" fontId="0" fillId="13" borderId="16" xfId="3" applyFont="1" applyFill="1" applyBorder="1" applyAlignment="1">
      <alignment horizontal="center" vertical="center"/>
    </xf>
    <xf numFmtId="9" fontId="0" fillId="13" borderId="11" xfId="3" applyFont="1" applyFill="1" applyBorder="1" applyAlignment="1">
      <alignment horizontal="center" vertical="center"/>
    </xf>
    <xf numFmtId="9" fontId="0" fillId="13" borderId="19" xfId="3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7" borderId="28" xfId="0" applyNumberFormat="1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0" borderId="26" xfId="0" applyBorder="1"/>
    <xf numFmtId="0" fontId="0" fillId="0" borderId="18" xfId="0" applyBorder="1" applyAlignment="1">
      <alignment horizontal="center"/>
    </xf>
    <xf numFmtId="0" fontId="0" fillId="14" borderId="24" xfId="0" applyFill="1" applyBorder="1"/>
    <xf numFmtId="2" fontId="0" fillId="14" borderId="28" xfId="0" applyNumberFormat="1" applyFill="1" applyBorder="1" applyAlignment="1">
      <alignment horizontal="center"/>
    </xf>
    <xf numFmtId="0" fontId="0" fillId="14" borderId="22" xfId="0" applyFill="1" applyBorder="1"/>
    <xf numFmtId="2" fontId="0" fillId="14" borderId="9" xfId="0" applyNumberFormat="1" applyFill="1" applyBorder="1" applyAlignment="1">
      <alignment horizontal="center"/>
    </xf>
    <xf numFmtId="0" fontId="0" fillId="13" borderId="1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/>
    <xf numFmtId="0" fontId="0" fillId="13" borderId="1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/>
    <xf numFmtId="0" fontId="0" fillId="0" borderId="18" xfId="0" applyBorder="1"/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" fontId="0" fillId="8" borderId="11" xfId="0" applyNumberForma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9" xfId="0" applyNumberForma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167" fontId="0" fillId="0" borderId="25" xfId="0" applyNumberFormat="1" applyBorder="1" applyAlignment="1">
      <alignment horizontal="center" vertical="center"/>
    </xf>
    <xf numFmtId="0" fontId="0" fillId="0" borderId="30" xfId="0" applyBorder="1"/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9" fontId="0" fillId="2" borderId="29" xfId="3" applyFont="1" applyFill="1" applyBorder="1" applyAlignment="1">
      <alignment horizontal="center" vertical="center"/>
    </xf>
    <xf numFmtId="0" fontId="0" fillId="2" borderId="25" xfId="0" applyFill="1" applyBorder="1"/>
    <xf numFmtId="1" fontId="0" fillId="10" borderId="0" xfId="0" applyNumberFormat="1" applyFill="1" applyBorder="1" applyAlignment="1">
      <alignment horizontal="center" vertical="center"/>
    </xf>
    <xf numFmtId="1" fontId="0" fillId="10" borderId="11" xfId="0" applyNumberFormat="1" applyFill="1" applyBorder="1" applyAlignment="1">
      <alignment horizontal="center" vertical="center"/>
    </xf>
    <xf numFmtId="1" fontId="0" fillId="6" borderId="28" xfId="0" applyNumberFormat="1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166" fontId="0" fillId="4" borderId="18" xfId="3" applyNumberFormat="1" applyFont="1" applyFill="1" applyBorder="1" applyAlignment="1">
      <alignment horizontal="right" vertical="center"/>
    </xf>
    <xf numFmtId="0" fontId="0" fillId="4" borderId="18" xfId="0" applyFill="1" applyBorder="1" applyAlignment="1">
      <alignment horizontal="left" vertical="center"/>
    </xf>
    <xf numFmtId="0" fontId="0" fillId="0" borderId="35" xfId="0" applyBorder="1" applyAlignment="1">
      <alignment horizontal="center" vertical="center" wrapText="1"/>
    </xf>
    <xf numFmtId="9" fontId="0" fillId="6" borderId="36" xfId="3" applyNumberFormat="1" applyFont="1" applyFill="1" applyBorder="1" applyAlignment="1">
      <alignment horizontal="center" vertical="center"/>
    </xf>
    <xf numFmtId="9" fontId="0" fillId="7" borderId="37" xfId="3" applyNumberFormat="1" applyFont="1" applyFill="1" applyBorder="1" applyAlignment="1">
      <alignment horizontal="center" vertical="center"/>
    </xf>
    <xf numFmtId="9" fontId="0" fillId="6" borderId="37" xfId="3" applyNumberFormat="1" applyFont="1" applyFill="1" applyBorder="1" applyAlignment="1">
      <alignment horizontal="center" vertical="center"/>
    </xf>
    <xf numFmtId="9" fontId="0" fillId="7" borderId="38" xfId="3" applyNumberFormat="1" applyFont="1" applyFill="1" applyBorder="1" applyAlignment="1">
      <alignment horizontal="center" vertical="center"/>
    </xf>
    <xf numFmtId="166" fontId="0" fillId="3" borderId="34" xfId="3" applyNumberFormat="1" applyFont="1" applyFill="1" applyBorder="1" applyAlignment="1">
      <alignment horizontal="center" vertical="center"/>
    </xf>
    <xf numFmtId="166" fontId="0" fillId="2" borderId="17" xfId="3" applyNumberFormat="1" applyFont="1" applyFill="1" applyBorder="1" applyAlignment="1">
      <alignment horizontal="center" vertical="center"/>
    </xf>
    <xf numFmtId="166" fontId="0" fillId="3" borderId="17" xfId="3" applyNumberFormat="1" applyFont="1" applyFill="1" applyBorder="1" applyAlignment="1">
      <alignment horizontal="center" vertical="center"/>
    </xf>
    <xf numFmtId="166" fontId="0" fillId="2" borderId="39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6" xfId="0" quotePrefix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167" fontId="0" fillId="0" borderId="26" xfId="0" applyNumberFormat="1" applyBorder="1" applyAlignment="1">
      <alignment horizontal="center" vertical="center"/>
    </xf>
    <xf numFmtId="0" fontId="0" fillId="0" borderId="29" xfId="0" quotePrefix="1" applyBorder="1" applyAlignment="1">
      <alignment horizontal="center" vertical="center"/>
    </xf>
    <xf numFmtId="167" fontId="0" fillId="0" borderId="27" xfId="0" applyNumberFormat="1" applyBorder="1" applyAlignment="1">
      <alignment horizontal="center" vertical="center"/>
    </xf>
    <xf numFmtId="167" fontId="0" fillId="0" borderId="28" xfId="0" applyNumberFormat="1" applyBorder="1" applyAlignment="1">
      <alignment horizontal="center" vertical="center"/>
    </xf>
    <xf numFmtId="0" fontId="0" fillId="0" borderId="8" xfId="0" applyBorder="1" applyAlignment="1"/>
    <xf numFmtId="0" fontId="0" fillId="8" borderId="24" xfId="1" applyNumberFormat="1" applyFont="1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165" fontId="0" fillId="10" borderId="8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9" xfId="3" applyNumberFormat="1" applyFont="1" applyFill="1" applyBorder="1" applyAlignment="1">
      <alignment horizontal="center" vertical="center"/>
    </xf>
    <xf numFmtId="168" fontId="0" fillId="0" borderId="27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" fontId="0" fillId="12" borderId="24" xfId="3" applyNumberFormat="1" applyFont="1" applyFill="1" applyBorder="1" applyAlignment="1">
      <alignment horizontal="center" vertical="center"/>
    </xf>
    <xf numFmtId="1" fontId="0" fillId="12" borderId="27" xfId="3" applyNumberFormat="1" applyFont="1" applyFill="1" applyBorder="1" applyAlignment="1">
      <alignment horizontal="center" vertical="center"/>
    </xf>
    <xf numFmtId="1" fontId="0" fillId="12" borderId="26" xfId="3" applyNumberFormat="1" applyFont="1" applyFill="1" applyBorder="1" applyAlignment="1">
      <alignment horizontal="center" vertical="center"/>
    </xf>
    <xf numFmtId="1" fontId="0" fillId="12" borderId="28" xfId="3" applyNumberFormat="1" applyFont="1" applyFill="1" applyBorder="1" applyAlignment="1">
      <alignment horizontal="center" vertical="center"/>
    </xf>
    <xf numFmtId="1" fontId="0" fillId="12" borderId="22" xfId="3" applyNumberFormat="1" applyFont="1" applyFill="1" applyBorder="1" applyAlignment="1">
      <alignment horizontal="center" vertical="center"/>
    </xf>
    <xf numFmtId="1" fontId="0" fillId="12" borderId="9" xfId="3" applyNumberFormat="1" applyFont="1" applyFill="1" applyBorder="1" applyAlignment="1">
      <alignment horizontal="center" vertical="center"/>
    </xf>
    <xf numFmtId="164" fontId="0" fillId="0" borderId="10" xfId="0" applyNumberFormat="1" applyBorder="1" applyAlignment="1"/>
    <xf numFmtId="0" fontId="0" fillId="0" borderId="0" xfId="0" applyFont="1" applyFill="1" applyBorder="1" applyAlignment="1">
      <alignment vertical="center" wrapText="1"/>
    </xf>
    <xf numFmtId="0" fontId="0" fillId="7" borderId="9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29" xfId="0" quotePrefix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6" borderId="28" xfId="0" applyFont="1" applyFill="1" applyBorder="1" applyAlignment="1">
      <alignment horizontal="center" vertical="center" wrapText="1"/>
    </xf>
    <xf numFmtId="0" fontId="0" fillId="13" borderId="26" xfId="0" applyFill="1" applyBorder="1" applyAlignment="1">
      <alignment horizontal="center" vertical="center"/>
    </xf>
    <xf numFmtId="0" fontId="0" fillId="11" borderId="27" xfId="0" applyFont="1" applyFill="1" applyBorder="1" applyAlignment="1">
      <alignment vertical="center" wrapText="1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7" borderId="28" xfId="0" applyFont="1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7" borderId="22" xfId="0" applyFont="1" applyFill="1" applyBorder="1" applyAlignment="1">
      <alignment horizontal="center" vertical="center" wrapText="1"/>
    </xf>
    <xf numFmtId="0" fontId="0" fillId="11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11" borderId="27" xfId="0" applyFill="1" applyBorder="1" applyAlignment="1">
      <alignment vertical="center"/>
    </xf>
    <xf numFmtId="0" fontId="0" fillId="8" borderId="2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6" borderId="24" xfId="0" applyFill="1" applyBorder="1"/>
    <xf numFmtId="9" fontId="0" fillId="16" borderId="26" xfId="3" applyFont="1" applyFill="1" applyBorder="1" applyAlignment="1">
      <alignment horizontal="center" vertical="center"/>
    </xf>
    <xf numFmtId="0" fontId="0" fillId="16" borderId="22" xfId="0" applyFill="1" applyBorder="1"/>
    <xf numFmtId="0" fontId="0" fillId="13" borderId="22" xfId="0" applyFont="1" applyFill="1" applyBorder="1" applyAlignment="1">
      <alignment horizontal="center" vertical="center" wrapText="1"/>
    </xf>
    <xf numFmtId="0" fontId="0" fillId="13" borderId="19" xfId="0" applyFont="1" applyFill="1" applyBorder="1" applyAlignment="1">
      <alignment horizontal="center" vertical="center" wrapText="1"/>
    </xf>
    <xf numFmtId="0" fontId="0" fillId="11" borderId="28" xfId="0" applyFill="1" applyBorder="1" applyAlignment="1">
      <alignment horizontal="center"/>
    </xf>
    <xf numFmtId="0" fontId="0" fillId="15" borderId="27" xfId="0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27" xfId="0" applyFill="1" applyBorder="1" applyAlignment="1">
      <alignment vertical="center"/>
    </xf>
    <xf numFmtId="0" fontId="0" fillId="15" borderId="25" xfId="0" applyFill="1" applyBorder="1" applyAlignment="1">
      <alignment horizontal="center" vertical="center"/>
    </xf>
    <xf numFmtId="0" fontId="0" fillId="15" borderId="27" xfId="0" applyFont="1" applyFill="1" applyBorder="1" applyAlignment="1">
      <alignment vertical="center" wrapText="1"/>
    </xf>
    <xf numFmtId="167" fontId="0" fillId="12" borderId="11" xfId="0" applyNumberFormat="1" applyFill="1" applyBorder="1" applyAlignment="1">
      <alignment horizontal="center" vertical="center"/>
    </xf>
    <xf numFmtId="167" fontId="0" fillId="12" borderId="28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  <xf numFmtId="167" fontId="0" fillId="3" borderId="28" xfId="0" applyNumberFormat="1" applyFill="1" applyBorder="1" applyAlignment="1">
      <alignment horizontal="center" vertical="center"/>
    </xf>
    <xf numFmtId="167" fontId="0" fillId="2" borderId="19" xfId="0" applyNumberFormat="1" applyFill="1" applyBorder="1" applyAlignment="1">
      <alignment horizontal="center" vertical="center"/>
    </xf>
    <xf numFmtId="167" fontId="0" fillId="2" borderId="9" xfId="0" applyNumberFormat="1" applyFill="1" applyBorder="1" applyAlignment="1">
      <alignment horizontal="center" vertical="center"/>
    </xf>
    <xf numFmtId="0" fontId="0" fillId="15" borderId="28" xfId="0" applyFont="1" applyFill="1" applyBorder="1" applyAlignment="1">
      <alignment horizontal="center" vertical="center" wrapText="1"/>
    </xf>
    <xf numFmtId="0" fontId="0" fillId="15" borderId="28" xfId="0" applyFill="1" applyBorder="1" applyAlignment="1">
      <alignment horizontal="center" vertical="center"/>
    </xf>
    <xf numFmtId="1" fontId="0" fillId="12" borderId="28" xfId="0" applyNumberFormat="1" applyFill="1" applyBorder="1" applyAlignment="1">
      <alignment horizontal="center" vertical="center"/>
    </xf>
    <xf numFmtId="1" fontId="0" fillId="8" borderId="26" xfId="0" applyNumberFormat="1" applyFill="1" applyBorder="1" applyAlignment="1">
      <alignment horizontal="center" vertical="center"/>
    </xf>
    <xf numFmtId="1" fontId="0" fillId="13" borderId="25" xfId="0" applyNumberFormat="1" applyFill="1" applyBorder="1" applyAlignment="1">
      <alignment horizontal="center" vertical="center"/>
    </xf>
    <xf numFmtId="167" fontId="0" fillId="8" borderId="28" xfId="0" applyNumberFormat="1" applyFill="1" applyBorder="1" applyAlignment="1">
      <alignment horizontal="center" vertical="center"/>
    </xf>
    <xf numFmtId="0" fontId="0" fillId="0" borderId="24" xfId="0" quotePrefix="1" applyBorder="1" applyAlignment="1">
      <alignment horizontal="center" vertical="center"/>
    </xf>
    <xf numFmtId="0" fontId="0" fillId="0" borderId="25" xfId="0" quotePrefix="1" applyBorder="1" applyAlignment="1">
      <alignment horizontal="center" vertical="center"/>
    </xf>
    <xf numFmtId="0" fontId="0" fillId="14" borderId="27" xfId="0" applyFill="1" applyBorder="1" applyAlignment="1">
      <alignment horizontal="left" vertical="top"/>
    </xf>
    <xf numFmtId="0" fontId="0" fillId="14" borderId="9" xfId="0" applyFill="1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9" borderId="7" xfId="0" applyFill="1" applyBorder="1" applyAlignment="1"/>
    <xf numFmtId="1" fontId="0" fillId="7" borderId="40" xfId="0" applyNumberFormat="1" applyFill="1" applyBorder="1" applyAlignment="1">
      <alignment horizontal="center"/>
    </xf>
    <xf numFmtId="1" fontId="0" fillId="6" borderId="40" xfId="0" applyNumberFormat="1" applyFill="1" applyBorder="1" applyAlignment="1">
      <alignment horizontal="center"/>
    </xf>
    <xf numFmtId="165" fontId="0" fillId="16" borderId="40" xfId="2" applyNumberFormat="1" applyFont="1" applyFill="1" applyBorder="1" applyAlignment="1">
      <alignment horizontal="center"/>
    </xf>
    <xf numFmtId="9" fontId="0" fillId="0" borderId="0" xfId="3" applyFont="1" applyBorder="1" applyAlignment="1">
      <alignment horizontal="center" vertical="center"/>
    </xf>
    <xf numFmtId="9" fontId="0" fillId="0" borderId="11" xfId="3" applyFont="1" applyBorder="1" applyAlignment="1">
      <alignment horizontal="center" vertical="center"/>
    </xf>
    <xf numFmtId="9" fontId="0" fillId="0" borderId="18" xfId="3" applyFont="1" applyBorder="1" applyAlignment="1">
      <alignment horizontal="center" vertical="center"/>
    </xf>
    <xf numFmtId="9" fontId="0" fillId="0" borderId="19" xfId="3" applyFont="1" applyBorder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0" fillId="18" borderId="24" xfId="0" applyFill="1" applyBorder="1"/>
    <xf numFmtId="0" fontId="0" fillId="18" borderId="29" xfId="0" applyFill="1" applyBorder="1"/>
    <xf numFmtId="0" fontId="0" fillId="18" borderId="25" xfId="0" applyFill="1" applyBorder="1"/>
    <xf numFmtId="0" fontId="0" fillId="18" borderId="26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22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3" fillId="0" borderId="0" xfId="0" applyFont="1"/>
    <xf numFmtId="0" fontId="0" fillId="0" borderId="25" xfId="0" applyBorder="1"/>
    <xf numFmtId="0" fontId="3" fillId="0" borderId="1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" fontId="3" fillId="8" borderId="26" xfId="0" applyNumberFormat="1" applyFont="1" applyFill="1" applyBorder="1" applyAlignment="1">
      <alignment horizontal="center" vertical="center"/>
    </xf>
    <xf numFmtId="1" fontId="3" fillId="8" borderId="2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65" fontId="2" fillId="5" borderId="22" xfId="2" applyNumberFormat="1" applyFont="1" applyFill="1" applyBorder="1" applyAlignment="1">
      <alignment horizontal="center" vertical="center"/>
    </xf>
    <xf numFmtId="165" fontId="2" fillId="5" borderId="19" xfId="2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0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22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165" fontId="0" fillId="9" borderId="22" xfId="2" applyNumberFormat="1" applyFont="1" applyFill="1" applyBorder="1" applyAlignment="1">
      <alignment horizontal="center"/>
    </xf>
    <xf numFmtId="165" fontId="0" fillId="9" borderId="19" xfId="2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4" borderId="5" xfId="0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24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65" fontId="0" fillId="10" borderId="5" xfId="0" applyNumberFormat="1" applyFill="1" applyBorder="1" applyAlignment="1">
      <alignment horizontal="center"/>
    </xf>
    <xf numFmtId="165" fontId="0" fillId="10" borderId="21" xfId="0" applyNumberFormat="1" applyFill="1" applyBorder="1" applyAlignment="1">
      <alignment horizontal="center"/>
    </xf>
    <xf numFmtId="165" fontId="0" fillId="10" borderId="6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0" fillId="15" borderId="24" xfId="0" applyFill="1" applyBorder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1" borderId="27" xfId="0" applyFont="1" applyFill="1" applyBorder="1" applyAlignment="1">
      <alignment horizontal="center" vertical="center" wrapText="1"/>
    </xf>
    <xf numFmtId="0" fontId="0" fillId="11" borderId="2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9" borderId="2" xfId="0" applyFill="1" applyBorder="1" applyAlignment="1">
      <alignment wrapText="1"/>
    </xf>
    <xf numFmtId="0" fontId="0" fillId="14" borderId="25" xfId="0" applyFill="1" applyBorder="1" applyAlignment="1">
      <alignment horizontal="left" vertical="top" wrapText="1"/>
    </xf>
    <xf numFmtId="0" fontId="0" fillId="14" borderId="19" xfId="0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 wrapText="1"/>
    </xf>
    <xf numFmtId="0" fontId="0" fillId="12" borderId="26" xfId="0" applyNumberFormat="1" applyFill="1" applyBorder="1" applyAlignment="1">
      <alignment horizontal="center" vertical="center" wrapText="1"/>
    </xf>
    <xf numFmtId="0" fontId="0" fillId="12" borderId="22" xfId="0" applyNumberFormat="1" applyFill="1" applyBorder="1" applyAlignment="1">
      <alignment horizontal="center" vertical="center" wrapText="1"/>
    </xf>
    <xf numFmtId="0" fontId="0" fillId="12" borderId="26" xfId="0" applyNumberFormat="1" applyFill="1" applyBorder="1" applyAlignment="1">
      <alignment horizontal="center" wrapText="1"/>
    </xf>
    <xf numFmtId="0" fontId="0" fillId="12" borderId="22" xfId="0" applyNumberFormat="1" applyFill="1" applyBorder="1" applyAlignment="1">
      <alignment horizontal="center" wrapText="1"/>
    </xf>
    <xf numFmtId="0" fontId="0" fillId="0" borderId="1" xfId="0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D84F-6090-466B-BC19-39D036B215C3}">
  <dimension ref="B1:M17"/>
  <sheetViews>
    <sheetView view="pageBreakPreview" topLeftCell="B1" zoomScale="60" zoomScaleNormal="89" workbookViewId="0">
      <selection activeCell="C3" sqref="C3"/>
    </sheetView>
  </sheetViews>
  <sheetFormatPr defaultRowHeight="14.6" x14ac:dyDescent="0.4"/>
  <cols>
    <col min="1" max="1" width="2.15234375" customWidth="1"/>
    <col min="2" max="2" width="13.3828125" customWidth="1"/>
    <col min="3" max="3" width="9.84375" customWidth="1"/>
    <col min="4" max="4" width="8.3828125" customWidth="1"/>
    <col min="5" max="5" width="8.765625" bestFit="1" customWidth="1"/>
    <col min="6" max="6" width="9.15234375" bestFit="1" customWidth="1"/>
    <col min="7" max="8" width="6.765625" bestFit="1" customWidth="1"/>
    <col min="9" max="9" width="2.15234375" customWidth="1"/>
    <col min="10" max="10" width="9.3046875" customWidth="1"/>
    <col min="11" max="11" width="5.3046875" bestFit="1" customWidth="1"/>
    <col min="12" max="12" width="2" customWidth="1"/>
    <col min="13" max="13" width="6.3046875" customWidth="1"/>
    <col min="14" max="14" width="2.15234375" customWidth="1"/>
    <col min="15" max="15" width="8" bestFit="1" customWidth="1"/>
  </cols>
  <sheetData>
    <row r="1" spans="2:13" ht="15" thickBot="1" x14ac:dyDescent="0.45">
      <c r="B1" s="227" t="s">
        <v>0</v>
      </c>
      <c r="C1" s="227"/>
      <c r="D1" s="1"/>
      <c r="E1" s="1"/>
      <c r="F1" s="1"/>
      <c r="G1" s="1"/>
      <c r="H1" s="234" t="s">
        <v>100</v>
      </c>
      <c r="I1" s="234"/>
      <c r="J1" s="234"/>
      <c r="K1" s="234"/>
      <c r="L1" s="234"/>
      <c r="M1" s="234"/>
    </row>
    <row r="2" spans="2:13" ht="11.25" customHeight="1" thickTop="1" thickBot="1" x14ac:dyDescent="0.45"/>
    <row r="3" spans="2:13" ht="29.6" thickBot="1" x14ac:dyDescent="0.45">
      <c r="B3" s="24" t="s">
        <v>7</v>
      </c>
      <c r="C3" s="22" t="s">
        <v>8</v>
      </c>
      <c r="D3" s="22" t="s">
        <v>9</v>
      </c>
      <c r="E3" s="22" t="s">
        <v>10</v>
      </c>
      <c r="F3" s="22" t="s">
        <v>11</v>
      </c>
      <c r="G3" s="22" t="s">
        <v>12</v>
      </c>
      <c r="H3" s="23" t="s">
        <v>13</v>
      </c>
      <c r="J3" s="230" t="s">
        <v>17</v>
      </c>
      <c r="K3" s="231"/>
      <c r="L3" s="231"/>
      <c r="M3" s="232"/>
    </row>
    <row r="4" spans="2:13" ht="29.25" customHeight="1" x14ac:dyDescent="0.4">
      <c r="B4" s="89" t="s">
        <v>14</v>
      </c>
      <c r="C4" s="90">
        <v>0.30000000000000004</v>
      </c>
      <c r="D4" s="91">
        <v>0.1</v>
      </c>
      <c r="E4" s="92">
        <v>0.4</v>
      </c>
      <c r="F4" s="91">
        <v>9.9999999999999978E-2</v>
      </c>
      <c r="G4" s="92">
        <v>0.1</v>
      </c>
      <c r="H4" s="93">
        <v>0</v>
      </c>
      <c r="J4" s="20" t="s">
        <v>20</v>
      </c>
      <c r="K4" s="21">
        <f>SUM(C4:H4)</f>
        <v>1</v>
      </c>
      <c r="L4" s="10" t="s">
        <v>2</v>
      </c>
      <c r="M4" s="27">
        <v>1</v>
      </c>
    </row>
    <row r="5" spans="2:13" ht="29.6" thickBot="1" x14ac:dyDescent="0.45">
      <c r="B5" s="25" t="s">
        <v>6</v>
      </c>
      <c r="C5" s="94">
        <v>0.154</v>
      </c>
      <c r="D5" s="95">
        <v>0.192</v>
      </c>
      <c r="E5" s="96">
        <v>0.187</v>
      </c>
      <c r="F5" s="95">
        <v>0.13500000000000001</v>
      </c>
      <c r="G5" s="96">
        <v>0.17799999999999999</v>
      </c>
      <c r="H5" s="97">
        <v>0.16300000000000001</v>
      </c>
      <c r="I5" s="8"/>
      <c r="J5" s="15" t="s">
        <v>16</v>
      </c>
      <c r="K5" s="12">
        <f>SUM(C4:D4)</f>
        <v>0.4</v>
      </c>
      <c r="L5" s="11" t="s">
        <v>1</v>
      </c>
      <c r="M5" s="28">
        <v>0.5</v>
      </c>
    </row>
    <row r="6" spans="2:13" ht="29.6" thickBot="1" x14ac:dyDescent="0.45">
      <c r="B6" s="235" t="s">
        <v>22</v>
      </c>
      <c r="C6" s="236"/>
      <c r="D6" s="236"/>
      <c r="E6" s="87">
        <f>G6/C8</f>
        <v>0.17150000000000001</v>
      </c>
      <c r="F6" s="88" t="s">
        <v>21</v>
      </c>
      <c r="G6" s="228">
        <f>C8*SUMPRODUCT(C4:H4,C5:H5)</f>
        <v>15435.000000000002</v>
      </c>
      <c r="H6" s="229"/>
      <c r="I6" s="4"/>
      <c r="J6" s="15" t="s">
        <v>15</v>
      </c>
      <c r="K6" s="13">
        <f>SUM(E4:F4)</f>
        <v>0.5</v>
      </c>
      <c r="L6" s="9" t="s">
        <v>1</v>
      </c>
      <c r="M6" s="29">
        <v>0.5</v>
      </c>
    </row>
    <row r="7" spans="2:13" ht="29.6" thickBot="1" x14ac:dyDescent="0.45">
      <c r="I7" s="4"/>
      <c r="J7" s="15" t="s">
        <v>23</v>
      </c>
      <c r="K7" s="12">
        <f>D4</f>
        <v>0.1</v>
      </c>
      <c r="L7" s="11" t="s">
        <v>1</v>
      </c>
      <c r="M7" s="28">
        <f>0.8*SUM($C$4:$D$4)</f>
        <v>0.32000000000000006</v>
      </c>
    </row>
    <row r="8" spans="2:13" ht="29.6" thickBot="1" x14ac:dyDescent="0.45">
      <c r="B8" s="14" t="s">
        <v>19</v>
      </c>
      <c r="C8" s="19">
        <v>90000</v>
      </c>
      <c r="J8" s="15" t="s">
        <v>95</v>
      </c>
      <c r="K8" s="12">
        <f>D4</f>
        <v>0.1</v>
      </c>
      <c r="L8" s="11" t="s">
        <v>1</v>
      </c>
      <c r="M8" s="28">
        <v>0.1</v>
      </c>
    </row>
    <row r="9" spans="2:13" ht="43.75" x14ac:dyDescent="0.4">
      <c r="J9" s="15" t="s">
        <v>24</v>
      </c>
      <c r="K9" s="12">
        <f>E4</f>
        <v>0.4</v>
      </c>
      <c r="L9" s="11" t="s">
        <v>1</v>
      </c>
      <c r="M9" s="28">
        <f>0.8*SUM($E$4:$F$4)</f>
        <v>0.4</v>
      </c>
    </row>
    <row r="10" spans="2:13" ht="15" thickBot="1" x14ac:dyDescent="0.45">
      <c r="J10" s="16" t="s">
        <v>18</v>
      </c>
      <c r="K10" s="17">
        <f>SUM(G4:H4)</f>
        <v>0.1</v>
      </c>
      <c r="L10" s="18" t="s">
        <v>1</v>
      </c>
      <c r="M10" s="30">
        <f>0.25*K5</f>
        <v>0.1</v>
      </c>
    </row>
    <row r="11" spans="2:13" ht="10.5" customHeight="1" thickBot="1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 ht="15" thickTop="1" x14ac:dyDescent="0.4">
      <c r="B12" s="237" t="s">
        <v>5</v>
      </c>
      <c r="C12" s="237"/>
      <c r="J12" s="233">
        <v>43331</v>
      </c>
      <c r="K12" s="233"/>
      <c r="L12" s="233"/>
      <c r="M12" s="233"/>
    </row>
    <row r="14" spans="2:13" x14ac:dyDescent="0.4">
      <c r="F14" s="26"/>
    </row>
    <row r="15" spans="2:13" x14ac:dyDescent="0.4">
      <c r="I15" s="3"/>
    </row>
    <row r="16" spans="2:13" x14ac:dyDescent="0.4">
      <c r="I16" s="3"/>
    </row>
    <row r="17" ht="11.25" customHeight="1" x14ac:dyDescent="0.4"/>
  </sheetData>
  <mergeCells count="7">
    <mergeCell ref="B1:C1"/>
    <mergeCell ref="G6:H6"/>
    <mergeCell ref="J3:M3"/>
    <mergeCell ref="J12:M12"/>
    <mergeCell ref="H1:M1"/>
    <mergeCell ref="B6:D6"/>
    <mergeCell ref="B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241F-B8D1-49EB-B412-A2A8E7186676}">
  <dimension ref="B1:Q38"/>
  <sheetViews>
    <sheetView view="pageBreakPreview" topLeftCell="B10" zoomScale="60" zoomScaleNormal="101" workbookViewId="0">
      <selection activeCell="D12" sqref="D12"/>
    </sheetView>
  </sheetViews>
  <sheetFormatPr defaultRowHeight="14.6" x14ac:dyDescent="0.4"/>
  <cols>
    <col min="1" max="1" width="2.15234375" customWidth="1"/>
    <col min="2" max="2" width="8.53515625" customWidth="1"/>
    <col min="3" max="3" width="9.15234375" style="281" customWidth="1"/>
    <col min="4" max="5" width="10.69140625" customWidth="1"/>
    <col min="6" max="6" width="2.15234375" customWidth="1"/>
    <col min="7" max="7" width="12.53515625" customWidth="1"/>
    <col min="8" max="8" width="9.3046875" bestFit="1" customWidth="1"/>
    <col min="9" max="9" width="7.3046875" bestFit="1" customWidth="1"/>
    <col min="10" max="10" width="8.15234375" bestFit="1" customWidth="1"/>
    <col min="11" max="11" width="8.4609375" customWidth="1"/>
    <col min="12" max="12" width="2.15234375" customWidth="1"/>
    <col min="13" max="13" width="9.3046875" customWidth="1"/>
    <col min="14" max="14" width="9.3828125" customWidth="1"/>
  </cols>
  <sheetData>
    <row r="1" spans="2:14" ht="15" thickBot="1" x14ac:dyDescent="0.45">
      <c r="B1" s="227" t="s">
        <v>0</v>
      </c>
      <c r="C1" s="227"/>
      <c r="D1" s="5"/>
      <c r="E1" s="5"/>
      <c r="F1" s="1"/>
      <c r="G1" s="1"/>
      <c r="H1" s="1"/>
      <c r="I1" s="1"/>
      <c r="J1" s="1"/>
      <c r="K1" s="151" t="s">
        <v>100</v>
      </c>
    </row>
    <row r="2" spans="2:14" ht="11.25" customHeight="1" thickTop="1" thickBot="1" x14ac:dyDescent="0.45"/>
    <row r="3" spans="2:14" ht="16.5" customHeight="1" thickBot="1" x14ac:dyDescent="0.45">
      <c r="D3" s="240" t="s">
        <v>46</v>
      </c>
      <c r="E3" s="242"/>
      <c r="G3" s="230" t="s">
        <v>50</v>
      </c>
      <c r="H3" s="231"/>
      <c r="I3" s="231"/>
      <c r="J3" s="231"/>
      <c r="K3" s="232"/>
      <c r="M3" s="58"/>
      <c r="N3" s="58"/>
    </row>
    <row r="4" spans="2:14" ht="15" thickBot="1" x14ac:dyDescent="0.45">
      <c r="C4" s="24" t="s">
        <v>48</v>
      </c>
      <c r="D4" s="36" t="s">
        <v>25</v>
      </c>
      <c r="E4" s="86" t="s">
        <v>26</v>
      </c>
      <c r="G4" s="66" t="s">
        <v>48</v>
      </c>
      <c r="H4" s="52" t="s">
        <v>47</v>
      </c>
      <c r="I4" s="48" t="s">
        <v>27</v>
      </c>
      <c r="J4" s="48" t="s">
        <v>28</v>
      </c>
      <c r="K4" s="49" t="s">
        <v>29</v>
      </c>
      <c r="M4" s="58"/>
      <c r="N4" s="58"/>
    </row>
    <row r="5" spans="2:14" x14ac:dyDescent="0.4">
      <c r="B5" s="243" t="s">
        <v>37</v>
      </c>
      <c r="C5" s="282" t="s">
        <v>34</v>
      </c>
      <c r="D5" s="35">
        <v>730</v>
      </c>
      <c r="E5" s="85">
        <v>789.99999999999989</v>
      </c>
      <c r="G5" s="32" t="s">
        <v>3</v>
      </c>
      <c r="H5" s="62"/>
      <c r="I5" s="63">
        <v>700</v>
      </c>
      <c r="J5" s="63">
        <v>900</v>
      </c>
      <c r="K5" s="64">
        <v>1000</v>
      </c>
      <c r="M5" s="58"/>
      <c r="N5" s="58"/>
    </row>
    <row r="6" spans="2:14" x14ac:dyDescent="0.4">
      <c r="B6" s="244"/>
      <c r="C6" s="283" t="s">
        <v>35</v>
      </c>
      <c r="D6" s="35">
        <v>900</v>
      </c>
      <c r="E6" s="85">
        <v>600</v>
      </c>
      <c r="G6" s="33" t="s">
        <v>49</v>
      </c>
      <c r="H6" s="59"/>
      <c r="I6" s="67">
        <f>D5</f>
        <v>730</v>
      </c>
      <c r="J6" s="67">
        <f>D6</f>
        <v>900</v>
      </c>
      <c r="K6" s="68">
        <f>D7</f>
        <v>1000</v>
      </c>
      <c r="M6" s="58"/>
      <c r="N6" s="58"/>
    </row>
    <row r="7" spans="2:14" ht="15" thickBot="1" x14ac:dyDescent="0.45">
      <c r="B7" s="245"/>
      <c r="C7" s="284" t="s">
        <v>36</v>
      </c>
      <c r="D7" s="205">
        <v>1000</v>
      </c>
      <c r="E7" s="206">
        <v>900.00000000000011</v>
      </c>
      <c r="G7" s="80" t="s">
        <v>56</v>
      </c>
      <c r="H7" s="37"/>
      <c r="I7" s="83">
        <f>I6+H8</f>
        <v>830</v>
      </c>
      <c r="J7" s="83">
        <f t="shared" ref="J7:K7" si="0">J6+I8</f>
        <v>1030</v>
      </c>
      <c r="K7" s="84">
        <f t="shared" si="0"/>
        <v>1130</v>
      </c>
      <c r="L7" s="57"/>
      <c r="M7" s="58"/>
      <c r="N7" s="58"/>
    </row>
    <row r="8" spans="2:14" ht="15" thickBot="1" x14ac:dyDescent="0.45">
      <c r="B8" s="249" t="s">
        <v>58</v>
      </c>
      <c r="C8" s="250"/>
      <c r="D8" s="207">
        <v>20</v>
      </c>
      <c r="E8" s="207">
        <v>25</v>
      </c>
      <c r="G8" s="34" t="s">
        <v>57</v>
      </c>
      <c r="H8" s="60">
        <v>100</v>
      </c>
      <c r="I8" s="55">
        <f>H8+I6-I5</f>
        <v>130</v>
      </c>
      <c r="J8" s="55">
        <f>I8+J6-J5</f>
        <v>130</v>
      </c>
      <c r="K8" s="56">
        <f>J8+K6-K5</f>
        <v>130</v>
      </c>
      <c r="M8" s="58"/>
      <c r="N8" s="58"/>
    </row>
    <row r="9" spans="2:14" ht="15" customHeight="1" thickTop="1" thickBot="1" x14ac:dyDescent="0.45">
      <c r="B9" s="204" t="s">
        <v>59</v>
      </c>
      <c r="C9" s="285"/>
      <c r="D9" s="238">
        <f>SUMPRODUCT(D5:E5,D8:E8)+SUMPRODUCT(D6:E6,D8:E8)+SUMPRODUCT(D7:E7,D8:E8)+SUM(M35:O37)+SUM(I28:K28)</f>
        <v>109864.4</v>
      </c>
      <c r="E9" s="239"/>
      <c r="G9" s="4"/>
      <c r="H9" s="4"/>
      <c r="I9" s="194" t="s">
        <v>45</v>
      </c>
      <c r="J9" s="149" t="s">
        <v>45</v>
      </c>
      <c r="K9" s="195" t="s">
        <v>45</v>
      </c>
      <c r="M9" s="58"/>
      <c r="N9" s="58"/>
    </row>
    <row r="10" spans="2:14" ht="15" thickBot="1" x14ac:dyDescent="0.45">
      <c r="G10" s="4"/>
      <c r="H10" s="4"/>
      <c r="I10" s="128">
        <v>130</v>
      </c>
      <c r="J10" s="131">
        <v>130</v>
      </c>
      <c r="K10" s="65">
        <v>130</v>
      </c>
      <c r="M10" s="58"/>
      <c r="N10" s="58"/>
    </row>
    <row r="11" spans="2:14" ht="15" thickBot="1" x14ac:dyDescent="0.45">
      <c r="B11" s="246" t="s">
        <v>30</v>
      </c>
      <c r="C11" s="247"/>
      <c r="D11" s="247"/>
      <c r="E11" s="248"/>
      <c r="G11" s="4"/>
      <c r="H11" s="4"/>
      <c r="I11" s="4"/>
      <c r="J11" s="4"/>
      <c r="K11" s="4"/>
      <c r="M11" s="58"/>
      <c r="N11" s="58"/>
    </row>
    <row r="12" spans="2:14" ht="17.600000000000001" customHeight="1" thickBot="1" x14ac:dyDescent="0.45">
      <c r="B12" s="39" t="s">
        <v>4</v>
      </c>
      <c r="C12" s="286" t="s">
        <v>38</v>
      </c>
      <c r="D12" s="40">
        <v>1.5</v>
      </c>
      <c r="E12" s="40">
        <v>1.6</v>
      </c>
      <c r="G12" s="230" t="s">
        <v>51</v>
      </c>
      <c r="H12" s="231"/>
      <c r="I12" s="231"/>
      <c r="J12" s="231"/>
      <c r="K12" s="232"/>
      <c r="M12" s="58"/>
      <c r="N12" s="58"/>
    </row>
    <row r="13" spans="2:14" ht="15" thickBot="1" x14ac:dyDescent="0.45">
      <c r="B13" s="41"/>
      <c r="C13" s="287" t="s">
        <v>39</v>
      </c>
      <c r="D13" s="42">
        <v>1.1000000000000001</v>
      </c>
      <c r="E13" s="42">
        <v>1.2</v>
      </c>
      <c r="G13" s="66" t="s">
        <v>48</v>
      </c>
      <c r="H13" s="46" t="s">
        <v>47</v>
      </c>
      <c r="I13" s="46" t="s">
        <v>27</v>
      </c>
      <c r="J13" s="46" t="s">
        <v>28</v>
      </c>
      <c r="K13" s="65" t="s">
        <v>29</v>
      </c>
      <c r="M13" s="58"/>
      <c r="N13" s="58"/>
    </row>
    <row r="14" spans="2:14" ht="15" thickBot="1" x14ac:dyDescent="0.45">
      <c r="C14" s="240" t="s">
        <v>42</v>
      </c>
      <c r="D14" s="241"/>
      <c r="E14" s="242"/>
      <c r="G14" s="33" t="s">
        <v>3</v>
      </c>
      <c r="H14" s="44"/>
      <c r="I14" s="44">
        <v>800</v>
      </c>
      <c r="J14" s="44">
        <v>600</v>
      </c>
      <c r="K14" s="45">
        <v>900</v>
      </c>
      <c r="M14" s="58"/>
      <c r="N14" s="58"/>
    </row>
    <row r="15" spans="2:14" ht="29.6" thickBot="1" x14ac:dyDescent="0.45">
      <c r="C15" s="288" t="s">
        <v>41</v>
      </c>
      <c r="D15" s="44"/>
      <c r="E15" s="45" t="s">
        <v>40</v>
      </c>
      <c r="G15" s="33" t="s">
        <v>49</v>
      </c>
      <c r="H15" s="44"/>
      <c r="I15" s="67">
        <f>E5</f>
        <v>789.99999999999989</v>
      </c>
      <c r="J15" s="67">
        <f>E6</f>
        <v>600</v>
      </c>
      <c r="K15" s="68">
        <f>E7</f>
        <v>900.00000000000011</v>
      </c>
      <c r="L15" s="57"/>
      <c r="M15" s="58"/>
      <c r="N15" s="58"/>
    </row>
    <row r="16" spans="2:14" x14ac:dyDescent="0.4">
      <c r="B16" s="196" t="s">
        <v>38</v>
      </c>
      <c r="C16" s="289">
        <f>SUMPRODUCT($D$5:$E$5,D12:E12)</f>
        <v>2359</v>
      </c>
      <c r="D16" s="44" t="s">
        <v>1</v>
      </c>
      <c r="E16" s="47">
        <v>3000</v>
      </c>
      <c r="G16" s="80" t="s">
        <v>56</v>
      </c>
      <c r="H16" s="37"/>
      <c r="I16" s="83">
        <f>I15+H17</f>
        <v>909.99999999999989</v>
      </c>
      <c r="J16" s="83">
        <f t="shared" ref="J16" si="1">J15+I17</f>
        <v>709.99999999999989</v>
      </c>
      <c r="K16" s="84">
        <f t="shared" ref="K16" si="2">K15+J17</f>
        <v>1010</v>
      </c>
      <c r="M16" s="58"/>
      <c r="N16" s="58"/>
    </row>
    <row r="17" spans="2:17" ht="15" thickBot="1" x14ac:dyDescent="0.45">
      <c r="B17" s="197" t="s">
        <v>39</v>
      </c>
      <c r="C17" s="290">
        <f>SUMPRODUCT($D$5:$E$5,D13:E13)</f>
        <v>1751</v>
      </c>
      <c r="D17" s="46" t="s">
        <v>1</v>
      </c>
      <c r="E17" s="51">
        <v>2500</v>
      </c>
      <c r="G17" s="34" t="s">
        <v>57</v>
      </c>
      <c r="H17" s="46">
        <v>120</v>
      </c>
      <c r="I17" s="55">
        <f>H17+I15-I14</f>
        <v>109.99999999999989</v>
      </c>
      <c r="J17" s="55">
        <f>I17+J15-J14</f>
        <v>109.99999999999989</v>
      </c>
      <c r="K17" s="56">
        <f>J17+K15-K14</f>
        <v>110</v>
      </c>
      <c r="M17" s="58"/>
      <c r="N17" s="58"/>
    </row>
    <row r="18" spans="2:17" ht="15" thickBot="1" x14ac:dyDescent="0.45">
      <c r="C18" s="230" t="s">
        <v>43</v>
      </c>
      <c r="D18" s="231"/>
      <c r="E18" s="232"/>
      <c r="I18" s="194" t="s">
        <v>45</v>
      </c>
      <c r="J18" s="149" t="s">
        <v>45</v>
      </c>
      <c r="K18" s="195" t="s">
        <v>45</v>
      </c>
      <c r="M18" s="58"/>
      <c r="N18" s="58"/>
    </row>
    <row r="19" spans="2:17" ht="29.6" thickBot="1" x14ac:dyDescent="0.45">
      <c r="C19" s="288" t="s">
        <v>41</v>
      </c>
      <c r="D19" s="44"/>
      <c r="E19" s="45" t="s">
        <v>40</v>
      </c>
      <c r="I19" s="128">
        <v>110</v>
      </c>
      <c r="J19" s="131">
        <v>110</v>
      </c>
      <c r="K19" s="65">
        <v>110</v>
      </c>
    </row>
    <row r="20" spans="2:17" ht="15" thickBot="1" x14ac:dyDescent="0.45">
      <c r="B20" s="196" t="s">
        <v>38</v>
      </c>
      <c r="C20" s="289">
        <f>SUMPRODUCT($D$6:$E$6,D12:E12)</f>
        <v>2310</v>
      </c>
      <c r="D20" s="44" t="s">
        <v>1</v>
      </c>
      <c r="E20" s="47">
        <v>2800</v>
      </c>
    </row>
    <row r="21" spans="2:17" ht="15" thickBot="1" x14ac:dyDescent="0.45">
      <c r="B21" s="197" t="s">
        <v>39</v>
      </c>
      <c r="C21" s="290">
        <f>SUMPRODUCT($D$6:$E$6,D13:E13)</f>
        <v>1710</v>
      </c>
      <c r="D21" s="46" t="s">
        <v>1</v>
      </c>
      <c r="E21" s="51">
        <v>2300</v>
      </c>
      <c r="G21" s="240" t="s">
        <v>52</v>
      </c>
      <c r="H21" s="241"/>
      <c r="I21" s="241"/>
      <c r="J21" s="241"/>
      <c r="K21" s="242"/>
    </row>
    <row r="22" spans="2:17" ht="15" thickBot="1" x14ac:dyDescent="0.45">
      <c r="C22" s="230" t="s">
        <v>31</v>
      </c>
      <c r="D22" s="231"/>
      <c r="E22" s="232"/>
      <c r="G22" s="50" t="s">
        <v>49</v>
      </c>
      <c r="H22" s="73" t="s">
        <v>32</v>
      </c>
      <c r="I22" s="74">
        <f>D5*$D$8</f>
        <v>14600</v>
      </c>
      <c r="J22" s="74">
        <f>D6*$D$8</f>
        <v>18000</v>
      </c>
      <c r="K22" s="75">
        <f>D7*$D$8</f>
        <v>20000</v>
      </c>
    </row>
    <row r="23" spans="2:17" ht="29.6" thickBot="1" x14ac:dyDescent="0.45">
      <c r="C23" s="288" t="s">
        <v>41</v>
      </c>
      <c r="D23" s="44"/>
      <c r="E23" s="45" t="s">
        <v>40</v>
      </c>
      <c r="G23" s="76" t="s">
        <v>49</v>
      </c>
      <c r="H23" s="77" t="s">
        <v>33</v>
      </c>
      <c r="I23" s="78">
        <f>$E$8*E5</f>
        <v>19749.999999999996</v>
      </c>
      <c r="J23" s="78">
        <f>$E$8*E6</f>
        <v>15000</v>
      </c>
      <c r="K23" s="79">
        <f>$E$8*E7</f>
        <v>22500.000000000004</v>
      </c>
    </row>
    <row r="24" spans="2:17" ht="15.45" thickTop="1" thickBot="1" x14ac:dyDescent="0.45">
      <c r="B24" s="196" t="s">
        <v>38</v>
      </c>
      <c r="C24" s="291">
        <f>SUMPRODUCT($D$7:$E$7,D12:E12)</f>
        <v>2940</v>
      </c>
      <c r="D24" s="31" t="s">
        <v>1</v>
      </c>
      <c r="E24" s="47">
        <v>3600</v>
      </c>
      <c r="G24" s="253" t="s">
        <v>53</v>
      </c>
      <c r="H24" s="254"/>
      <c r="I24" s="72">
        <f t="shared" ref="I24:J24" si="3">SUM(I22:I23)</f>
        <v>34350</v>
      </c>
      <c r="J24" s="72">
        <f t="shared" si="3"/>
        <v>33000</v>
      </c>
      <c r="K24" s="72">
        <f>SUM(K22:K23)</f>
        <v>42500</v>
      </c>
    </row>
    <row r="25" spans="2:17" ht="15" thickBot="1" x14ac:dyDescent="0.45">
      <c r="B25" s="197" t="s">
        <v>39</v>
      </c>
      <c r="C25" s="292">
        <f>SUMPRODUCT($D$7:$E$7,D13:E13)</f>
        <v>2180</v>
      </c>
      <c r="D25" s="38" t="s">
        <v>1</v>
      </c>
      <c r="E25" s="43">
        <v>2400</v>
      </c>
      <c r="G25" s="251" t="s">
        <v>54</v>
      </c>
      <c r="H25" s="252"/>
      <c r="I25" s="252"/>
      <c r="J25" s="81">
        <v>0.02</v>
      </c>
      <c r="K25" s="82"/>
    </row>
    <row r="26" spans="2:17" x14ac:dyDescent="0.4">
      <c r="G26" s="37" t="s">
        <v>44</v>
      </c>
      <c r="H26" s="44" t="s">
        <v>32</v>
      </c>
      <c r="I26" s="198">
        <f>$J$25*I8</f>
        <v>2.6</v>
      </c>
      <c r="J26" s="198">
        <f>$J$25*J8</f>
        <v>2.6</v>
      </c>
      <c r="K26" s="199">
        <f>$J$25*K8</f>
        <v>2.6</v>
      </c>
      <c r="L26" s="69"/>
    </row>
    <row r="27" spans="2:17" ht="15" thickBot="1" x14ac:dyDescent="0.45">
      <c r="G27" s="76" t="s">
        <v>44</v>
      </c>
      <c r="H27" s="77" t="s">
        <v>33</v>
      </c>
      <c r="I27" s="200">
        <f>$J$25*I17</f>
        <v>2.199999999999998</v>
      </c>
      <c r="J27" s="200">
        <f>$J$25*J17</f>
        <v>2.199999999999998</v>
      </c>
      <c r="K27" s="201">
        <f>$J$25*K17</f>
        <v>2.2000000000000002</v>
      </c>
    </row>
    <row r="28" spans="2:17" ht="15.45" thickTop="1" thickBot="1" x14ac:dyDescent="0.45">
      <c r="G28" s="53" t="s">
        <v>55</v>
      </c>
      <c r="H28" s="54"/>
      <c r="I28" s="202">
        <f>SUM(I26:I27)</f>
        <v>4.799999999999998</v>
      </c>
      <c r="J28" s="202">
        <f>SUM(J26:J27)</f>
        <v>4.799999999999998</v>
      </c>
      <c r="K28" s="203">
        <f>SUM(K26:K27)</f>
        <v>4.8000000000000007</v>
      </c>
    </row>
    <row r="29" spans="2:17" ht="11.25" customHeight="1" thickBot="1" x14ac:dyDescent="0.45">
      <c r="B29" s="1"/>
      <c r="C29" s="293"/>
      <c r="D29" s="1"/>
      <c r="E29" s="1"/>
      <c r="F29" s="1"/>
      <c r="G29" s="1"/>
      <c r="H29" s="1"/>
      <c r="I29" s="1"/>
      <c r="J29" s="1"/>
      <c r="K29" s="1"/>
    </row>
    <row r="30" spans="2:17" ht="15" thickTop="1" x14ac:dyDescent="0.4">
      <c r="B30" s="237" t="s">
        <v>5</v>
      </c>
      <c r="C30" s="237"/>
      <c r="J30" s="233">
        <v>43331</v>
      </c>
      <c r="K30" s="233"/>
    </row>
    <row r="31" spans="2:17" x14ac:dyDescent="0.4">
      <c r="L31" s="7"/>
      <c r="M31" s="7"/>
      <c r="N31" s="7"/>
      <c r="O31" s="7"/>
      <c r="P31" s="7"/>
      <c r="Q31" s="7"/>
    </row>
    <row r="32" spans="2:17" x14ac:dyDescent="0.4">
      <c r="L32" s="7"/>
      <c r="M32" s="7"/>
      <c r="N32" s="7"/>
      <c r="O32" s="7"/>
      <c r="P32" s="7"/>
      <c r="Q32" s="7"/>
    </row>
    <row r="33" spans="6:17" x14ac:dyDescent="0.4"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6:17" x14ac:dyDescent="0.4"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6:17" x14ac:dyDescent="0.4">
      <c r="F35" s="7"/>
      <c r="L35" s="7"/>
      <c r="M35" s="7"/>
      <c r="N35" s="7"/>
      <c r="O35" s="7"/>
      <c r="P35" s="7"/>
      <c r="Q35" s="7"/>
    </row>
    <row r="36" spans="6:17" x14ac:dyDescent="0.4">
      <c r="L36" s="7"/>
      <c r="M36" s="7"/>
      <c r="N36" s="7"/>
      <c r="O36" s="7"/>
      <c r="P36" s="7"/>
      <c r="Q36" s="7"/>
    </row>
    <row r="37" spans="6:17" x14ac:dyDescent="0.4">
      <c r="L37" s="7"/>
      <c r="M37" s="7"/>
      <c r="N37" s="7"/>
      <c r="O37" s="7"/>
      <c r="P37" s="7"/>
      <c r="Q37" s="7"/>
    </row>
    <row r="38" spans="6:17" x14ac:dyDescent="0.4">
      <c r="F38" s="7"/>
      <c r="L38" s="7"/>
      <c r="M38" s="7"/>
      <c r="N38" s="7"/>
      <c r="O38" s="7"/>
      <c r="P38" s="7"/>
      <c r="Q38" s="7"/>
    </row>
  </sheetData>
  <mergeCells count="16">
    <mergeCell ref="G3:K3"/>
    <mergeCell ref="G12:K12"/>
    <mergeCell ref="G21:K21"/>
    <mergeCell ref="G25:I25"/>
    <mergeCell ref="G24:H24"/>
    <mergeCell ref="B1:C1"/>
    <mergeCell ref="B5:B7"/>
    <mergeCell ref="B11:E11"/>
    <mergeCell ref="B8:C8"/>
    <mergeCell ref="D3:E3"/>
    <mergeCell ref="D9:E9"/>
    <mergeCell ref="C14:E14"/>
    <mergeCell ref="C18:E18"/>
    <mergeCell ref="C22:E22"/>
    <mergeCell ref="J30:K30"/>
    <mergeCell ref="B30:C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30E3-701E-4CFA-9F36-0BF1A7120438}">
  <dimension ref="A1:S35"/>
  <sheetViews>
    <sheetView view="pageBreakPreview" topLeftCell="A10" zoomScale="60" zoomScaleNormal="127" workbookViewId="0">
      <selection activeCell="L26" sqref="L26"/>
    </sheetView>
  </sheetViews>
  <sheetFormatPr defaultRowHeight="14.6" x14ac:dyDescent="0.4"/>
  <cols>
    <col min="1" max="1" width="2.15234375" customWidth="1"/>
    <col min="2" max="2" width="11.765625" bestFit="1" customWidth="1"/>
    <col min="3" max="3" width="9.3828125" bestFit="1" customWidth="1"/>
    <col min="4" max="4" width="9.53515625" bestFit="1" customWidth="1"/>
    <col min="5" max="6" width="8.765625" bestFit="1" customWidth="1"/>
    <col min="7" max="7" width="2.3046875" customWidth="1"/>
    <col min="8" max="8" width="6.15234375" customWidth="1"/>
    <col min="9" max="9" width="3" bestFit="1" customWidth="1"/>
    <col min="10" max="10" width="6.3828125" customWidth="1"/>
    <col min="11" max="11" width="2.15234375" customWidth="1"/>
    <col min="12" max="12" width="9.23046875" style="4" customWidth="1"/>
    <col min="13" max="13" width="2.84375" bestFit="1" customWidth="1"/>
    <col min="14" max="14" width="7.84375" bestFit="1" customWidth="1"/>
    <col min="15" max="15" width="14" customWidth="1"/>
    <col min="16" max="16" width="10.69140625" customWidth="1"/>
    <col min="17" max="17" width="13.53515625" bestFit="1" customWidth="1"/>
    <col min="18" max="18" width="3.84375" bestFit="1" customWidth="1"/>
    <col min="19" max="20" width="13.15234375" bestFit="1" customWidth="1"/>
  </cols>
  <sheetData>
    <row r="1" spans="1:19" ht="15" thickBot="1" x14ac:dyDescent="0.45">
      <c r="B1" s="227" t="s">
        <v>0</v>
      </c>
      <c r="C1" s="227"/>
      <c r="D1" s="5"/>
      <c r="E1" s="5"/>
      <c r="F1" s="5"/>
      <c r="G1" s="5"/>
      <c r="H1" s="5"/>
      <c r="I1" s="5"/>
      <c r="J1" s="5"/>
      <c r="K1" s="5"/>
      <c r="L1" s="5"/>
      <c r="M1" s="5"/>
      <c r="N1" s="151" t="s">
        <v>100</v>
      </c>
    </row>
    <row r="2" spans="1:19" ht="11.25" customHeight="1" thickTop="1" thickBot="1" x14ac:dyDescent="0.45">
      <c r="G2" s="2"/>
      <c r="H2" s="2"/>
      <c r="I2" s="2"/>
      <c r="J2" s="2"/>
      <c r="K2" s="7"/>
      <c r="M2" s="2"/>
      <c r="N2" s="2"/>
    </row>
    <row r="3" spans="1:19" ht="15" thickBot="1" x14ac:dyDescent="0.45">
      <c r="B3" s="240" t="s">
        <v>71</v>
      </c>
      <c r="C3" s="241"/>
      <c r="D3" s="241"/>
      <c r="E3" s="241"/>
      <c r="F3" s="242"/>
      <c r="S3" s="6"/>
    </row>
    <row r="4" spans="1:19" ht="30" customHeight="1" thickBot="1" x14ac:dyDescent="0.45">
      <c r="B4" s="59" t="s">
        <v>68</v>
      </c>
      <c r="C4" s="44" t="s">
        <v>69</v>
      </c>
      <c r="D4" s="118" t="s">
        <v>63</v>
      </c>
      <c r="E4" s="118" t="s">
        <v>64</v>
      </c>
      <c r="F4" s="24" t="s">
        <v>65</v>
      </c>
      <c r="H4" s="264" t="s">
        <v>73</v>
      </c>
      <c r="I4" s="265"/>
      <c r="J4" s="266"/>
      <c r="L4" s="255" t="s">
        <v>98</v>
      </c>
      <c r="M4" s="256"/>
      <c r="N4" s="257"/>
      <c r="S4" s="6"/>
    </row>
    <row r="5" spans="1:19" x14ac:dyDescent="0.4">
      <c r="B5" s="62" t="s">
        <v>25</v>
      </c>
      <c r="C5" s="63">
        <v>120</v>
      </c>
      <c r="D5" s="137">
        <v>426.66666666666663</v>
      </c>
      <c r="E5" s="137">
        <v>73.333333333333329</v>
      </c>
      <c r="F5" s="138">
        <v>499.99999999999994</v>
      </c>
      <c r="H5" s="114">
        <f>SUM(D5:F5)</f>
        <v>999.99999999999989</v>
      </c>
      <c r="I5" s="110" t="s">
        <v>1</v>
      </c>
      <c r="J5" s="121">
        <v>1000</v>
      </c>
      <c r="L5" s="129" t="s">
        <v>99</v>
      </c>
      <c r="M5" s="130"/>
      <c r="N5" s="222" t="s">
        <v>69</v>
      </c>
    </row>
    <row r="6" spans="1:19" x14ac:dyDescent="0.4">
      <c r="B6" s="59" t="s">
        <v>26</v>
      </c>
      <c r="C6" s="44">
        <v>90</v>
      </c>
      <c r="D6" s="139">
        <v>173.33333333333326</v>
      </c>
      <c r="E6" s="139">
        <v>1026.6666666666667</v>
      </c>
      <c r="F6" s="140">
        <v>0</v>
      </c>
      <c r="H6" s="115">
        <f>SUM(D6:F6)</f>
        <v>1200</v>
      </c>
      <c r="I6" s="9" t="s">
        <v>1</v>
      </c>
      <c r="J6" s="100">
        <v>1200</v>
      </c>
      <c r="L6" s="225">
        <f>SUMPRODUCT($C$5:$C$7,D5:D7)</f>
        <v>92800</v>
      </c>
      <c r="M6" s="132" t="s">
        <v>45</v>
      </c>
      <c r="N6" s="223">
        <f>D10*SUM(D5:D7)</f>
        <v>75200</v>
      </c>
    </row>
    <row r="7" spans="1:19" ht="15" thickBot="1" x14ac:dyDescent="0.45">
      <c r="B7" s="59" t="s">
        <v>60</v>
      </c>
      <c r="C7" s="44">
        <v>130</v>
      </c>
      <c r="D7" s="141">
        <v>200.00000000000011</v>
      </c>
      <c r="E7" s="141">
        <v>0</v>
      </c>
      <c r="F7" s="142">
        <v>0</v>
      </c>
      <c r="H7" s="116">
        <f>SUM(D7:F7)</f>
        <v>200.00000000000011</v>
      </c>
      <c r="I7" s="18" t="s">
        <v>1</v>
      </c>
      <c r="J7" s="105">
        <v>700</v>
      </c>
      <c r="L7" s="225">
        <f>SUMPRODUCT($C$5:$C$7,E5:E7)</f>
        <v>101200</v>
      </c>
      <c r="M7" s="132" t="s">
        <v>45</v>
      </c>
      <c r="N7" s="223">
        <f>E10*SUM(E5:E7)</f>
        <v>101200</v>
      </c>
    </row>
    <row r="8" spans="1:19" ht="15" thickBot="1" x14ac:dyDescent="0.45">
      <c r="B8" s="258" t="s">
        <v>70</v>
      </c>
      <c r="C8" s="259"/>
      <c r="D8" s="135">
        <f>$L6/SUM(D$5:D$7)</f>
        <v>116</v>
      </c>
      <c r="E8" s="136">
        <f>$L7/SUM(E$5:E$7)</f>
        <v>92</v>
      </c>
      <c r="F8" s="135">
        <f>$L8/SUM(F$5:F$7)</f>
        <v>120</v>
      </c>
      <c r="L8" s="226">
        <f>SUMPRODUCT($C$5:$C$7,F5:F7)</f>
        <v>59999.999999999993</v>
      </c>
      <c r="M8" s="131" t="s">
        <v>45</v>
      </c>
      <c r="N8" s="224">
        <f>F10*SUM(F5:F7)</f>
        <v>47999.999999999993</v>
      </c>
    </row>
    <row r="9" spans="1:19" x14ac:dyDescent="0.4">
      <c r="B9" s="262" t="s">
        <v>45</v>
      </c>
      <c r="C9" s="263"/>
      <c r="D9" s="133" t="s">
        <v>45</v>
      </c>
      <c r="E9" s="9" t="s">
        <v>45</v>
      </c>
      <c r="F9" s="133" t="s">
        <v>45</v>
      </c>
    </row>
    <row r="10" spans="1:19" ht="15" thickBot="1" x14ac:dyDescent="0.45">
      <c r="B10" s="260" t="s">
        <v>61</v>
      </c>
      <c r="C10" s="261"/>
      <c r="D10" s="119">
        <v>94</v>
      </c>
      <c r="E10" s="120">
        <v>92</v>
      </c>
      <c r="F10" s="134">
        <v>96</v>
      </c>
    </row>
    <row r="11" spans="1:19" ht="11.25" customHeight="1" thickBot="1" x14ac:dyDescent="0.45">
      <c r="H11" s="221"/>
      <c r="I11" s="221"/>
      <c r="J11" s="221"/>
    </row>
    <row r="12" spans="1:19" ht="30" customHeight="1" thickBot="1" x14ac:dyDescent="0.45">
      <c r="B12" s="24" t="s">
        <v>72</v>
      </c>
      <c r="D12" s="255" t="s">
        <v>62</v>
      </c>
      <c r="E12" s="256"/>
      <c r="F12" s="257"/>
      <c r="H12" s="221"/>
      <c r="I12" s="221"/>
      <c r="J12" s="221"/>
      <c r="M12" s="221"/>
    </row>
    <row r="13" spans="1:19" x14ac:dyDescent="0.4">
      <c r="B13" s="111">
        <v>38</v>
      </c>
      <c r="D13" s="106">
        <f>SUM(D5:D7)</f>
        <v>800</v>
      </c>
      <c r="E13" s="107">
        <f>SUM(E5:E7)</f>
        <v>1100</v>
      </c>
      <c r="F13" s="108">
        <f>SUM(F5:F7)</f>
        <v>499.99999999999994</v>
      </c>
      <c r="M13" s="221"/>
    </row>
    <row r="14" spans="1:19" x14ac:dyDescent="0.4">
      <c r="B14" s="112">
        <v>42</v>
      </c>
      <c r="D14" s="101" t="s">
        <v>2</v>
      </c>
      <c r="E14" s="9" t="s">
        <v>2</v>
      </c>
      <c r="F14" s="102" t="s">
        <v>2</v>
      </c>
      <c r="M14" s="221"/>
    </row>
    <row r="15" spans="1:19" ht="15" thickBot="1" x14ac:dyDescent="0.45">
      <c r="A15" s="99"/>
      <c r="B15" s="112">
        <v>105</v>
      </c>
      <c r="D15" s="103">
        <v>800</v>
      </c>
      <c r="E15" s="104">
        <v>1100</v>
      </c>
      <c r="F15" s="105">
        <v>500</v>
      </c>
    </row>
    <row r="16" spans="1:19" ht="15" thickBot="1" x14ac:dyDescent="0.45">
      <c r="A16" s="99"/>
      <c r="B16" s="113" t="s">
        <v>66</v>
      </c>
    </row>
    <row r="17" spans="1:16" ht="15" thickBot="1" x14ac:dyDescent="0.45">
      <c r="A17" s="99"/>
      <c r="B17" s="117">
        <f>SUMPRODUCT(H5:H7,B13:B15)</f>
        <v>109400.00000000001</v>
      </c>
      <c r="D17" s="240" t="s">
        <v>74</v>
      </c>
      <c r="E17" s="241"/>
      <c r="F17" s="242"/>
    </row>
    <row r="18" spans="1:16" ht="15" thickBot="1" x14ac:dyDescent="0.45">
      <c r="A18" s="99"/>
      <c r="D18" s="109">
        <v>85</v>
      </c>
      <c r="E18" s="70">
        <v>80</v>
      </c>
      <c r="F18" s="71">
        <v>88</v>
      </c>
    </row>
    <row r="19" spans="1:16" ht="15" customHeight="1" thickBot="1" x14ac:dyDescent="0.45">
      <c r="A19" s="99"/>
      <c r="D19" s="267">
        <f>SUMPRODUCT(D18:F18,D13:F13)</f>
        <v>200000</v>
      </c>
      <c r="E19" s="268"/>
      <c r="F19" s="269"/>
    </row>
    <row r="20" spans="1:16" ht="15" thickBot="1" x14ac:dyDescent="0.45">
      <c r="D20" s="240" t="s">
        <v>67</v>
      </c>
      <c r="E20" s="241"/>
      <c r="F20" s="242"/>
    </row>
    <row r="21" spans="1:16" ht="15" thickBot="1" x14ac:dyDescent="0.45">
      <c r="D21" s="267">
        <f>D19-B17</f>
        <v>90599.999999999985</v>
      </c>
      <c r="E21" s="268"/>
      <c r="F21" s="269"/>
    </row>
    <row r="22" spans="1:16" ht="10.5" customHeight="1" thickBot="1" x14ac:dyDescent="0.45"/>
    <row r="23" spans="1:16" ht="15" thickBot="1" x14ac:dyDescent="0.45">
      <c r="C23" s="240" t="s">
        <v>96</v>
      </c>
      <c r="D23" s="241"/>
      <c r="E23" s="241"/>
      <c r="F23" s="242"/>
    </row>
    <row r="24" spans="1:16" ht="29.6" thickBot="1" x14ac:dyDescent="0.45">
      <c r="C24" s="66" t="s">
        <v>97</v>
      </c>
      <c r="D24" s="122" t="s">
        <v>63</v>
      </c>
      <c r="E24" s="123" t="s">
        <v>64</v>
      </c>
      <c r="F24" s="127" t="s">
        <v>65</v>
      </c>
    </row>
    <row r="25" spans="1:16" x14ac:dyDescent="0.4">
      <c r="B25" s="4"/>
      <c r="C25" s="125" t="s">
        <v>25</v>
      </c>
      <c r="D25" s="208">
        <f>D5/SUM(D$5:D$7)</f>
        <v>0.53333333333333333</v>
      </c>
      <c r="E25" s="208">
        <f t="shared" ref="E25:F25" si="0">E5/SUM(E$5:E$7)</f>
        <v>6.6666666666666666E-2</v>
      </c>
      <c r="F25" s="209">
        <f t="shared" si="0"/>
        <v>1</v>
      </c>
    </row>
    <row r="26" spans="1:16" x14ac:dyDescent="0.4">
      <c r="B26" s="4"/>
      <c r="C26" s="125" t="s">
        <v>26</v>
      </c>
      <c r="D26" s="208">
        <f t="shared" ref="D26:F26" si="1">D6/SUM(D$5:D$7)</f>
        <v>0.21666666666666656</v>
      </c>
      <c r="E26" s="208">
        <f t="shared" si="1"/>
        <v>0.93333333333333335</v>
      </c>
      <c r="F26" s="209">
        <f t="shared" si="1"/>
        <v>0</v>
      </c>
    </row>
    <row r="27" spans="1:16" ht="15" thickBot="1" x14ac:dyDescent="0.45">
      <c r="B27" s="4"/>
      <c r="C27" s="126" t="s">
        <v>60</v>
      </c>
      <c r="D27" s="210">
        <f t="shared" ref="D27:F27" si="2">D7/SUM(D$5:D$7)</f>
        <v>0.25000000000000017</v>
      </c>
      <c r="E27" s="210">
        <f t="shared" si="2"/>
        <v>0</v>
      </c>
      <c r="F27" s="211">
        <f t="shared" si="2"/>
        <v>0</v>
      </c>
    </row>
    <row r="28" spans="1:16" x14ac:dyDescent="0.4">
      <c r="B28" s="4"/>
      <c r="C28" s="4"/>
    </row>
    <row r="29" spans="1:16" ht="11.25" customHeight="1" thickBot="1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  <c r="L29"/>
    </row>
    <row r="30" spans="1:16" ht="15" thickTop="1" x14ac:dyDescent="0.4">
      <c r="B30" s="237" t="s">
        <v>5</v>
      </c>
      <c r="C30" s="237"/>
      <c r="D30" s="237"/>
      <c r="G30" s="143"/>
      <c r="L30" s="233">
        <v>43331</v>
      </c>
      <c r="M30" s="233"/>
      <c r="N30" s="233"/>
      <c r="O30" s="2"/>
      <c r="P30" s="2"/>
    </row>
    <row r="33" spans="10:10" x14ac:dyDescent="0.4">
      <c r="J33" s="98"/>
    </row>
    <row r="34" spans="10:10" x14ac:dyDescent="0.4">
      <c r="J34" s="98"/>
    </row>
    <row r="35" spans="10:10" x14ac:dyDescent="0.4">
      <c r="J35" s="98"/>
    </row>
  </sheetData>
  <mergeCells count="15">
    <mergeCell ref="B30:D30"/>
    <mergeCell ref="B1:C1"/>
    <mergeCell ref="B3:F3"/>
    <mergeCell ref="H4:J4"/>
    <mergeCell ref="D17:F17"/>
    <mergeCell ref="D19:F19"/>
    <mergeCell ref="D20:F20"/>
    <mergeCell ref="D21:F21"/>
    <mergeCell ref="D12:F12"/>
    <mergeCell ref="C23:F23"/>
    <mergeCell ref="L4:N4"/>
    <mergeCell ref="B8:C8"/>
    <mergeCell ref="B10:C10"/>
    <mergeCell ref="B9:C9"/>
    <mergeCell ref="L30:N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6FC3-9879-44AE-84A4-C155681DA3AC}">
  <dimension ref="B1:M29"/>
  <sheetViews>
    <sheetView tabSelected="1" view="pageBreakPreview" zoomScale="60" zoomScaleNormal="127" workbookViewId="0">
      <selection activeCell="I16" sqref="I16"/>
    </sheetView>
  </sheetViews>
  <sheetFormatPr defaultRowHeight="14.6" x14ac:dyDescent="0.4"/>
  <cols>
    <col min="1" max="1" width="2.15234375" customWidth="1"/>
    <col min="2" max="2" width="12.69140625" customWidth="1"/>
    <col min="3" max="4" width="11.3828125" customWidth="1"/>
    <col min="5" max="5" width="11" style="4" customWidth="1"/>
    <col min="6" max="6" width="3.15234375" bestFit="1" customWidth="1"/>
    <col min="7" max="7" width="13.3046875" bestFit="1" customWidth="1"/>
    <col min="8" max="8" width="3" bestFit="1" customWidth="1"/>
    <col min="9" max="9" width="10.69140625" customWidth="1"/>
    <col min="10" max="10" width="2.15234375" customWidth="1"/>
    <col min="11" max="11" width="12.84375" customWidth="1"/>
  </cols>
  <sheetData>
    <row r="1" spans="2:13" ht="15" thickBot="1" x14ac:dyDescent="0.45">
      <c r="B1" s="5" t="s">
        <v>0</v>
      </c>
      <c r="C1" s="5"/>
      <c r="D1" s="5"/>
      <c r="E1" s="5"/>
      <c r="F1" s="5"/>
      <c r="G1" s="5"/>
      <c r="H1" s="5"/>
      <c r="I1" s="124" t="s">
        <v>100</v>
      </c>
    </row>
    <row r="2" spans="2:13" ht="11.25" customHeight="1" thickTop="1" thickBot="1" x14ac:dyDescent="0.45">
      <c r="E2"/>
    </row>
    <row r="3" spans="2:13" s="4" customFormat="1" ht="15" thickBot="1" x14ac:dyDescent="0.45">
      <c r="B3" s="279" t="s">
        <v>76</v>
      </c>
      <c r="C3" s="271" t="s">
        <v>78</v>
      </c>
      <c r="D3" s="273"/>
      <c r="E3"/>
      <c r="F3" s="213"/>
      <c r="G3" s="214"/>
      <c r="H3" s="215"/>
      <c r="I3"/>
    </row>
    <row r="4" spans="2:13" s="4" customFormat="1" ht="15" customHeight="1" thickBot="1" x14ac:dyDescent="0.45">
      <c r="B4" s="280"/>
      <c r="C4" s="162" t="s">
        <v>79</v>
      </c>
      <c r="D4" s="162" t="s">
        <v>80</v>
      </c>
      <c r="E4"/>
      <c r="F4" s="216"/>
      <c r="G4" s="150" t="s">
        <v>77</v>
      </c>
      <c r="H4" s="217"/>
      <c r="I4"/>
    </row>
    <row r="5" spans="2:13" s="4" customFormat="1" ht="15" thickBot="1" x14ac:dyDescent="0.45">
      <c r="B5" s="159" t="s">
        <v>81</v>
      </c>
      <c r="C5" s="168">
        <v>5000</v>
      </c>
      <c r="D5" s="168">
        <v>7500</v>
      </c>
      <c r="E5"/>
      <c r="F5" s="216"/>
      <c r="G5" s="66">
        <f>SUMPRODUCT(C11:D13,C5:D7)</f>
        <v>582200</v>
      </c>
      <c r="H5" s="217"/>
    </row>
    <row r="6" spans="2:13" s="4" customFormat="1" ht="15" customHeight="1" thickBot="1" x14ac:dyDescent="0.45">
      <c r="B6" s="160" t="s">
        <v>82</v>
      </c>
      <c r="C6" s="169">
        <v>5500</v>
      </c>
      <c r="D6" s="169">
        <v>8200</v>
      </c>
      <c r="E6"/>
      <c r="F6" s="218"/>
      <c r="G6" s="219"/>
      <c r="H6" s="220"/>
    </row>
    <row r="7" spans="2:13" s="4" customFormat="1" ht="15" customHeight="1" thickBot="1" x14ac:dyDescent="0.45">
      <c r="B7" s="161" t="s">
        <v>83</v>
      </c>
      <c r="C7" s="170">
        <v>5700</v>
      </c>
      <c r="D7" s="170">
        <v>8400</v>
      </c>
      <c r="E7"/>
      <c r="F7"/>
      <c r="G7"/>
      <c r="H7"/>
    </row>
    <row r="8" spans="2:13" s="4" customFormat="1" ht="11.25" customHeight="1" thickBot="1" x14ac:dyDescent="0.45"/>
    <row r="9" spans="2:13" s="4" customFormat="1" ht="15" customHeight="1" thickBot="1" x14ac:dyDescent="0.45">
      <c r="B9" s="271" t="s">
        <v>84</v>
      </c>
      <c r="C9" s="272"/>
      <c r="D9" s="272"/>
      <c r="E9" s="273"/>
      <c r="G9" s="162" t="s">
        <v>88</v>
      </c>
      <c r="I9"/>
    </row>
    <row r="10" spans="2:13" ht="15.75" customHeight="1" x14ac:dyDescent="0.4">
      <c r="B10" s="154"/>
      <c r="C10" s="156" t="s">
        <v>79</v>
      </c>
      <c r="D10" s="155" t="s">
        <v>80</v>
      </c>
      <c r="E10" s="165" t="s">
        <v>85</v>
      </c>
      <c r="G10" s="176" t="s">
        <v>94</v>
      </c>
    </row>
    <row r="11" spans="2:13" x14ac:dyDescent="0.4">
      <c r="B11" s="157" t="s">
        <v>81</v>
      </c>
      <c r="C11" s="158">
        <v>5</v>
      </c>
      <c r="D11" s="191">
        <v>18</v>
      </c>
      <c r="E11" s="190">
        <f>SUM(C11:D11)</f>
        <v>23</v>
      </c>
      <c r="F11" s="61" t="s">
        <v>45</v>
      </c>
      <c r="G11" s="168">
        <v>20</v>
      </c>
      <c r="I11" s="146"/>
      <c r="J11" s="144"/>
      <c r="K11" s="144"/>
      <c r="L11" s="144"/>
      <c r="M11" s="144"/>
    </row>
    <row r="12" spans="2:13" ht="15" customHeight="1" x14ac:dyDescent="0.4">
      <c r="B12" s="152" t="s">
        <v>82</v>
      </c>
      <c r="C12" s="158">
        <v>9.9999999999999982</v>
      </c>
      <c r="D12" s="166">
        <v>18</v>
      </c>
      <c r="E12" s="169">
        <f t="shared" ref="E12:E13" si="0">SUM(C12:D12)</f>
        <v>28</v>
      </c>
      <c r="F12" s="61" t="s">
        <v>45</v>
      </c>
      <c r="G12" s="169">
        <v>20</v>
      </c>
    </row>
    <row r="13" spans="2:13" ht="15" thickBot="1" x14ac:dyDescent="0.45">
      <c r="B13" s="145" t="s">
        <v>83</v>
      </c>
      <c r="C13" s="56">
        <v>12</v>
      </c>
      <c r="D13" s="167">
        <v>18</v>
      </c>
      <c r="E13" s="170">
        <f t="shared" si="0"/>
        <v>30</v>
      </c>
      <c r="F13" s="61" t="s">
        <v>45</v>
      </c>
      <c r="G13" s="170">
        <v>20</v>
      </c>
    </row>
    <row r="14" spans="2:13" ht="11.25" customHeight="1" thickBot="1" x14ac:dyDescent="0.45">
      <c r="D14" s="61" t="s">
        <v>45</v>
      </c>
    </row>
    <row r="15" spans="2:13" x14ac:dyDescent="0.4">
      <c r="C15" s="171" t="s">
        <v>87</v>
      </c>
      <c r="D15" s="192">
        <f>$C$16*E11</f>
        <v>11.5</v>
      </c>
    </row>
    <row r="16" spans="2:13" ht="15" customHeight="1" x14ac:dyDescent="0.4">
      <c r="C16" s="172">
        <v>0.5</v>
      </c>
      <c r="D16" s="47">
        <f t="shared" ref="D16:D17" si="1">$C$16*E12</f>
        <v>14</v>
      </c>
      <c r="E16"/>
    </row>
    <row r="17" spans="2:11" ht="15.75" customHeight="1" thickBot="1" x14ac:dyDescent="0.45">
      <c r="C17" s="173" t="s">
        <v>86</v>
      </c>
      <c r="D17" s="51">
        <f t="shared" si="1"/>
        <v>15</v>
      </c>
      <c r="E17"/>
    </row>
    <row r="18" spans="2:11" ht="15.75" customHeight="1" x14ac:dyDescent="0.4">
      <c r="C18" s="274" t="s">
        <v>89</v>
      </c>
      <c r="D18" s="275"/>
      <c r="E18"/>
    </row>
    <row r="19" spans="2:11" x14ac:dyDescent="0.4">
      <c r="C19" s="153">
        <v>12</v>
      </c>
      <c r="D19" s="47">
        <v>18</v>
      </c>
      <c r="E19"/>
    </row>
    <row r="20" spans="2:11" x14ac:dyDescent="0.4">
      <c r="C20" s="153">
        <v>12</v>
      </c>
      <c r="D20" s="47">
        <v>18</v>
      </c>
      <c r="E20"/>
    </row>
    <row r="21" spans="2:11" ht="15" thickBot="1" x14ac:dyDescent="0.45">
      <c r="B21" s="144"/>
      <c r="C21" s="174">
        <v>12</v>
      </c>
      <c r="D21" s="175">
        <v>18</v>
      </c>
      <c r="E21" s="144"/>
    </row>
    <row r="22" spans="2:11" ht="11.25" customHeight="1" thickBot="1" x14ac:dyDescent="0.45">
      <c r="B22" s="144"/>
      <c r="C22" s="144"/>
      <c r="D22" s="144"/>
      <c r="E22" s="144"/>
      <c r="I22" s="212">
        <f>I26-SUM(E25:E27)</f>
        <v>4300</v>
      </c>
    </row>
    <row r="23" spans="2:11" ht="15" thickBot="1" x14ac:dyDescent="0.45">
      <c r="B23" s="276" t="s">
        <v>90</v>
      </c>
      <c r="C23" s="277"/>
      <c r="D23" s="277"/>
      <c r="E23" s="278"/>
      <c r="G23" s="177" t="s">
        <v>91</v>
      </c>
      <c r="I23" s="177" t="s">
        <v>93</v>
      </c>
    </row>
    <row r="24" spans="2:11" x14ac:dyDescent="0.4">
      <c r="B24" s="181"/>
      <c r="C24" s="180" t="s">
        <v>79</v>
      </c>
      <c r="D24" s="178" t="s">
        <v>80</v>
      </c>
      <c r="E24" s="179" t="s">
        <v>75</v>
      </c>
      <c r="G24" s="189" t="s">
        <v>92</v>
      </c>
      <c r="H24" s="144"/>
      <c r="I24" s="188" t="s">
        <v>92</v>
      </c>
      <c r="J24" s="144"/>
      <c r="K24" s="144"/>
    </row>
    <row r="25" spans="2:11" x14ac:dyDescent="0.4">
      <c r="B25" s="157" t="s">
        <v>81</v>
      </c>
      <c r="C25" s="182">
        <v>400</v>
      </c>
      <c r="D25" s="183">
        <v>500</v>
      </c>
      <c r="E25" s="183">
        <f>SUMPRODUCT(C25:D25,C11:D11)</f>
        <v>11000</v>
      </c>
      <c r="F25" s="61" t="s">
        <v>1</v>
      </c>
      <c r="G25" s="183">
        <v>11000</v>
      </c>
      <c r="H25" s="270" t="s">
        <v>1</v>
      </c>
      <c r="I25" s="163"/>
    </row>
    <row r="26" spans="2:11" x14ac:dyDescent="0.4">
      <c r="B26" s="152" t="s">
        <v>82</v>
      </c>
      <c r="C26" s="184">
        <v>450</v>
      </c>
      <c r="D26" s="185">
        <v>550</v>
      </c>
      <c r="E26" s="185">
        <f t="shared" ref="E26:E27" si="2">SUMPRODUCT(C26:D26,C12:D12)</f>
        <v>14400</v>
      </c>
      <c r="F26" s="61" t="s">
        <v>1</v>
      </c>
      <c r="G26" s="185">
        <v>14400</v>
      </c>
      <c r="H26" s="263"/>
      <c r="I26" s="193">
        <v>45000</v>
      </c>
    </row>
    <row r="27" spans="2:11" ht="15" thickBot="1" x14ac:dyDescent="0.45">
      <c r="B27" s="145" t="s">
        <v>83</v>
      </c>
      <c r="C27" s="186">
        <v>450</v>
      </c>
      <c r="D27" s="187">
        <v>550</v>
      </c>
      <c r="E27" s="187">
        <f t="shared" si="2"/>
        <v>15300</v>
      </c>
      <c r="F27" s="61" t="s">
        <v>1</v>
      </c>
      <c r="G27" s="187">
        <f>I26-SUM(G25:G26)</f>
        <v>19600</v>
      </c>
      <c r="H27" s="263"/>
      <c r="I27" s="164"/>
    </row>
    <row r="28" spans="2:11" ht="11.25" customHeight="1" thickBot="1" x14ac:dyDescent="0.45">
      <c r="B28" s="148"/>
      <c r="C28" s="148"/>
      <c r="D28" s="148"/>
      <c r="E28" s="147"/>
      <c r="F28" s="148"/>
      <c r="G28" s="148"/>
      <c r="H28" s="148"/>
      <c r="I28" s="148"/>
    </row>
    <row r="29" spans="2:11" ht="15" thickTop="1" x14ac:dyDescent="0.4">
      <c r="B29" s="237" t="s">
        <v>5</v>
      </c>
      <c r="C29" s="237"/>
      <c r="G29" s="233">
        <v>43331</v>
      </c>
      <c r="H29" s="233"/>
      <c r="I29" s="233"/>
    </row>
  </sheetData>
  <mergeCells count="8">
    <mergeCell ref="C3:D3"/>
    <mergeCell ref="B3:B4"/>
    <mergeCell ref="H25:H27"/>
    <mergeCell ref="B9:E9"/>
    <mergeCell ref="C18:D18"/>
    <mergeCell ref="B23:E23"/>
    <mergeCell ref="G29:I29"/>
    <mergeCell ref="B29:C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P1</vt:lpstr>
      <vt:lpstr>P2</vt:lpstr>
      <vt:lpstr>P3</vt:lpstr>
      <vt:lpstr>P4</vt:lpstr>
      <vt:lpstr>P2ADemand</vt:lpstr>
      <vt:lpstr>P2AMinInventory</vt:lpstr>
      <vt:lpstr>P2AProduction</vt:lpstr>
      <vt:lpstr>P2AProductOnHand</vt:lpstr>
      <vt:lpstr>P2ARemainingInventory</vt:lpstr>
      <vt:lpstr>P2BDemand</vt:lpstr>
      <vt:lpstr>P2BMinInventory</vt:lpstr>
      <vt:lpstr>P2BProduction</vt:lpstr>
      <vt:lpstr>P2BProductOnHand</vt:lpstr>
      <vt:lpstr>P2BRemInventory</vt:lpstr>
      <vt:lpstr>P2DirectCostPerUnit</vt:lpstr>
      <vt:lpstr>P2FebCapAv</vt:lpstr>
      <vt:lpstr>P2FebCapUsed</vt:lpstr>
      <vt:lpstr>P2JanCapAv</vt:lpstr>
      <vt:lpstr>P2JanCapUsed</vt:lpstr>
      <vt:lpstr>P2MachHrsPerUnit</vt:lpstr>
      <vt:lpstr>P2ManHoursPerUnit</vt:lpstr>
      <vt:lpstr>P2MarCapAv</vt:lpstr>
      <vt:lpstr>P2MarCapUsed</vt:lpstr>
      <vt:lpstr>P2ProdQuant</vt:lpstr>
      <vt:lpstr>P2TotalCosts</vt:lpstr>
      <vt:lpstr>P2TotalMaintenanceCosts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Rushford</dc:creator>
  <cp:lastModifiedBy>Risto Rushford</cp:lastModifiedBy>
  <cp:lastPrinted>2020-12-21T05:07:02Z</cp:lastPrinted>
  <dcterms:created xsi:type="dcterms:W3CDTF">2018-07-23T21:41:13Z</dcterms:created>
  <dcterms:modified xsi:type="dcterms:W3CDTF">2020-12-21T05:07:52Z</dcterms:modified>
</cp:coreProperties>
</file>