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sto\Google Drive\1 Academic Programs\Undergrad\B School Year 2017-18\2 Spring 2018\ISQA 459 PPC\w2_4-11-18\"/>
    </mc:Choice>
  </mc:AlternateContent>
  <xr:revisionPtr revIDLastSave="0" documentId="13_ncr:1_{656B9C23-526D-4E41-B74B-0833AEFE33D7}" xr6:coauthVersionLast="45" xr6:coauthVersionMax="45" xr10:uidLastSave="{00000000-0000-0000-0000-000000000000}"/>
  <bookViews>
    <workbookView xWindow="377" yWindow="3866" windowWidth="24686" windowHeight="13148" tabRatio="803" firstSheet="2" activeTab="10" xr2:uid="{00000000-000D-0000-FFFF-FFFF00000000}"/>
  </bookViews>
  <sheets>
    <sheet name="yearly data" sheetId="6" r:id="rId1"/>
    <sheet name="Monthly Data" sheetId="1" r:id="rId2"/>
    <sheet name="YearlyRegres." sheetId="8" r:id="rId3"/>
    <sheet name="YrRegres.GRAPH" sheetId="12" r:id="rId4"/>
    <sheet name="YrTrend" sheetId="7" r:id="rId5"/>
    <sheet name="YrTrendGRAPH" sheetId="13" r:id="rId6"/>
    <sheet name="MonthlyRegres." sheetId="9" r:id="rId7"/>
    <sheet name="MthRegres.GRAPH" sheetId="14" r:id="rId8"/>
    <sheet name="Decomposition" sheetId="11" r:id="rId9"/>
    <sheet name="Decomp.GRAPH" sheetId="15" r:id="rId10"/>
    <sheet name="BestForecast" sheetId="16" r:id="rId11"/>
    <sheet name="Float" sheetId="17" r:id="rId12"/>
    <sheet name="Float Growth Calculations" sheetId="18" r:id="rId1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9" l="1"/>
  <c r="I21" i="9"/>
  <c r="C5" i="9"/>
  <c r="D5" i="9"/>
  <c r="J20" i="9"/>
  <c r="J21" i="9"/>
  <c r="C6" i="9"/>
  <c r="D6" i="9"/>
  <c r="K20" i="9"/>
  <c r="K21" i="9"/>
  <c r="C7" i="9"/>
  <c r="D7" i="9"/>
  <c r="L20" i="9"/>
  <c r="L21" i="9"/>
  <c r="C8" i="9"/>
  <c r="D8" i="9"/>
  <c r="M20" i="9"/>
  <c r="M21" i="9"/>
  <c r="C9" i="9"/>
  <c r="D9" i="9"/>
  <c r="N20" i="9"/>
  <c r="N21" i="9"/>
  <c r="C10" i="9"/>
  <c r="D10" i="9"/>
  <c r="O20" i="9"/>
  <c r="O21" i="9"/>
  <c r="C11" i="9"/>
  <c r="D11" i="9"/>
  <c r="P20" i="9"/>
  <c r="P21" i="9"/>
  <c r="C12" i="9"/>
  <c r="D12" i="9"/>
  <c r="Q20" i="9"/>
  <c r="Q21" i="9"/>
  <c r="C13" i="9"/>
  <c r="D13" i="9"/>
  <c r="R20" i="9"/>
  <c r="R21" i="9"/>
  <c r="C14" i="9"/>
  <c r="D14" i="9"/>
  <c r="S20" i="9"/>
  <c r="S21" i="9"/>
  <c r="C15" i="9"/>
  <c r="D15" i="9"/>
  <c r="H20" i="9"/>
  <c r="H21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C38" i="9"/>
  <c r="D38" i="9"/>
  <c r="C39" i="9"/>
  <c r="D39" i="9"/>
  <c r="C40" i="9"/>
  <c r="D40" i="9"/>
  <c r="C41" i="9"/>
  <c r="D41" i="9"/>
  <c r="C42" i="9"/>
  <c r="D42" i="9"/>
  <c r="C43" i="9"/>
  <c r="D43" i="9"/>
  <c r="C44" i="9"/>
  <c r="D44" i="9"/>
  <c r="C45" i="9"/>
  <c r="D45" i="9"/>
  <c r="C46" i="9"/>
  <c r="D46" i="9"/>
  <c r="C47" i="9"/>
  <c r="D47" i="9"/>
  <c r="C48" i="9"/>
  <c r="D48" i="9"/>
  <c r="C49" i="9"/>
  <c r="D49" i="9"/>
  <c r="C50" i="9"/>
  <c r="D50" i="9"/>
  <c r="C51" i="9"/>
  <c r="D51" i="9"/>
  <c r="C52" i="9"/>
  <c r="D52" i="9"/>
  <c r="C53" i="9"/>
  <c r="D53" i="9"/>
  <c r="C54" i="9"/>
  <c r="D54" i="9"/>
  <c r="C55" i="9"/>
  <c r="D55" i="9"/>
  <c r="C56" i="9"/>
  <c r="D56" i="9"/>
  <c r="C57" i="9"/>
  <c r="D57" i="9"/>
  <c r="C58" i="9"/>
  <c r="D58" i="9"/>
  <c r="C59" i="9"/>
  <c r="D59" i="9"/>
  <c r="C60" i="9"/>
  <c r="D60" i="9"/>
  <c r="C61" i="9"/>
  <c r="D61" i="9"/>
  <c r="C62" i="9"/>
  <c r="D62" i="9"/>
  <c r="C63" i="9"/>
  <c r="D63" i="9"/>
  <c r="C64" i="9"/>
  <c r="D64" i="9"/>
  <c r="C65" i="9"/>
  <c r="D65" i="9"/>
  <c r="C4" i="9"/>
  <c r="D4" i="9"/>
  <c r="K18" i="9"/>
  <c r="L18" i="9"/>
  <c r="M18" i="9"/>
  <c r="N18" i="9"/>
  <c r="O18" i="9"/>
  <c r="P18" i="9"/>
  <c r="Q18" i="9"/>
  <c r="R18" i="9"/>
  <c r="S18" i="9"/>
  <c r="J18" i="9"/>
  <c r="E4" i="9"/>
  <c r="E5" i="9"/>
  <c r="D11" i="7"/>
  <c r="E11" i="7"/>
  <c r="F11" i="7"/>
  <c r="G12" i="7"/>
  <c r="D12" i="7"/>
  <c r="H12" i="7"/>
  <c r="I12" i="7"/>
  <c r="D1" i="8"/>
  <c r="D2" i="8"/>
  <c r="C5" i="8"/>
  <c r="D5" i="8"/>
  <c r="E5" i="8"/>
  <c r="C6" i="18"/>
  <c r="C7" i="18"/>
  <c r="C8" i="18"/>
  <c r="C9" i="18"/>
  <c r="C10" i="18"/>
  <c r="C11" i="18"/>
  <c r="C12" i="18"/>
  <c r="C5" i="18"/>
  <c r="E5" i="18"/>
  <c r="E6" i="18"/>
  <c r="E7" i="18"/>
  <c r="E8" i="18"/>
  <c r="E9" i="18"/>
  <c r="E10" i="18"/>
  <c r="E11" i="18"/>
  <c r="E12" i="18"/>
  <c r="E4" i="18"/>
  <c r="D38" i="17"/>
  <c r="B39" i="17"/>
  <c r="B37" i="17"/>
  <c r="D13" i="7"/>
  <c r="E12" i="7"/>
  <c r="F12" i="7"/>
  <c r="G13" i="7"/>
  <c r="I13" i="7"/>
  <c r="D14" i="7"/>
  <c r="E13" i="7"/>
  <c r="F13" i="7"/>
  <c r="G14" i="7"/>
  <c r="I14" i="7"/>
  <c r="D15" i="7"/>
  <c r="E14" i="7"/>
  <c r="F14" i="7"/>
  <c r="G15" i="7"/>
  <c r="I15" i="7"/>
  <c r="D16" i="7"/>
  <c r="E15" i="7"/>
  <c r="F15" i="7"/>
  <c r="G16" i="7"/>
  <c r="I16" i="7"/>
  <c r="D17" i="7"/>
  <c r="E16" i="7"/>
  <c r="F16" i="7"/>
  <c r="G17" i="7"/>
  <c r="I17" i="7"/>
  <c r="D18" i="7"/>
  <c r="E17" i="7"/>
  <c r="F17" i="7"/>
  <c r="G18" i="7"/>
  <c r="I18" i="7"/>
  <c r="D19" i="7"/>
  <c r="E18" i="7"/>
  <c r="F18" i="7"/>
  <c r="G19" i="7"/>
  <c r="I19" i="7"/>
  <c r="I22" i="7"/>
  <c r="H13" i="7"/>
  <c r="H14" i="7"/>
  <c r="H15" i="7"/>
  <c r="H16" i="7"/>
  <c r="H17" i="7"/>
  <c r="H18" i="7"/>
  <c r="H19" i="7"/>
  <c r="H22" i="7"/>
  <c r="E19" i="7"/>
  <c r="F19" i="7"/>
  <c r="G20" i="7"/>
  <c r="C13" i="8"/>
  <c r="C12" i="8"/>
  <c r="C11" i="8"/>
  <c r="C10" i="8"/>
  <c r="C9" i="8"/>
  <c r="C8" i="8"/>
  <c r="C7" i="8"/>
  <c r="C6" i="8"/>
  <c r="E6" i="8"/>
  <c r="E7" i="8"/>
  <c r="E8" i="8"/>
  <c r="E9" i="8"/>
  <c r="E10" i="8"/>
  <c r="E11" i="8"/>
  <c r="E12" i="8"/>
  <c r="E13" i="8"/>
  <c r="E16" i="8"/>
  <c r="D6" i="8"/>
  <c r="D7" i="8"/>
  <c r="D8" i="8"/>
  <c r="D9" i="8"/>
  <c r="D10" i="8"/>
  <c r="D11" i="8"/>
  <c r="D12" i="8"/>
  <c r="D13" i="8"/>
  <c r="D16" i="8"/>
  <c r="C14" i="8"/>
  <c r="C5" i="11"/>
  <c r="C17" i="11"/>
  <c r="C29" i="11"/>
  <c r="C41" i="11"/>
  <c r="C53" i="11"/>
  <c r="D5" i="11"/>
  <c r="E5" i="11"/>
  <c r="C6" i="11"/>
  <c r="C18" i="11"/>
  <c r="C30" i="11"/>
  <c r="C42" i="11"/>
  <c r="C54" i="11"/>
  <c r="D6" i="11"/>
  <c r="E6" i="11"/>
  <c r="C7" i="11"/>
  <c r="C19" i="11"/>
  <c r="C31" i="11"/>
  <c r="C43" i="11"/>
  <c r="C55" i="11"/>
  <c r="D7" i="11"/>
  <c r="E7" i="11"/>
  <c r="C8" i="11"/>
  <c r="C20" i="11"/>
  <c r="C32" i="11"/>
  <c r="C44" i="11"/>
  <c r="C56" i="11"/>
  <c r="D8" i="11"/>
  <c r="E8" i="11"/>
  <c r="C9" i="11"/>
  <c r="C21" i="11"/>
  <c r="C33" i="11"/>
  <c r="C45" i="11"/>
  <c r="C57" i="11"/>
  <c r="D9" i="11"/>
  <c r="E9" i="11"/>
  <c r="C10" i="11"/>
  <c r="C22" i="11"/>
  <c r="C34" i="11"/>
  <c r="C46" i="11"/>
  <c r="C58" i="11"/>
  <c r="D10" i="11"/>
  <c r="E10" i="11"/>
  <c r="C11" i="11"/>
  <c r="C23" i="11"/>
  <c r="C35" i="11"/>
  <c r="C47" i="11"/>
  <c r="C59" i="11"/>
  <c r="D11" i="11"/>
  <c r="E11" i="11"/>
  <c r="C12" i="11"/>
  <c r="C24" i="11"/>
  <c r="C36" i="11"/>
  <c r="C48" i="11"/>
  <c r="C60" i="11"/>
  <c r="D12" i="11"/>
  <c r="E12" i="11"/>
  <c r="C13" i="11"/>
  <c r="C25" i="11"/>
  <c r="C37" i="11"/>
  <c r="C49" i="11"/>
  <c r="C61" i="11"/>
  <c r="D13" i="11"/>
  <c r="E13" i="11"/>
  <c r="C14" i="11"/>
  <c r="C26" i="11"/>
  <c r="C38" i="11"/>
  <c r="C50" i="11"/>
  <c r="C62" i="11"/>
  <c r="D14" i="11"/>
  <c r="E14" i="11"/>
  <c r="C15" i="11"/>
  <c r="C27" i="11"/>
  <c r="C39" i="11"/>
  <c r="C51" i="11"/>
  <c r="C63" i="11"/>
  <c r="D15" i="11"/>
  <c r="E15" i="11"/>
  <c r="C4" i="11"/>
  <c r="C16" i="11"/>
  <c r="C28" i="11"/>
  <c r="C40" i="11"/>
  <c r="C52" i="11"/>
  <c r="D16" i="11"/>
  <c r="E16" i="11"/>
  <c r="D17" i="11"/>
  <c r="E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24" i="11"/>
  <c r="E24" i="11"/>
  <c r="D25" i="11"/>
  <c r="E25" i="11"/>
  <c r="D26" i="11"/>
  <c r="E26" i="11"/>
  <c r="D27" i="11"/>
  <c r="E27" i="11"/>
  <c r="D28" i="11"/>
  <c r="E28" i="11"/>
  <c r="D29" i="11"/>
  <c r="E29" i="11"/>
  <c r="D30" i="11"/>
  <c r="E30" i="11"/>
  <c r="D31" i="11"/>
  <c r="E31" i="11"/>
  <c r="D32" i="11"/>
  <c r="E32" i="11"/>
  <c r="D33" i="11"/>
  <c r="E33" i="11"/>
  <c r="D34" i="11"/>
  <c r="E34" i="11"/>
  <c r="D35" i="11"/>
  <c r="E35" i="11"/>
  <c r="D36" i="11"/>
  <c r="E36" i="11"/>
  <c r="D37" i="11"/>
  <c r="E37" i="11"/>
  <c r="D38" i="11"/>
  <c r="E38" i="11"/>
  <c r="D39" i="11"/>
  <c r="E39" i="11"/>
  <c r="D40" i="11"/>
  <c r="E40" i="11"/>
  <c r="D41" i="11"/>
  <c r="E41" i="11"/>
  <c r="D42" i="11"/>
  <c r="E42" i="11"/>
  <c r="D43" i="11"/>
  <c r="E43" i="11"/>
  <c r="D44" i="11"/>
  <c r="E44" i="11"/>
  <c r="D45" i="11"/>
  <c r="E45" i="11"/>
  <c r="D46" i="11"/>
  <c r="E46" i="11"/>
  <c r="D47" i="11"/>
  <c r="E47" i="11"/>
  <c r="D48" i="11"/>
  <c r="E48" i="11"/>
  <c r="D49" i="11"/>
  <c r="E49" i="11"/>
  <c r="D50" i="11"/>
  <c r="E50" i="11"/>
  <c r="D51" i="11"/>
  <c r="E51" i="11"/>
  <c r="D52" i="11"/>
  <c r="E52" i="11"/>
  <c r="D53" i="11"/>
  <c r="E53" i="11"/>
  <c r="D54" i="11"/>
  <c r="E54" i="11"/>
  <c r="D55" i="11"/>
  <c r="E55" i="11"/>
  <c r="D56" i="11"/>
  <c r="E56" i="11"/>
  <c r="D57" i="11"/>
  <c r="E57" i="11"/>
  <c r="D58" i="11"/>
  <c r="E58" i="11"/>
  <c r="D59" i="11"/>
  <c r="E59" i="11"/>
  <c r="D60" i="11"/>
  <c r="E60" i="11"/>
  <c r="D61" i="11"/>
  <c r="E61" i="11"/>
  <c r="D62" i="11"/>
  <c r="E62" i="11"/>
  <c r="D63" i="11"/>
  <c r="E63" i="11"/>
  <c r="D64" i="11"/>
  <c r="E64" i="11"/>
  <c r="D65" i="11"/>
  <c r="E65" i="11"/>
  <c r="D4" i="11"/>
  <c r="E4" i="11"/>
  <c r="D66" i="11"/>
  <c r="D67" i="11"/>
  <c r="D68" i="11"/>
  <c r="D69" i="11"/>
  <c r="D70" i="11"/>
  <c r="D71" i="11"/>
  <c r="D72" i="11"/>
  <c r="D73" i="11"/>
  <c r="D74" i="11"/>
  <c r="D75" i="1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C66" i="9"/>
  <c r="C67" i="9"/>
  <c r="C68" i="9"/>
  <c r="C69" i="9"/>
  <c r="C70" i="9"/>
  <c r="C71" i="9"/>
  <c r="C72" i="9"/>
  <c r="C73" i="9"/>
  <c r="C74" i="9"/>
  <c r="C75" i="9"/>
  <c r="C76" i="9"/>
  <c r="B4" i="17"/>
  <c r="B2" i="17"/>
  <c r="D76" i="9"/>
  <c r="E63" i="9"/>
  <c r="E64" i="9"/>
  <c r="E65" i="9"/>
  <c r="E76" i="9"/>
  <c r="B1" i="11"/>
  <c r="D1" i="11"/>
  <c r="G64" i="11"/>
  <c r="H64" i="11"/>
  <c r="G65" i="11"/>
  <c r="H65" i="11"/>
  <c r="G66" i="11"/>
  <c r="H66" i="11"/>
  <c r="G67" i="11"/>
  <c r="H67" i="11"/>
  <c r="G68" i="11"/>
  <c r="H68" i="11"/>
  <c r="G69" i="11"/>
  <c r="H69" i="11"/>
  <c r="G70" i="11"/>
  <c r="H70" i="11"/>
  <c r="G71" i="11"/>
  <c r="H71" i="11"/>
  <c r="G72" i="11"/>
  <c r="H72" i="11"/>
  <c r="G73" i="11"/>
  <c r="H73" i="11"/>
  <c r="G74" i="11"/>
  <c r="H74" i="11"/>
  <c r="G75" i="11"/>
  <c r="H75" i="11"/>
  <c r="F1" i="11"/>
  <c r="G4" i="11"/>
  <c r="H4" i="11"/>
  <c r="I4" i="11"/>
  <c r="G5" i="11"/>
  <c r="H5" i="11"/>
  <c r="I5" i="11"/>
  <c r="G6" i="11"/>
  <c r="H6" i="11"/>
  <c r="I6" i="11"/>
  <c r="G7" i="11"/>
  <c r="H7" i="11"/>
  <c r="I7" i="11"/>
  <c r="G8" i="11"/>
  <c r="H8" i="11"/>
  <c r="I8" i="11"/>
  <c r="G9" i="11"/>
  <c r="H9" i="11"/>
  <c r="I9" i="11"/>
  <c r="G10" i="11"/>
  <c r="H10" i="11"/>
  <c r="I10" i="11"/>
  <c r="G11" i="11"/>
  <c r="H11" i="11"/>
  <c r="I11" i="11"/>
  <c r="G12" i="11"/>
  <c r="H12" i="11"/>
  <c r="I12" i="11"/>
  <c r="G13" i="11"/>
  <c r="H13" i="11"/>
  <c r="I13" i="11"/>
  <c r="G14" i="11"/>
  <c r="H14" i="11"/>
  <c r="I14" i="11"/>
  <c r="G15" i="11"/>
  <c r="H15" i="11"/>
  <c r="I15" i="11"/>
  <c r="G16" i="11"/>
  <c r="H16" i="11"/>
  <c r="I16" i="11"/>
  <c r="G17" i="11"/>
  <c r="H17" i="11"/>
  <c r="I17" i="11"/>
  <c r="G18" i="11"/>
  <c r="H18" i="11"/>
  <c r="I18" i="11"/>
  <c r="G19" i="11"/>
  <c r="H19" i="11"/>
  <c r="I19" i="11"/>
  <c r="G20" i="11"/>
  <c r="H20" i="11"/>
  <c r="I20" i="11"/>
  <c r="G21" i="11"/>
  <c r="H21" i="11"/>
  <c r="I21" i="11"/>
  <c r="G22" i="11"/>
  <c r="H22" i="11"/>
  <c r="I22" i="11"/>
  <c r="G23" i="11"/>
  <c r="H23" i="11"/>
  <c r="I23" i="11"/>
  <c r="G24" i="11"/>
  <c r="H24" i="11"/>
  <c r="I24" i="11"/>
  <c r="G25" i="11"/>
  <c r="H25" i="11"/>
  <c r="I25" i="11"/>
  <c r="G26" i="11"/>
  <c r="H26" i="11"/>
  <c r="I26" i="11"/>
  <c r="G27" i="11"/>
  <c r="H27" i="11"/>
  <c r="I27" i="11"/>
  <c r="G28" i="11"/>
  <c r="H28" i="11"/>
  <c r="I28" i="11"/>
  <c r="G29" i="11"/>
  <c r="H29" i="11"/>
  <c r="I29" i="11"/>
  <c r="G30" i="11"/>
  <c r="H30" i="11"/>
  <c r="I30" i="11"/>
  <c r="G31" i="11"/>
  <c r="H31" i="11"/>
  <c r="I31" i="11"/>
  <c r="G32" i="11"/>
  <c r="H32" i="11"/>
  <c r="I32" i="11"/>
  <c r="G33" i="11"/>
  <c r="H33" i="11"/>
  <c r="I33" i="11"/>
  <c r="G34" i="11"/>
  <c r="H34" i="11"/>
  <c r="I34" i="11"/>
  <c r="G35" i="11"/>
  <c r="H35" i="11"/>
  <c r="I35" i="11"/>
  <c r="G36" i="11"/>
  <c r="H36" i="11"/>
  <c r="I36" i="11"/>
  <c r="G37" i="11"/>
  <c r="H37" i="11"/>
  <c r="I37" i="11"/>
  <c r="G38" i="11"/>
  <c r="H38" i="11"/>
  <c r="I38" i="11"/>
  <c r="G39" i="11"/>
  <c r="H39" i="11"/>
  <c r="I39" i="11"/>
  <c r="G40" i="11"/>
  <c r="H40" i="11"/>
  <c r="I40" i="11"/>
  <c r="G41" i="11"/>
  <c r="H41" i="11"/>
  <c r="I41" i="11"/>
  <c r="G42" i="11"/>
  <c r="H42" i="11"/>
  <c r="I42" i="11"/>
  <c r="G43" i="11"/>
  <c r="H43" i="11"/>
  <c r="I43" i="11"/>
  <c r="G44" i="11"/>
  <c r="H44" i="11"/>
  <c r="I44" i="11"/>
  <c r="G45" i="11"/>
  <c r="H45" i="11"/>
  <c r="I45" i="11"/>
  <c r="G46" i="11"/>
  <c r="H46" i="11"/>
  <c r="I46" i="11"/>
  <c r="G47" i="11"/>
  <c r="H47" i="11"/>
  <c r="I47" i="11"/>
  <c r="G48" i="11"/>
  <c r="H48" i="11"/>
  <c r="I48" i="11"/>
  <c r="G49" i="11"/>
  <c r="H49" i="11"/>
  <c r="I49" i="11"/>
  <c r="G50" i="11"/>
  <c r="H50" i="11"/>
  <c r="I50" i="11"/>
  <c r="G51" i="11"/>
  <c r="H51" i="11"/>
  <c r="I51" i="11"/>
  <c r="G52" i="11"/>
  <c r="H52" i="11"/>
  <c r="I52" i="11"/>
  <c r="G53" i="11"/>
  <c r="H53" i="11"/>
  <c r="I53" i="11"/>
  <c r="G54" i="11"/>
  <c r="H54" i="11"/>
  <c r="I54" i="11"/>
  <c r="G55" i="11"/>
  <c r="H55" i="11"/>
  <c r="I55" i="11"/>
  <c r="G56" i="11"/>
  <c r="H56" i="11"/>
  <c r="I56" i="11"/>
  <c r="G57" i="11"/>
  <c r="H57" i="11"/>
  <c r="I57" i="11"/>
  <c r="G58" i="11"/>
  <c r="H58" i="11"/>
  <c r="I58" i="11"/>
  <c r="G59" i="11"/>
  <c r="H59" i="11"/>
  <c r="I59" i="11"/>
  <c r="G60" i="11"/>
  <c r="H60" i="11"/>
  <c r="I60" i="11"/>
  <c r="G61" i="11"/>
  <c r="H61" i="11"/>
  <c r="I61" i="11"/>
  <c r="G62" i="11"/>
  <c r="H62" i="11"/>
  <c r="I62" i="11"/>
  <c r="G63" i="11"/>
  <c r="H63" i="11"/>
  <c r="I63" i="11"/>
  <c r="I64" i="11"/>
  <c r="I65" i="11"/>
  <c r="H1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1" i="11"/>
</calcChain>
</file>

<file path=xl/sharedStrings.xml><?xml version="1.0" encoding="utf-8"?>
<sst xmlns="http://schemas.openxmlformats.org/spreadsheetml/2006/main" count="135" uniqueCount="102">
  <si>
    <t>Date</t>
  </si>
  <si>
    <t>Sales</t>
  </si>
  <si>
    <t>Year</t>
  </si>
  <si>
    <r>
      <t>a</t>
    </r>
    <r>
      <rPr>
        <sz val="10"/>
        <rFont val="Arial"/>
        <family val="2"/>
      </rPr>
      <t xml:space="preserve"> = </t>
    </r>
  </si>
  <si>
    <r>
      <t>b</t>
    </r>
    <r>
      <rPr>
        <sz val="10"/>
        <rFont val="Arial"/>
        <family val="2"/>
      </rPr>
      <t xml:space="preserve"> = </t>
    </r>
  </si>
  <si>
    <t xml:space="preserve">  = starting value for Trend</t>
  </si>
  <si>
    <t>Forecast</t>
  </si>
  <si>
    <t>Error</t>
  </si>
  <si>
    <t>Yearly</t>
  </si>
  <si>
    <t>MAD</t>
  </si>
  <si>
    <t>Sm MAD</t>
  </si>
  <si>
    <t>slope</t>
  </si>
  <si>
    <t>intercept</t>
  </si>
  <si>
    <t>SmMad</t>
  </si>
  <si>
    <t xml:space="preserve">1)  </t>
  </si>
  <si>
    <t xml:space="preserve">2)  </t>
  </si>
  <si>
    <t xml:space="preserve">3)  </t>
  </si>
  <si>
    <t>Calcuate total forecast for the year 2004 in cell C76</t>
  </si>
  <si>
    <t xml:space="preserve">4)  </t>
  </si>
  <si>
    <t xml:space="preserve">   Total for 2004 = </t>
  </si>
  <si>
    <t>yearly SF</t>
  </si>
  <si>
    <t>Ave SF</t>
  </si>
  <si>
    <t>Deseason</t>
  </si>
  <si>
    <t>Month #</t>
  </si>
  <si>
    <t>F initial</t>
  </si>
  <si>
    <t xml:space="preserve">phi = </t>
  </si>
  <si>
    <t>Yr</t>
  </si>
  <si>
    <t xml:space="preserve">Which forecast method is the best?  </t>
  </si>
  <si>
    <t>Why do you know it is the best?</t>
  </si>
  <si>
    <t>Dt</t>
  </si>
  <si>
    <t>At</t>
  </si>
  <si>
    <t>Tt</t>
  </si>
  <si>
    <t>Forecast (Ft+1)</t>
  </si>
  <si>
    <t xml:space="preserve">Forecast 2004 = </t>
  </si>
  <si>
    <t xml:space="preserve">Slope = </t>
  </si>
  <si>
    <t xml:space="preserve">Intercept = </t>
  </si>
  <si>
    <t xml:space="preserve">MAD = </t>
  </si>
  <si>
    <t>Graph Data</t>
  </si>
  <si>
    <t>At = Dt for 1995</t>
  </si>
  <si>
    <t>At = Exponential smoothed average for time period "t"</t>
  </si>
  <si>
    <t>Tt = Exponential smoothed trend for time period "t"</t>
  </si>
  <si>
    <t>Dt = Actual demand in period "t"</t>
  </si>
  <si>
    <t>Ft+1 = Trend-adjusted forecast for time period "t+1"</t>
  </si>
  <si>
    <t>y = mx + b</t>
  </si>
  <si>
    <t>SmMAD</t>
  </si>
  <si>
    <t>Calculate MAD and Smoothed MAD in cells D76 and E76</t>
  </si>
  <si>
    <r>
      <t xml:space="preserve">Calculate Intercept and Slope </t>
    </r>
    <r>
      <rPr>
        <b/>
        <sz val="10"/>
        <color rgb="FFFF0000"/>
        <rFont val="Arial"/>
        <family val="2"/>
      </rPr>
      <t>for each month</t>
    </r>
    <r>
      <rPr>
        <sz val="10"/>
        <rFont val="Arial"/>
        <family val="2"/>
      </rPr>
      <t xml:space="preserve"> using Excel "slope" and "intercept" functions</t>
    </r>
  </si>
  <si>
    <t xml:space="preserve"> - use January Sales from each year to calculate Slope and Intercept for January</t>
  </si>
  <si>
    <t xml:space="preserve"> - Use February Sales from each year to calculate Slope and Intercept for February, and so on</t>
  </si>
  <si>
    <t>Calculate forecast for each month from January 1999 through December 2004 in column 'C'.  Use appropriate month Slope &amp; Intercept values.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</si>
  <si>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</si>
  <si>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</si>
  <si>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</si>
  <si>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</si>
  <si>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</si>
  <si>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</si>
  <si>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</si>
  <si>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</si>
  <si>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</si>
  <si>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</si>
  <si>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</si>
  <si>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</si>
  <si>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Sm MAD = </t>
  </si>
  <si>
    <t xml:space="preserve">Sales Growth (2003 to 2004) = </t>
  </si>
  <si>
    <t xml:space="preserve"> k units</t>
  </si>
  <si>
    <t xml:space="preserve">Replacement % = </t>
  </si>
  <si>
    <t xml:space="preserve">Replacement for 2004 = </t>
  </si>
  <si>
    <t xml:space="preserve">Total Float for 2004 = </t>
  </si>
  <si>
    <t xml:space="preserve"> k units (existing inventory)</t>
  </si>
  <si>
    <t xml:space="preserve">Total Bottles to Order = </t>
  </si>
  <si>
    <t xml:space="preserve"> k units </t>
  </si>
  <si>
    <t>(Sales forecast 2004 - Sales 2003)</t>
  </si>
  <si>
    <t>State your assumptions based on data from case on how you determined Float %</t>
  </si>
  <si>
    <t>State your assumptions based on data from case on how you determined Replacement %</t>
  </si>
  <si>
    <t>Intercept:</t>
  </si>
  <si>
    <t>Slope:</t>
  </si>
  <si>
    <r>
      <rPr>
        <sz val="10"/>
        <rFont val="Times New Roman"/>
        <family val="1"/>
      </rPr>
      <t>φ</t>
    </r>
    <r>
      <rPr>
        <sz val="10"/>
        <rFont val="Arial"/>
        <family val="2"/>
      </rPr>
      <t>=</t>
    </r>
  </si>
  <si>
    <r>
      <t>smMAD</t>
    </r>
    <r>
      <rPr>
        <sz val="6"/>
        <rFont val="Arial"/>
        <family val="2"/>
      </rPr>
      <t>t</t>
    </r>
    <r>
      <rPr>
        <sz val="10"/>
        <rFont val="Arial"/>
        <family val="2"/>
      </rPr>
      <t xml:space="preserve"> = </t>
    </r>
    <r>
      <rPr>
        <i/>
        <sz val="10"/>
        <rFont val="Arial"/>
        <family val="2"/>
      </rPr>
      <t>φ</t>
    </r>
    <r>
      <rPr>
        <sz val="10"/>
        <rFont val="Arial"/>
        <family val="2"/>
      </rPr>
      <t>|D</t>
    </r>
    <r>
      <rPr>
        <sz val="6"/>
        <rFont val="Arial"/>
        <family val="2"/>
      </rPr>
      <t>t</t>
    </r>
    <r>
      <rPr>
        <sz val="10"/>
        <rFont val="Arial"/>
        <family val="2"/>
      </rPr>
      <t xml:space="preserve"> - F</t>
    </r>
    <r>
      <rPr>
        <sz val="6"/>
        <rFont val="Arial"/>
        <family val="2"/>
      </rPr>
      <t>t</t>
    </r>
    <r>
      <rPr>
        <sz val="10"/>
        <rFont val="Arial"/>
        <family val="2"/>
      </rPr>
      <t>| + (1-</t>
    </r>
    <r>
      <rPr>
        <i/>
        <sz val="10"/>
        <rFont val="Arial"/>
        <family val="2"/>
      </rPr>
      <t>φ)*smMAD</t>
    </r>
    <r>
      <rPr>
        <i/>
        <sz val="6"/>
        <rFont val="Calibri"/>
        <family val="2"/>
        <scheme val="minor"/>
      </rPr>
      <t>t-1</t>
    </r>
  </si>
  <si>
    <t>F seasonalized</t>
  </si>
  <si>
    <t>Monthly Regression</t>
  </si>
  <si>
    <t>Float % =</t>
  </si>
  <si>
    <r>
      <t xml:space="preserve"> =</t>
    </r>
    <r>
      <rPr>
        <u/>
        <sz val="10"/>
        <rFont val="Arial"/>
        <family val="2"/>
      </rPr>
      <t>__(Annual sales)__</t>
    </r>
    <r>
      <rPr>
        <sz val="10"/>
        <rFont val="Arial"/>
        <family val="2"/>
      </rPr>
      <t xml:space="preserve">                      (system cycle time)</t>
    </r>
  </si>
  <si>
    <t>Float Growth (2003 to 2004)</t>
  </si>
  <si>
    <t>From Exhibit 4 of case study:</t>
  </si>
  <si>
    <t>2002 total new bottle transfers:</t>
  </si>
  <si>
    <t>2003 total new bottle transfers:</t>
  </si>
  <si>
    <t>2002 % of Sales:</t>
  </si>
  <si>
    <t>2003 % of Sales:</t>
  </si>
  <si>
    <t>% Growth</t>
  </si>
  <si>
    <t>Data from Case:</t>
  </si>
  <si>
    <t>New Bottles Ordered</t>
  </si>
  <si>
    <t>Annual Sales</t>
  </si>
  <si>
    <t>% of Sales</t>
  </si>
  <si>
    <t>Adjusted</t>
  </si>
  <si>
    <t>No change</t>
  </si>
  <si>
    <t>+ 17</t>
  </si>
  <si>
    <t/>
  </si>
  <si>
    <t>% Growth by year</t>
  </si>
  <si>
    <t>I need a better explanation of how to do this part. I have gone through it over and over again and even after asking I feel unsure of what I'm even being asked to do.</t>
  </si>
  <si>
    <r>
      <rPr>
        <i/>
        <sz val="10"/>
        <rFont val="Arial"/>
        <family val="2"/>
      </rPr>
      <t>smMAD</t>
    </r>
    <r>
      <rPr>
        <sz val="6"/>
        <rFont val="Arial"/>
        <family val="2"/>
      </rPr>
      <t>t</t>
    </r>
    <r>
      <rPr>
        <sz val="10"/>
        <rFont val="Arial"/>
        <family val="2"/>
      </rPr>
      <t xml:space="preserve"> = </t>
    </r>
    <r>
      <rPr>
        <i/>
        <sz val="10"/>
        <rFont val="Arial"/>
        <family val="2"/>
      </rPr>
      <t>φ</t>
    </r>
    <r>
      <rPr>
        <sz val="10"/>
        <rFont val="Arial"/>
        <family val="2"/>
      </rPr>
      <t>|D</t>
    </r>
    <r>
      <rPr>
        <sz val="6"/>
        <rFont val="Arial"/>
        <family val="2"/>
      </rPr>
      <t>t</t>
    </r>
    <r>
      <rPr>
        <sz val="10"/>
        <rFont val="Arial"/>
        <family val="2"/>
      </rPr>
      <t xml:space="preserve"> - F</t>
    </r>
    <r>
      <rPr>
        <sz val="6"/>
        <rFont val="Arial"/>
        <family val="2"/>
      </rPr>
      <t>t</t>
    </r>
    <r>
      <rPr>
        <sz val="10"/>
        <rFont val="Arial"/>
        <family val="2"/>
      </rPr>
      <t>| + (1-</t>
    </r>
    <r>
      <rPr>
        <i/>
        <sz val="10"/>
        <rFont val="Arial"/>
        <family val="2"/>
      </rPr>
      <t>φ)*smMAD</t>
    </r>
    <r>
      <rPr>
        <i/>
        <sz val="6"/>
        <rFont val="Calibri"/>
        <family val="2"/>
        <scheme val="minor"/>
      </rPr>
      <t>t-1</t>
    </r>
  </si>
  <si>
    <r>
      <rPr>
        <i/>
        <sz val="10"/>
        <rFont val="Arial"/>
        <family val="2"/>
      </rPr>
      <t>smMAD</t>
    </r>
    <r>
      <rPr>
        <sz val="10"/>
        <rFont val="Arial"/>
        <family val="2"/>
      </rPr>
      <t xml:space="preserve">t = </t>
    </r>
    <r>
      <rPr>
        <i/>
        <sz val="10"/>
        <rFont val="Arial"/>
        <family val="2"/>
      </rPr>
      <t>φ</t>
    </r>
    <r>
      <rPr>
        <sz val="10"/>
        <rFont val="Arial"/>
        <family val="2"/>
      </rPr>
      <t>|Dt - Ft| + (1-</t>
    </r>
    <r>
      <rPr>
        <i/>
        <sz val="10"/>
        <rFont val="Arial"/>
        <family val="2"/>
      </rPr>
      <t>φ</t>
    </r>
    <r>
      <rPr>
        <sz val="10"/>
        <rFont val="Arial"/>
        <family val="2"/>
      </rPr>
      <t>)*</t>
    </r>
    <r>
      <rPr>
        <i/>
        <sz val="10"/>
        <rFont val="Arial"/>
        <family val="2"/>
      </rPr>
      <t>smMAD</t>
    </r>
    <r>
      <rPr>
        <sz val="10"/>
        <rFont val="Arial"/>
        <family val="2"/>
      </rPr>
      <t>t-1</t>
    </r>
  </si>
  <si>
    <t>Monthly regression has less deviation than the decomposition method, both with the MAD and the smooth MAD calculations. This tells me that in this case, it is a more reliable method.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</si>
</sst>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6"/>
      <name val="Arial"/>
      <family val="2"/>
    </font>
    <font>
      <sz val="9"/>
      <color rgb="FF000000"/>
      <name val="Arial"/>
      <family val="2"/>
    </font>
    <font>
      <sz val="10"/>
      <name val="Times New Roman"/>
      <family val="1"/>
    </font>
    <font>
      <sz val="6"/>
      <name val="Arial"/>
      <family val="2"/>
    </font>
    <font>
      <i/>
      <sz val="10"/>
      <name val="Arial"/>
      <family val="2"/>
    </font>
    <font>
      <i/>
      <sz val="6"/>
      <name val="Calibri"/>
      <family val="2"/>
      <scheme val="minor"/>
    </font>
    <font>
      <sz val="10"/>
      <name val="Arial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9" fontId="12" fillId="0" borderId="0" applyFont="0" applyFill="0" applyBorder="0" applyAlignment="0" applyProtection="0"/>
  </cellStyleXfs>
  <cellXfs count="8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/>
    <xf numFmtId="0" fontId="2" fillId="0" borderId="0" xfId="0" applyFont="1" applyFill="1"/>
    <xf numFmtId="10" fontId="2" fillId="0" borderId="0" xfId="0" applyNumberFormat="1" applyFont="1" applyFill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2" fillId="0" borderId="0" xfId="0" applyFont="1" applyAlignment="1">
      <alignment horizontal="right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0" fillId="3" borderId="0" xfId="0" applyFill="1"/>
    <xf numFmtId="0" fontId="0" fillId="2" borderId="1" xfId="0" applyFill="1" applyBorder="1"/>
    <xf numFmtId="0" fontId="0" fillId="2" borderId="3" xfId="0" applyFill="1" applyBorder="1"/>
    <xf numFmtId="0" fontId="2" fillId="3" borderId="0" xfId="0" applyFont="1" applyFill="1"/>
    <xf numFmtId="0" fontId="0" fillId="3" borderId="2" xfId="0" applyFill="1" applyBorder="1"/>
    <xf numFmtId="0" fontId="0" fillId="3" borderId="4" xfId="0" applyFill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2" fillId="0" borderId="0" xfId="1" applyNumberFormat="1" applyFont="1"/>
    <xf numFmtId="0" fontId="2" fillId="0" borderId="0" xfId="1" applyFont="1"/>
    <xf numFmtId="0" fontId="4" fillId="0" borderId="0" xfId="1"/>
    <xf numFmtId="10" fontId="2" fillId="0" borderId="0" xfId="1" applyNumberFormat="1" applyFont="1"/>
    <xf numFmtId="0" fontId="2" fillId="0" borderId="0" xfId="1" applyFont="1" applyAlignment="1">
      <alignment horizontal="center"/>
    </xf>
    <xf numFmtId="164" fontId="4" fillId="2" borderId="0" xfId="1" applyNumberFormat="1" applyFill="1"/>
    <xf numFmtId="0" fontId="4" fillId="2" borderId="0" xfId="1" applyFill="1"/>
    <xf numFmtId="164" fontId="4" fillId="0" borderId="0" xfId="1" applyNumberFormat="1"/>
    <xf numFmtId="0" fontId="4" fillId="0" borderId="0" xfId="1" applyFill="1"/>
    <xf numFmtId="0" fontId="2" fillId="5" borderId="0" xfId="1" applyFont="1" applyFill="1"/>
    <xf numFmtId="0" fontId="5" fillId="0" borderId="0" xfId="0" applyFont="1"/>
    <xf numFmtId="0" fontId="2" fillId="3" borderId="0" xfId="0" applyFont="1" applyFill="1" applyBorder="1" applyAlignment="1">
      <alignment horizontal="center"/>
    </xf>
    <xf numFmtId="164" fontId="4" fillId="6" borderId="0" xfId="1" applyNumberFormat="1" applyFill="1"/>
    <xf numFmtId="0" fontId="4" fillId="6" borderId="0" xfId="1" applyFill="1"/>
    <xf numFmtId="164" fontId="0" fillId="6" borderId="0" xfId="0" applyNumberFormat="1" applyFill="1"/>
    <xf numFmtId="0" fontId="0" fillId="6" borderId="0" xfId="0" applyFill="1"/>
    <xf numFmtId="0" fontId="0" fillId="5" borderId="6" xfId="0" applyFill="1" applyBorder="1"/>
    <xf numFmtId="0" fontId="2" fillId="3" borderId="0" xfId="0" applyFont="1" applyFill="1" applyBorder="1" applyAlignment="1">
      <alignment horizontal="left"/>
    </xf>
    <xf numFmtId="0" fontId="4" fillId="7" borderId="0" xfId="0" applyFont="1" applyFill="1"/>
    <xf numFmtId="0" fontId="0" fillId="7" borderId="0" xfId="0" applyFill="1"/>
    <xf numFmtId="0" fontId="2" fillId="0" borderId="0" xfId="0" applyFont="1" applyFill="1" applyAlignment="1">
      <alignment horizontal="center"/>
    </xf>
    <xf numFmtId="0" fontId="0" fillId="5" borderId="7" xfId="0" applyFill="1" applyBorder="1"/>
    <xf numFmtId="0" fontId="0" fillId="5" borderId="8" xfId="0" applyFill="1" applyBorder="1"/>
    <xf numFmtId="0" fontId="0" fillId="5" borderId="5" xfId="0" applyFill="1" applyBorder="1"/>
    <xf numFmtId="0" fontId="6" fillId="0" borderId="0" xfId="0" applyFont="1"/>
    <xf numFmtId="0" fontId="4" fillId="0" borderId="0" xfId="0" applyFont="1" applyAlignment="1">
      <alignment horizontal="left"/>
    </xf>
    <xf numFmtId="0" fontId="2" fillId="6" borderId="0" xfId="0" applyFont="1" applyFill="1" applyAlignment="1">
      <alignment horizontal="right"/>
    </xf>
    <xf numFmtId="1" fontId="2" fillId="6" borderId="0" xfId="0" applyNumberFormat="1" applyFont="1" applyFill="1"/>
    <xf numFmtId="0" fontId="2" fillId="2" borderId="0" xfId="0" applyFont="1" applyFill="1"/>
    <xf numFmtId="0" fontId="4" fillId="3" borderId="0" xfId="1" applyFill="1" applyAlignment="1">
      <alignment horizontal="center"/>
    </xf>
    <xf numFmtId="0" fontId="4" fillId="0" borderId="0" xfId="1" applyAlignment="1">
      <alignment horizontal="center"/>
    </xf>
    <xf numFmtId="0" fontId="7" fillId="0" borderId="0" xfId="0" applyFont="1" applyAlignment="1">
      <alignment vertical="center" readingOrder="1"/>
    </xf>
    <xf numFmtId="2" fontId="0" fillId="0" borderId="0" xfId="0" applyNumberFormat="1"/>
    <xf numFmtId="2" fontId="2" fillId="0" borderId="0" xfId="0" applyNumberFormat="1" applyFont="1" applyFill="1" applyAlignment="1">
      <alignment horizontal="center"/>
    </xf>
    <xf numFmtId="2" fontId="0" fillId="3" borderId="0" xfId="0" applyNumberFormat="1" applyFill="1"/>
    <xf numFmtId="2" fontId="0" fillId="5" borderId="5" xfId="0" applyNumberFormat="1" applyFill="1" applyBorder="1"/>
    <xf numFmtId="0" fontId="4" fillId="0" borderId="0" xfId="0" quotePrefix="1" applyFont="1" applyAlignment="1">
      <alignment horizontal="right"/>
    </xf>
    <xf numFmtId="0" fontId="0" fillId="0" borderId="0" xfId="0" applyAlignment="1">
      <alignment horizontal="left"/>
    </xf>
    <xf numFmtId="2" fontId="4" fillId="3" borderId="0" xfId="1" applyNumberFormat="1" applyFill="1"/>
    <xf numFmtId="2" fontId="4" fillId="0" borderId="0" xfId="1" applyNumberFormat="1" applyFill="1"/>
    <xf numFmtId="2" fontId="4" fillId="3" borderId="0" xfId="1" applyNumberFormat="1" applyFill="1" applyAlignment="1">
      <alignment horizontal="center"/>
    </xf>
    <xf numFmtId="0" fontId="3" fillId="0" borderId="0" xfId="0" applyFont="1" applyAlignment="1">
      <alignment horizontal="right"/>
    </xf>
    <xf numFmtId="0" fontId="2" fillId="5" borderId="0" xfId="0" applyFont="1" applyFill="1" applyAlignment="1">
      <alignment horizontal="left"/>
    </xf>
    <xf numFmtId="2" fontId="0" fillId="0" borderId="0" xfId="0" applyNumberFormat="1" applyFill="1"/>
    <xf numFmtId="2" fontId="2" fillId="0" borderId="0" xfId="0" applyNumberFormat="1" applyFont="1" applyFill="1"/>
    <xf numFmtId="1" fontId="0" fillId="3" borderId="0" xfId="0" applyNumberFormat="1" applyFill="1"/>
    <xf numFmtId="0" fontId="4" fillId="0" borderId="0" xfId="0" quotePrefix="1" applyFont="1" applyAlignment="1">
      <alignment horizontal="center" wrapText="1"/>
    </xf>
    <xf numFmtId="10" fontId="0" fillId="0" borderId="0" xfId="2" applyNumberFormat="1" applyFont="1"/>
    <xf numFmtId="9" fontId="0" fillId="0" borderId="0" xfId="2" applyFont="1"/>
    <xf numFmtId="0" fontId="4" fillId="0" borderId="0" xfId="0" quotePrefix="1" applyFont="1"/>
    <xf numFmtId="1" fontId="4" fillId="0" borderId="0" xfId="0" applyNumberFormat="1" applyFont="1"/>
    <xf numFmtId="1" fontId="0" fillId="0" borderId="0" xfId="0" applyNumberFormat="1"/>
    <xf numFmtId="9" fontId="4" fillId="0" borderId="0" xfId="2" applyFont="1"/>
    <xf numFmtId="0" fontId="4" fillId="0" borderId="0" xfId="0" applyFont="1" applyAlignment="1">
      <alignment horizontal="left"/>
    </xf>
    <xf numFmtId="0" fontId="4" fillId="0" borderId="0" xfId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 wrapText="1"/>
    </xf>
    <xf numFmtId="0" fontId="4" fillId="0" borderId="0" xfId="0" quotePrefix="1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data'!$B$1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'yearly data'!$A$2:$A$10</c:f>
              <c:numCache>
                <c:formatCode>General</c:formatCode>
                <c:ptCount val="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</c:numCache>
            </c:numRef>
          </c:cat>
          <c:val>
            <c:numRef>
              <c:f>'yearly data'!$B$2:$B$10</c:f>
              <c:numCache>
                <c:formatCode>General</c:formatCode>
                <c:ptCount val="9"/>
                <c:pt idx="0">
                  <c:v>1845</c:v>
                </c:pt>
                <c:pt idx="1">
                  <c:v>2088</c:v>
                </c:pt>
                <c:pt idx="2">
                  <c:v>2345</c:v>
                </c:pt>
                <c:pt idx="3">
                  <c:v>2876</c:v>
                </c:pt>
                <c:pt idx="4">
                  <c:v>2465</c:v>
                </c:pt>
                <c:pt idx="5">
                  <c:v>3266</c:v>
                </c:pt>
                <c:pt idx="6">
                  <c:v>3325</c:v>
                </c:pt>
                <c:pt idx="7">
                  <c:v>3972</c:v>
                </c:pt>
                <c:pt idx="8">
                  <c:v>4078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4-4524-8B22-42276F737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513192"/>
        <c:axId val="534513520"/>
      </c:lineChart>
      <c:catAx>
        <c:axId val="53451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13520"/>
        <c:crosses val="autoZero"/>
        <c:auto val="1"/>
        <c:lblAlgn val="ctr"/>
        <c:lblOffset val="100"/>
        <c:noMultiLvlLbl val="0"/>
      </c:catAx>
      <c:valAx>
        <c:axId val="5345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1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MonthlyRegres.!$M$12</c:f>
              <c:strCache>
                <c:ptCount val="1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MonthlyRegres.!$G$13:$G$18</c:f>
              <c:numCache>
                <c:formatCode>General</c:formatCode>
                <c:ptCount val="6"/>
                <c:pt idx="0" formatCode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</c:numCache>
            </c:numRef>
          </c:cat>
          <c:val>
            <c:numRef>
              <c:f>MonthlyRegres.!$M$13:$M$17</c:f>
              <c:numCache>
                <c:formatCode>General</c:formatCode>
                <c:ptCount val="5"/>
                <c:pt idx="0">
                  <c:v>148</c:v>
                </c:pt>
                <c:pt idx="1">
                  <c:v>195</c:v>
                </c:pt>
                <c:pt idx="2">
                  <c:v>209</c:v>
                </c:pt>
                <c:pt idx="3">
                  <c:v>342</c:v>
                </c:pt>
                <c:pt idx="4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6-4F38-8351-1CD8008A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406136"/>
        <c:axId val="822406792"/>
      </c:lineChart>
      <c:catAx>
        <c:axId val="822406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06792"/>
        <c:crosses val="autoZero"/>
        <c:auto val="1"/>
        <c:lblAlgn val="ctr"/>
        <c:lblOffset val="100"/>
        <c:noMultiLvlLbl val="0"/>
      </c:catAx>
      <c:valAx>
        <c:axId val="82240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0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MonthlyRegres.!$N$12</c:f>
              <c:strCache>
                <c:ptCount val="1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MonthlyRegres.!$G$13:$G$18</c:f>
              <c:numCache>
                <c:formatCode>General</c:formatCode>
                <c:ptCount val="6"/>
                <c:pt idx="0" formatCode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</c:numCache>
            </c:numRef>
          </c:cat>
          <c:val>
            <c:numRef>
              <c:f>MonthlyRegres.!$N$13:$N$17</c:f>
              <c:numCache>
                <c:formatCode>General</c:formatCode>
                <c:ptCount val="5"/>
                <c:pt idx="0">
                  <c:v>205</c:v>
                </c:pt>
                <c:pt idx="1">
                  <c:v>231</c:v>
                </c:pt>
                <c:pt idx="2">
                  <c:v>205</c:v>
                </c:pt>
                <c:pt idx="3">
                  <c:v>288</c:v>
                </c:pt>
                <c:pt idx="4">
                  <c:v>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E-48D0-B3FE-C36EBAF0C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406136"/>
        <c:axId val="822406792"/>
      </c:lineChart>
      <c:catAx>
        <c:axId val="822406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06792"/>
        <c:crosses val="autoZero"/>
        <c:auto val="1"/>
        <c:lblAlgn val="ctr"/>
        <c:lblOffset val="100"/>
        <c:noMultiLvlLbl val="0"/>
      </c:catAx>
      <c:valAx>
        <c:axId val="82240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0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MonthlyRegres.!$O$12</c:f>
              <c:strCache>
                <c:ptCount val="1"/>
                <c:pt idx="0">
                  <c:v>August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MonthlyRegres.!$G$13:$G$18</c:f>
              <c:numCache>
                <c:formatCode>General</c:formatCode>
                <c:ptCount val="6"/>
                <c:pt idx="0" formatCode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</c:numCache>
            </c:numRef>
          </c:cat>
          <c:val>
            <c:numRef>
              <c:f>MonthlyRegres.!$O$13:$O$17</c:f>
              <c:numCache>
                <c:formatCode>General</c:formatCode>
                <c:ptCount val="5"/>
                <c:pt idx="0">
                  <c:v>244</c:v>
                </c:pt>
                <c:pt idx="1">
                  <c:v>327</c:v>
                </c:pt>
                <c:pt idx="2">
                  <c:v>364</c:v>
                </c:pt>
                <c:pt idx="3">
                  <c:v>374</c:v>
                </c:pt>
                <c:pt idx="4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C-47A5-BA86-37518D9B3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406136"/>
        <c:axId val="822406792"/>
      </c:lineChart>
      <c:catAx>
        <c:axId val="822406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06792"/>
        <c:crosses val="autoZero"/>
        <c:auto val="1"/>
        <c:lblAlgn val="ctr"/>
        <c:lblOffset val="100"/>
        <c:noMultiLvlLbl val="0"/>
      </c:catAx>
      <c:valAx>
        <c:axId val="82240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0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MonthlyRegres.!$P$12</c:f>
              <c:strCache>
                <c:ptCount val="1"/>
                <c:pt idx="0">
                  <c:v>September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MonthlyRegres.!$G$13:$G$18</c:f>
              <c:numCache>
                <c:formatCode>General</c:formatCode>
                <c:ptCount val="6"/>
                <c:pt idx="0" formatCode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</c:numCache>
            </c:numRef>
          </c:cat>
          <c:val>
            <c:numRef>
              <c:f>MonthlyRegres.!$P$13:$P$17</c:f>
              <c:numCache>
                <c:formatCode>General</c:formatCode>
                <c:ptCount val="5"/>
                <c:pt idx="0">
                  <c:v>164</c:v>
                </c:pt>
                <c:pt idx="1">
                  <c:v>337</c:v>
                </c:pt>
                <c:pt idx="2">
                  <c:v>263</c:v>
                </c:pt>
                <c:pt idx="3">
                  <c:v>304</c:v>
                </c:pt>
                <c:pt idx="4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4-4131-B5A5-D11BCF8FD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406136"/>
        <c:axId val="822406792"/>
      </c:lineChart>
      <c:catAx>
        <c:axId val="822406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06792"/>
        <c:crosses val="autoZero"/>
        <c:auto val="1"/>
        <c:lblAlgn val="ctr"/>
        <c:lblOffset val="100"/>
        <c:noMultiLvlLbl val="0"/>
      </c:catAx>
      <c:valAx>
        <c:axId val="82240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0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MonthlyRegres.!$Q$12</c:f>
              <c:strCache>
                <c:ptCount val="1"/>
                <c:pt idx="0">
                  <c:v>October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MonthlyRegres.!$G$13:$G$18</c:f>
              <c:numCache>
                <c:formatCode>General</c:formatCode>
                <c:ptCount val="6"/>
                <c:pt idx="0" formatCode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</c:numCache>
            </c:numRef>
          </c:cat>
          <c:val>
            <c:numRef>
              <c:f>MonthlyRegres.!$Q$13:$Q$17</c:f>
              <c:numCache>
                <c:formatCode>General</c:formatCode>
                <c:ptCount val="5"/>
                <c:pt idx="0">
                  <c:v>200</c:v>
                </c:pt>
                <c:pt idx="1">
                  <c:v>247</c:v>
                </c:pt>
                <c:pt idx="2">
                  <c:v>280</c:v>
                </c:pt>
                <c:pt idx="3">
                  <c:v>337</c:v>
                </c:pt>
                <c:pt idx="4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A-496E-80C0-97B24A2A3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406136"/>
        <c:axId val="822406792"/>
      </c:lineChart>
      <c:catAx>
        <c:axId val="822406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06792"/>
        <c:crosses val="autoZero"/>
        <c:auto val="1"/>
        <c:lblAlgn val="ctr"/>
        <c:lblOffset val="100"/>
        <c:noMultiLvlLbl val="0"/>
      </c:catAx>
      <c:valAx>
        <c:axId val="82240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0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MonthlyRegres.!$R$12</c:f>
              <c:strCache>
                <c:ptCount val="1"/>
                <c:pt idx="0">
                  <c:v>November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MonthlyRegres.!$G$13:$G$18</c:f>
              <c:numCache>
                <c:formatCode>General</c:formatCode>
                <c:ptCount val="6"/>
                <c:pt idx="0" formatCode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</c:numCache>
            </c:numRef>
          </c:cat>
          <c:val>
            <c:numRef>
              <c:f>MonthlyRegres.!$R$13:$R$17</c:f>
              <c:numCache>
                <c:formatCode>General</c:formatCode>
                <c:ptCount val="5"/>
                <c:pt idx="0">
                  <c:v>205</c:v>
                </c:pt>
                <c:pt idx="1">
                  <c:v>234</c:v>
                </c:pt>
                <c:pt idx="2">
                  <c:v>282</c:v>
                </c:pt>
                <c:pt idx="3">
                  <c:v>304</c:v>
                </c:pt>
                <c:pt idx="4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1-415D-92B8-EF9A7A0CA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406136"/>
        <c:axId val="822406792"/>
      </c:lineChart>
      <c:catAx>
        <c:axId val="822406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06792"/>
        <c:crosses val="autoZero"/>
        <c:auto val="1"/>
        <c:lblAlgn val="ctr"/>
        <c:lblOffset val="100"/>
        <c:noMultiLvlLbl val="0"/>
      </c:catAx>
      <c:valAx>
        <c:axId val="82240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0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MonthlyRegres.!$S$12</c:f>
              <c:strCache>
                <c:ptCount val="1"/>
                <c:pt idx="0">
                  <c:v>December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MonthlyRegres.!$G$13:$G$18</c:f>
              <c:numCache>
                <c:formatCode>General</c:formatCode>
                <c:ptCount val="6"/>
                <c:pt idx="0" formatCode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</c:numCache>
            </c:numRef>
          </c:cat>
          <c:val>
            <c:numRef>
              <c:f>MonthlyRegres.!$S$13:$S$17</c:f>
              <c:numCache>
                <c:formatCode>General</c:formatCode>
                <c:ptCount val="5"/>
                <c:pt idx="0">
                  <c:v>229</c:v>
                </c:pt>
                <c:pt idx="1">
                  <c:v>438</c:v>
                </c:pt>
                <c:pt idx="2">
                  <c:v>273</c:v>
                </c:pt>
                <c:pt idx="3">
                  <c:v>357</c:v>
                </c:pt>
                <c:pt idx="4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8-406A-B759-1B0082ACB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406136"/>
        <c:axId val="822406792"/>
      </c:lineChart>
      <c:catAx>
        <c:axId val="822406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06792"/>
        <c:crosses val="autoZero"/>
        <c:auto val="1"/>
        <c:lblAlgn val="ctr"/>
        <c:lblOffset val="100"/>
        <c:noMultiLvlLbl val="0"/>
      </c:catAx>
      <c:valAx>
        <c:axId val="82240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0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Regression Parsed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MonthlyRegres.!$G$13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MonthlyRegres.!$H$12:$S$12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MonthlyRegres.!$H$13:$S$13</c:f>
              <c:numCache>
                <c:formatCode>General</c:formatCode>
                <c:ptCount val="12"/>
                <c:pt idx="0">
                  <c:v>211</c:v>
                </c:pt>
                <c:pt idx="1">
                  <c:v>338</c:v>
                </c:pt>
                <c:pt idx="2">
                  <c:v>191</c:v>
                </c:pt>
                <c:pt idx="3">
                  <c:v>192</c:v>
                </c:pt>
                <c:pt idx="4">
                  <c:v>138</c:v>
                </c:pt>
                <c:pt idx="5">
                  <c:v>148</c:v>
                </c:pt>
                <c:pt idx="6">
                  <c:v>205</c:v>
                </c:pt>
                <c:pt idx="7">
                  <c:v>244</c:v>
                </c:pt>
                <c:pt idx="8">
                  <c:v>164</c:v>
                </c:pt>
                <c:pt idx="9">
                  <c:v>200</c:v>
                </c:pt>
                <c:pt idx="10">
                  <c:v>205</c:v>
                </c:pt>
                <c:pt idx="11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2-4E1D-A7BA-EDA8C7B2762F}"/>
            </c:ext>
          </c:extLst>
        </c:ser>
        <c:ser>
          <c:idx val="1"/>
          <c:order val="1"/>
          <c:tx>
            <c:strRef>
              <c:f>MonthlyRegres.!$G$14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MonthlyRegres.!$H$14:$S$14</c:f>
              <c:numCache>
                <c:formatCode>General</c:formatCode>
                <c:ptCount val="12"/>
                <c:pt idx="0">
                  <c:v>244</c:v>
                </c:pt>
                <c:pt idx="1">
                  <c:v>403</c:v>
                </c:pt>
                <c:pt idx="2">
                  <c:v>213</c:v>
                </c:pt>
                <c:pt idx="3">
                  <c:v>244</c:v>
                </c:pt>
                <c:pt idx="4">
                  <c:v>153</c:v>
                </c:pt>
                <c:pt idx="5">
                  <c:v>195</c:v>
                </c:pt>
                <c:pt idx="6">
                  <c:v>231</c:v>
                </c:pt>
                <c:pt idx="7">
                  <c:v>327</c:v>
                </c:pt>
                <c:pt idx="8">
                  <c:v>337</c:v>
                </c:pt>
                <c:pt idx="9">
                  <c:v>247</c:v>
                </c:pt>
                <c:pt idx="10">
                  <c:v>234</c:v>
                </c:pt>
                <c:pt idx="11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2-4E1D-A7BA-EDA8C7B2762F}"/>
            </c:ext>
          </c:extLst>
        </c:ser>
        <c:ser>
          <c:idx val="2"/>
          <c:order val="2"/>
          <c:tx>
            <c:strRef>
              <c:f>MonthlyRegres.!$G$15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MonthlyRegres.!$H$15:$S$15</c:f>
              <c:numCache>
                <c:formatCode>General</c:formatCode>
                <c:ptCount val="12"/>
                <c:pt idx="0">
                  <c:v>291</c:v>
                </c:pt>
                <c:pt idx="1">
                  <c:v>386</c:v>
                </c:pt>
                <c:pt idx="2">
                  <c:v>335</c:v>
                </c:pt>
                <c:pt idx="3">
                  <c:v>278</c:v>
                </c:pt>
                <c:pt idx="4">
                  <c:v>159</c:v>
                </c:pt>
                <c:pt idx="5">
                  <c:v>209</c:v>
                </c:pt>
                <c:pt idx="6">
                  <c:v>205</c:v>
                </c:pt>
                <c:pt idx="7">
                  <c:v>364</c:v>
                </c:pt>
                <c:pt idx="8">
                  <c:v>263</c:v>
                </c:pt>
                <c:pt idx="9">
                  <c:v>280</c:v>
                </c:pt>
                <c:pt idx="10">
                  <c:v>282</c:v>
                </c:pt>
                <c:pt idx="11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D2-4E1D-A7BA-EDA8C7B2762F}"/>
            </c:ext>
          </c:extLst>
        </c:ser>
        <c:ser>
          <c:idx val="3"/>
          <c:order val="3"/>
          <c:tx>
            <c:strRef>
              <c:f>MonthlyRegres.!$G$16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MonthlyRegres.!$H$16:$S$16</c:f>
              <c:numCache>
                <c:formatCode>General</c:formatCode>
                <c:ptCount val="12"/>
                <c:pt idx="0">
                  <c:v>323</c:v>
                </c:pt>
                <c:pt idx="1">
                  <c:v>478</c:v>
                </c:pt>
                <c:pt idx="2">
                  <c:v>327</c:v>
                </c:pt>
                <c:pt idx="3">
                  <c:v>327</c:v>
                </c:pt>
                <c:pt idx="4">
                  <c:v>211</c:v>
                </c:pt>
                <c:pt idx="5">
                  <c:v>342</c:v>
                </c:pt>
                <c:pt idx="6">
                  <c:v>288</c:v>
                </c:pt>
                <c:pt idx="7">
                  <c:v>374</c:v>
                </c:pt>
                <c:pt idx="8">
                  <c:v>304</c:v>
                </c:pt>
                <c:pt idx="9">
                  <c:v>337</c:v>
                </c:pt>
                <c:pt idx="10">
                  <c:v>304</c:v>
                </c:pt>
                <c:pt idx="11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D2-4E1D-A7BA-EDA8C7B2762F}"/>
            </c:ext>
          </c:extLst>
        </c:ser>
        <c:ser>
          <c:idx val="4"/>
          <c:order val="4"/>
          <c:tx>
            <c:strRef>
              <c:f>MonthlyRegres.!$G$17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MonthlyRegres.!$H$17:$S$17</c:f>
              <c:numCache>
                <c:formatCode>General</c:formatCode>
                <c:ptCount val="12"/>
                <c:pt idx="0">
                  <c:v>328</c:v>
                </c:pt>
                <c:pt idx="1">
                  <c:v>512</c:v>
                </c:pt>
                <c:pt idx="2">
                  <c:v>310</c:v>
                </c:pt>
                <c:pt idx="3">
                  <c:v>346</c:v>
                </c:pt>
                <c:pt idx="4">
                  <c:v>261</c:v>
                </c:pt>
                <c:pt idx="5">
                  <c:v>296</c:v>
                </c:pt>
                <c:pt idx="6">
                  <c:v>394</c:v>
                </c:pt>
                <c:pt idx="7">
                  <c:v>331</c:v>
                </c:pt>
                <c:pt idx="8">
                  <c:v>305</c:v>
                </c:pt>
                <c:pt idx="9">
                  <c:v>305</c:v>
                </c:pt>
                <c:pt idx="10">
                  <c:v>321</c:v>
                </c:pt>
                <c:pt idx="11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D2-4E1D-A7BA-EDA8C7B2762F}"/>
            </c:ext>
          </c:extLst>
        </c:ser>
        <c:ser>
          <c:idx val="5"/>
          <c:order val="5"/>
          <c:tx>
            <c:v>2004 (March - December Forecasted)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MonthlyRegres.!$H$18:$S$18</c:f>
              <c:numCache>
                <c:formatCode>General</c:formatCode>
                <c:ptCount val="12"/>
                <c:pt idx="0">
                  <c:v>342</c:v>
                </c:pt>
                <c:pt idx="1">
                  <c:v>535</c:v>
                </c:pt>
                <c:pt idx="2" formatCode="0">
                  <c:v>380.79999999999995</c:v>
                </c:pt>
                <c:pt idx="3" formatCode="0">
                  <c:v>394.7</c:v>
                </c:pt>
                <c:pt idx="4" formatCode="0">
                  <c:v>275.60000000000002</c:v>
                </c:pt>
                <c:pt idx="5" formatCode="0">
                  <c:v>370.9</c:v>
                </c:pt>
                <c:pt idx="6" formatCode="0">
                  <c:v>395.1</c:v>
                </c:pt>
                <c:pt idx="7" formatCode="0">
                  <c:v>394.3</c:v>
                </c:pt>
                <c:pt idx="8" formatCode="0">
                  <c:v>349.3</c:v>
                </c:pt>
                <c:pt idx="9" formatCode="0">
                  <c:v>363.8</c:v>
                </c:pt>
                <c:pt idx="10" formatCode="0">
                  <c:v>359.79999999999995</c:v>
                </c:pt>
                <c:pt idx="11" formatCode="0">
                  <c:v>392.9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D2-4E1D-A7BA-EDA8C7B27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518336"/>
        <c:axId val="901518664"/>
      </c:lineChart>
      <c:catAx>
        <c:axId val="90151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18664"/>
        <c:crosses val="autoZero"/>
        <c:auto val="1"/>
        <c:lblAlgn val="ctr"/>
        <c:lblOffset val="100"/>
        <c:noMultiLvlLbl val="0"/>
      </c:catAx>
      <c:valAx>
        <c:axId val="90151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Regression in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MonthlyRegres.!$B$3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MonthlyRegres.!$A$4:$A$75</c:f>
              <c:numCache>
                <c:formatCode>[$-409]mmm\-yy;@</c:formatCode>
                <c:ptCount val="7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</c:numCache>
            </c:numRef>
          </c:cat>
          <c:val>
            <c:numRef>
              <c:f>MonthlyRegres.!$B$4:$B$75</c:f>
              <c:numCache>
                <c:formatCode>General</c:formatCode>
                <c:ptCount val="72"/>
                <c:pt idx="0">
                  <c:v>211</c:v>
                </c:pt>
                <c:pt idx="1">
                  <c:v>338</c:v>
                </c:pt>
                <c:pt idx="2">
                  <c:v>191</c:v>
                </c:pt>
                <c:pt idx="3">
                  <c:v>192</c:v>
                </c:pt>
                <c:pt idx="4">
                  <c:v>138</c:v>
                </c:pt>
                <c:pt idx="5">
                  <c:v>148</c:v>
                </c:pt>
                <c:pt idx="6">
                  <c:v>205</c:v>
                </c:pt>
                <c:pt idx="7">
                  <c:v>244</c:v>
                </c:pt>
                <c:pt idx="8">
                  <c:v>164</c:v>
                </c:pt>
                <c:pt idx="9">
                  <c:v>200</c:v>
                </c:pt>
                <c:pt idx="10">
                  <c:v>205</c:v>
                </c:pt>
                <c:pt idx="11">
                  <c:v>229</c:v>
                </c:pt>
                <c:pt idx="12">
                  <c:v>244</c:v>
                </c:pt>
                <c:pt idx="13">
                  <c:v>403</c:v>
                </c:pt>
                <c:pt idx="14">
                  <c:v>213</c:v>
                </c:pt>
                <c:pt idx="15">
                  <c:v>244</c:v>
                </c:pt>
                <c:pt idx="16">
                  <c:v>153</c:v>
                </c:pt>
                <c:pt idx="17">
                  <c:v>195</c:v>
                </c:pt>
                <c:pt idx="18">
                  <c:v>231</c:v>
                </c:pt>
                <c:pt idx="19">
                  <c:v>327</c:v>
                </c:pt>
                <c:pt idx="20">
                  <c:v>337</c:v>
                </c:pt>
                <c:pt idx="21">
                  <c:v>247</c:v>
                </c:pt>
                <c:pt idx="22">
                  <c:v>234</c:v>
                </c:pt>
                <c:pt idx="23">
                  <c:v>438</c:v>
                </c:pt>
                <c:pt idx="24">
                  <c:v>291</c:v>
                </c:pt>
                <c:pt idx="25">
                  <c:v>386</c:v>
                </c:pt>
                <c:pt idx="26">
                  <c:v>335</c:v>
                </c:pt>
                <c:pt idx="27">
                  <c:v>278</c:v>
                </c:pt>
                <c:pt idx="28">
                  <c:v>159</c:v>
                </c:pt>
                <c:pt idx="29">
                  <c:v>209</c:v>
                </c:pt>
                <c:pt idx="30">
                  <c:v>205</c:v>
                </c:pt>
                <c:pt idx="31">
                  <c:v>364</c:v>
                </c:pt>
                <c:pt idx="32">
                  <c:v>263</c:v>
                </c:pt>
                <c:pt idx="33">
                  <c:v>280</c:v>
                </c:pt>
                <c:pt idx="34">
                  <c:v>282</c:v>
                </c:pt>
                <c:pt idx="35">
                  <c:v>273</c:v>
                </c:pt>
                <c:pt idx="36">
                  <c:v>323</c:v>
                </c:pt>
                <c:pt idx="37">
                  <c:v>478</c:v>
                </c:pt>
                <c:pt idx="38">
                  <c:v>327</c:v>
                </c:pt>
                <c:pt idx="39">
                  <c:v>327</c:v>
                </c:pt>
                <c:pt idx="40">
                  <c:v>211</c:v>
                </c:pt>
                <c:pt idx="41">
                  <c:v>342</c:v>
                </c:pt>
                <c:pt idx="42">
                  <c:v>288</c:v>
                </c:pt>
                <c:pt idx="43">
                  <c:v>374</c:v>
                </c:pt>
                <c:pt idx="44">
                  <c:v>304</c:v>
                </c:pt>
                <c:pt idx="45">
                  <c:v>337</c:v>
                </c:pt>
                <c:pt idx="46">
                  <c:v>304</c:v>
                </c:pt>
                <c:pt idx="47">
                  <c:v>357</c:v>
                </c:pt>
                <c:pt idx="48">
                  <c:v>328</c:v>
                </c:pt>
                <c:pt idx="49">
                  <c:v>512</c:v>
                </c:pt>
                <c:pt idx="50">
                  <c:v>310</c:v>
                </c:pt>
                <c:pt idx="51">
                  <c:v>346</c:v>
                </c:pt>
                <c:pt idx="52">
                  <c:v>261</c:v>
                </c:pt>
                <c:pt idx="53">
                  <c:v>296</c:v>
                </c:pt>
                <c:pt idx="54">
                  <c:v>394</c:v>
                </c:pt>
                <c:pt idx="55">
                  <c:v>331</c:v>
                </c:pt>
                <c:pt idx="56">
                  <c:v>305</c:v>
                </c:pt>
                <c:pt idx="57">
                  <c:v>305</c:v>
                </c:pt>
                <c:pt idx="58">
                  <c:v>321</c:v>
                </c:pt>
                <c:pt idx="59">
                  <c:v>369</c:v>
                </c:pt>
                <c:pt idx="60">
                  <c:v>342</c:v>
                </c:pt>
                <c:pt idx="61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0-42D1-8CAA-0F8561A355D9}"/>
            </c:ext>
          </c:extLst>
        </c:ser>
        <c:ser>
          <c:idx val="1"/>
          <c:order val="1"/>
          <c:tx>
            <c:strRef>
              <c:f>MonthlyRegres.!$C$3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MonthlyRegres.!$A$4:$A$75</c:f>
              <c:numCache>
                <c:formatCode>[$-409]mmm\-yy;@</c:formatCode>
                <c:ptCount val="7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</c:numCache>
            </c:numRef>
          </c:cat>
          <c:val>
            <c:numRef>
              <c:f>MonthlyRegres.!$C$4:$C$75</c:f>
              <c:numCache>
                <c:formatCode>0.00</c:formatCode>
                <c:ptCount val="72"/>
                <c:pt idx="0">
                  <c:v>216.79999999999998</c:v>
                </c:pt>
                <c:pt idx="1">
                  <c:v>338.8</c:v>
                </c:pt>
                <c:pt idx="2">
                  <c:v>204.79999999999995</c:v>
                </c:pt>
                <c:pt idx="3">
                  <c:v>199.19999999999996</c:v>
                </c:pt>
                <c:pt idx="4">
                  <c:v>123.60000000000002</c:v>
                </c:pt>
                <c:pt idx="5">
                  <c:v>149.40000000000003</c:v>
                </c:pt>
                <c:pt idx="6">
                  <c:v>177.60000000000002</c:v>
                </c:pt>
                <c:pt idx="7">
                  <c:v>283.8</c:v>
                </c:pt>
                <c:pt idx="8">
                  <c:v>224.80000000000004</c:v>
                </c:pt>
                <c:pt idx="9">
                  <c:v>213.8</c:v>
                </c:pt>
                <c:pt idx="10">
                  <c:v>208.79999999999998</c:v>
                </c:pt>
                <c:pt idx="11">
                  <c:v>293.39999999999998</c:v>
                </c:pt>
                <c:pt idx="12">
                  <c:v>248.09999999999997</c:v>
                </c:pt>
                <c:pt idx="13">
                  <c:v>381.1</c:v>
                </c:pt>
                <c:pt idx="14">
                  <c:v>239.99999999999997</c:v>
                </c:pt>
                <c:pt idx="15">
                  <c:v>238.29999999999995</c:v>
                </c:pt>
                <c:pt idx="16">
                  <c:v>154</c:v>
                </c:pt>
                <c:pt idx="17">
                  <c:v>193.70000000000002</c:v>
                </c:pt>
                <c:pt idx="18">
                  <c:v>221.10000000000002</c:v>
                </c:pt>
                <c:pt idx="19">
                  <c:v>305.89999999999998</c:v>
                </c:pt>
                <c:pt idx="20">
                  <c:v>249.70000000000005</c:v>
                </c:pt>
                <c:pt idx="21">
                  <c:v>243.8</c:v>
                </c:pt>
                <c:pt idx="22">
                  <c:v>239</c:v>
                </c:pt>
                <c:pt idx="23">
                  <c:v>313.3</c:v>
                </c:pt>
                <c:pt idx="24">
                  <c:v>279.39999999999998</c:v>
                </c:pt>
                <c:pt idx="25">
                  <c:v>423.4</c:v>
                </c:pt>
                <c:pt idx="26">
                  <c:v>275.2</c:v>
                </c:pt>
                <c:pt idx="27">
                  <c:v>277.39999999999998</c:v>
                </c:pt>
                <c:pt idx="28">
                  <c:v>184.4</c:v>
                </c:pt>
                <c:pt idx="29">
                  <c:v>238</c:v>
                </c:pt>
                <c:pt idx="30">
                  <c:v>264.60000000000002</c:v>
                </c:pt>
                <c:pt idx="31">
                  <c:v>328</c:v>
                </c:pt>
                <c:pt idx="32">
                  <c:v>274.60000000000002</c:v>
                </c:pt>
                <c:pt idx="33">
                  <c:v>273.8</c:v>
                </c:pt>
                <c:pt idx="34">
                  <c:v>269.2</c:v>
                </c:pt>
                <c:pt idx="35">
                  <c:v>333.2</c:v>
                </c:pt>
                <c:pt idx="36">
                  <c:v>310.7</c:v>
                </c:pt>
                <c:pt idx="37">
                  <c:v>465.7</c:v>
                </c:pt>
                <c:pt idx="38">
                  <c:v>310.39999999999998</c:v>
                </c:pt>
                <c:pt idx="39">
                  <c:v>316.5</c:v>
                </c:pt>
                <c:pt idx="40">
                  <c:v>214.8</c:v>
                </c:pt>
                <c:pt idx="41">
                  <c:v>282.3</c:v>
                </c:pt>
                <c:pt idx="42">
                  <c:v>308.10000000000002</c:v>
                </c:pt>
                <c:pt idx="43">
                  <c:v>350.1</c:v>
                </c:pt>
                <c:pt idx="44">
                  <c:v>299.5</c:v>
                </c:pt>
                <c:pt idx="45">
                  <c:v>303.8</c:v>
                </c:pt>
                <c:pt idx="46">
                  <c:v>299.39999999999998</c:v>
                </c:pt>
                <c:pt idx="47">
                  <c:v>353.1</c:v>
                </c:pt>
                <c:pt idx="48">
                  <c:v>342</c:v>
                </c:pt>
                <c:pt idx="49">
                  <c:v>508</c:v>
                </c:pt>
                <c:pt idx="50">
                  <c:v>345.59999999999997</c:v>
                </c:pt>
                <c:pt idx="51">
                  <c:v>355.59999999999997</c:v>
                </c:pt>
                <c:pt idx="52">
                  <c:v>245.20000000000002</c:v>
                </c:pt>
                <c:pt idx="53">
                  <c:v>326.60000000000002</c:v>
                </c:pt>
                <c:pt idx="54">
                  <c:v>351.6</c:v>
                </c:pt>
                <c:pt idx="55">
                  <c:v>372.2</c:v>
                </c:pt>
                <c:pt idx="56">
                  <c:v>324.40000000000003</c:v>
                </c:pt>
                <c:pt idx="57">
                  <c:v>333.8</c:v>
                </c:pt>
                <c:pt idx="58">
                  <c:v>329.6</c:v>
                </c:pt>
                <c:pt idx="59">
                  <c:v>373</c:v>
                </c:pt>
                <c:pt idx="60">
                  <c:v>373.29999999999995</c:v>
                </c:pt>
                <c:pt idx="61">
                  <c:v>550.29999999999995</c:v>
                </c:pt>
                <c:pt idx="62">
                  <c:v>380.79999999999995</c:v>
                </c:pt>
                <c:pt idx="63">
                  <c:v>394.7</c:v>
                </c:pt>
                <c:pt idx="64">
                  <c:v>275.60000000000002</c:v>
                </c:pt>
                <c:pt idx="65">
                  <c:v>370.9</c:v>
                </c:pt>
                <c:pt idx="66">
                  <c:v>395.1</c:v>
                </c:pt>
                <c:pt idx="67">
                  <c:v>394.3</c:v>
                </c:pt>
                <c:pt idx="68">
                  <c:v>349.3</c:v>
                </c:pt>
                <c:pt idx="69">
                  <c:v>363.8</c:v>
                </c:pt>
                <c:pt idx="70">
                  <c:v>359.79999999999995</c:v>
                </c:pt>
                <c:pt idx="71">
                  <c:v>392.9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0-42D1-8CAA-0F8561A35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21376"/>
        <c:axId val="1026328592"/>
      </c:lineChart>
      <c:dateAx>
        <c:axId val="102632137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28592"/>
        <c:crosses val="autoZero"/>
        <c:auto val="1"/>
        <c:lblOffset val="100"/>
        <c:baseTimeUnit val="months"/>
      </c:dateAx>
      <c:valAx>
        <c:axId val="10263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2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Decomposition!$B$3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Decomposition!$A$4:$A$75</c:f>
              <c:numCache>
                <c:formatCode>[$-409]mmm\-yy;@</c:formatCode>
                <c:ptCount val="7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</c:numCache>
            </c:numRef>
          </c:cat>
          <c:val>
            <c:numRef>
              <c:f>Decomposition!$B$4:$B$75</c:f>
              <c:numCache>
                <c:formatCode>General</c:formatCode>
                <c:ptCount val="72"/>
                <c:pt idx="0">
                  <c:v>211</c:v>
                </c:pt>
                <c:pt idx="1">
                  <c:v>338</c:v>
                </c:pt>
                <c:pt idx="2">
                  <c:v>191</c:v>
                </c:pt>
                <c:pt idx="3">
                  <c:v>192</c:v>
                </c:pt>
                <c:pt idx="4">
                  <c:v>138</c:v>
                </c:pt>
                <c:pt idx="5">
                  <c:v>148</c:v>
                </c:pt>
                <c:pt idx="6">
                  <c:v>205</c:v>
                </c:pt>
                <c:pt idx="7">
                  <c:v>244</c:v>
                </c:pt>
                <c:pt idx="8">
                  <c:v>164</c:v>
                </c:pt>
                <c:pt idx="9">
                  <c:v>200</c:v>
                </c:pt>
                <c:pt idx="10">
                  <c:v>205</c:v>
                </c:pt>
                <c:pt idx="11">
                  <c:v>229</c:v>
                </c:pt>
                <c:pt idx="12">
                  <c:v>244</c:v>
                </c:pt>
                <c:pt idx="13">
                  <c:v>403</c:v>
                </c:pt>
                <c:pt idx="14">
                  <c:v>213</c:v>
                </c:pt>
                <c:pt idx="15">
                  <c:v>244</c:v>
                </c:pt>
                <c:pt idx="16">
                  <c:v>153</c:v>
                </c:pt>
                <c:pt idx="17">
                  <c:v>195</c:v>
                </c:pt>
                <c:pt idx="18">
                  <c:v>231</c:v>
                </c:pt>
                <c:pt idx="19">
                  <c:v>327</c:v>
                </c:pt>
                <c:pt idx="20">
                  <c:v>337</c:v>
                </c:pt>
                <c:pt idx="21">
                  <c:v>247</c:v>
                </c:pt>
                <c:pt idx="22">
                  <c:v>234</c:v>
                </c:pt>
                <c:pt idx="23">
                  <c:v>438</c:v>
                </c:pt>
                <c:pt idx="24">
                  <c:v>291</c:v>
                </c:pt>
                <c:pt idx="25">
                  <c:v>386</c:v>
                </c:pt>
                <c:pt idx="26">
                  <c:v>335</c:v>
                </c:pt>
                <c:pt idx="27">
                  <c:v>278</c:v>
                </c:pt>
                <c:pt idx="28">
                  <c:v>159</c:v>
                </c:pt>
                <c:pt idx="29">
                  <c:v>209</c:v>
                </c:pt>
                <c:pt idx="30">
                  <c:v>205</c:v>
                </c:pt>
                <c:pt idx="31">
                  <c:v>364</c:v>
                </c:pt>
                <c:pt idx="32">
                  <c:v>263</c:v>
                </c:pt>
                <c:pt idx="33">
                  <c:v>280</c:v>
                </c:pt>
                <c:pt idx="34">
                  <c:v>282</c:v>
                </c:pt>
                <c:pt idx="35">
                  <c:v>273</c:v>
                </c:pt>
                <c:pt idx="36">
                  <c:v>323</c:v>
                </c:pt>
                <c:pt idx="37">
                  <c:v>478</c:v>
                </c:pt>
                <c:pt idx="38">
                  <c:v>327</c:v>
                </c:pt>
                <c:pt idx="39">
                  <c:v>327</c:v>
                </c:pt>
                <c:pt idx="40">
                  <c:v>211</c:v>
                </c:pt>
                <c:pt idx="41">
                  <c:v>342</c:v>
                </c:pt>
                <c:pt idx="42">
                  <c:v>288</c:v>
                </c:pt>
                <c:pt idx="43">
                  <c:v>374</c:v>
                </c:pt>
                <c:pt idx="44">
                  <c:v>304</c:v>
                </c:pt>
                <c:pt idx="45">
                  <c:v>337</c:v>
                </c:pt>
                <c:pt idx="46">
                  <c:v>304</c:v>
                </c:pt>
                <c:pt idx="47">
                  <c:v>357</c:v>
                </c:pt>
                <c:pt idx="48">
                  <c:v>328</c:v>
                </c:pt>
                <c:pt idx="49">
                  <c:v>512</c:v>
                </c:pt>
                <c:pt idx="50">
                  <c:v>310</c:v>
                </c:pt>
                <c:pt idx="51">
                  <c:v>346</c:v>
                </c:pt>
                <c:pt idx="52">
                  <c:v>261</c:v>
                </c:pt>
                <c:pt idx="53">
                  <c:v>296</c:v>
                </c:pt>
                <c:pt idx="54">
                  <c:v>394</c:v>
                </c:pt>
                <c:pt idx="55">
                  <c:v>331</c:v>
                </c:pt>
                <c:pt idx="56">
                  <c:v>305</c:v>
                </c:pt>
                <c:pt idx="57">
                  <c:v>305</c:v>
                </c:pt>
                <c:pt idx="58">
                  <c:v>321</c:v>
                </c:pt>
                <c:pt idx="59">
                  <c:v>369</c:v>
                </c:pt>
                <c:pt idx="60">
                  <c:v>342</c:v>
                </c:pt>
                <c:pt idx="61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D-4BA3-B833-E01F5DB45DA1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3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Decomposition!$H$4:$H$75</c:f>
              <c:numCache>
                <c:formatCode>0.00</c:formatCode>
                <c:ptCount val="72"/>
                <c:pt idx="0">
                  <c:v>171.98861356029246</c:v>
                </c:pt>
                <c:pt idx="1">
                  <c:v>317.75719300935549</c:v>
                </c:pt>
                <c:pt idx="2">
                  <c:v>207.73407729536865</c:v>
                </c:pt>
                <c:pt idx="3">
                  <c:v>211.19639877153293</c:v>
                </c:pt>
                <c:pt idx="4">
                  <c:v>141.95243157791572</c:v>
                </c:pt>
                <c:pt idx="5">
                  <c:v>183.1629136654031</c:v>
                </c:pt>
                <c:pt idx="6">
                  <c:v>208.96528107907801</c:v>
                </c:pt>
                <c:pt idx="7">
                  <c:v>266.04635496731782</c:v>
                </c:pt>
                <c:pt idx="8">
                  <c:v>222.61506402130956</c:v>
                </c:pt>
                <c:pt idx="9">
                  <c:v>225.50188686976878</c:v>
                </c:pt>
                <c:pt idx="10">
                  <c:v>224.86201761243532</c:v>
                </c:pt>
                <c:pt idx="11">
                  <c:v>281.94369147866308</c:v>
                </c:pt>
                <c:pt idx="12">
                  <c:v>198.8367797036606</c:v>
                </c:pt>
                <c:pt idx="13">
                  <c:v>366.72347722431385</c:v>
                </c:pt>
                <c:pt idx="14">
                  <c:v>239.33996231862895</c:v>
                </c:pt>
                <c:pt idx="15">
                  <c:v>242.92675812611259</c:v>
                </c:pt>
                <c:pt idx="16">
                  <c:v>163.01579261620026</c:v>
                </c:pt>
                <c:pt idx="17">
                  <c:v>210.00925708479519</c:v>
                </c:pt>
                <c:pt idx="18">
                  <c:v>239.22391323598248</c:v>
                </c:pt>
                <c:pt idx="19">
                  <c:v>304.11113019971725</c:v>
                </c:pt>
                <c:pt idx="20">
                  <c:v>254.09059377462762</c:v>
                </c:pt>
                <c:pt idx="21">
                  <c:v>257.01428960384141</c:v>
                </c:pt>
                <c:pt idx="22">
                  <c:v>255.92328554147093</c:v>
                </c:pt>
                <c:pt idx="23">
                  <c:v>320.44670735552376</c:v>
                </c:pt>
                <c:pt idx="24">
                  <c:v>225.68494584702867</c:v>
                </c:pt>
                <c:pt idx="25">
                  <c:v>415.6897614392721</c:v>
                </c:pt>
                <c:pt idx="26">
                  <c:v>270.94584734188925</c:v>
                </c:pt>
                <c:pt idx="27">
                  <c:v>274.65711748069225</c:v>
                </c:pt>
                <c:pt idx="28">
                  <c:v>184.0791536544848</c:v>
                </c:pt>
                <c:pt idx="29">
                  <c:v>236.85560050418735</c:v>
                </c:pt>
                <c:pt idx="30">
                  <c:v>269.482545392887</c:v>
                </c:pt>
                <c:pt idx="31">
                  <c:v>342.17590543211674</c:v>
                </c:pt>
                <c:pt idx="32">
                  <c:v>285.56612352794571</c:v>
                </c:pt>
                <c:pt idx="33">
                  <c:v>288.52669233791403</c:v>
                </c:pt>
                <c:pt idx="34">
                  <c:v>286.98455347050657</c:v>
                </c:pt>
                <c:pt idx="35">
                  <c:v>358.94972323238443</c:v>
                </c:pt>
                <c:pt idx="36">
                  <c:v>252.5331119903968</c:v>
                </c:pt>
                <c:pt idx="37">
                  <c:v>464.65604565423052</c:v>
                </c:pt>
                <c:pt idx="38">
                  <c:v>302.55173236514958</c:v>
                </c:pt>
                <c:pt idx="39">
                  <c:v>306.38747683527191</c:v>
                </c:pt>
                <c:pt idx="40">
                  <c:v>205.14251469276934</c:v>
                </c:pt>
                <c:pt idx="41">
                  <c:v>263.70194392357951</c:v>
                </c:pt>
                <c:pt idx="42">
                  <c:v>299.74117754979153</c:v>
                </c:pt>
                <c:pt idx="43">
                  <c:v>380.24068066451616</c:v>
                </c:pt>
                <c:pt idx="44">
                  <c:v>317.04165328126379</c:v>
                </c:pt>
                <c:pt idx="45">
                  <c:v>320.03909507198665</c:v>
                </c:pt>
                <c:pt idx="46">
                  <c:v>318.04582139954221</c:v>
                </c:pt>
                <c:pt idx="47">
                  <c:v>397.4527391092451</c:v>
                </c:pt>
                <c:pt idx="48">
                  <c:v>279.38127813376491</c:v>
                </c:pt>
                <c:pt idx="49">
                  <c:v>513.62232986918877</c:v>
                </c:pt>
                <c:pt idx="50">
                  <c:v>334.15761738840985</c:v>
                </c:pt>
                <c:pt idx="51">
                  <c:v>338.11783618985152</c:v>
                </c:pt>
                <c:pt idx="52">
                  <c:v>226.20587573105385</c:v>
                </c:pt>
                <c:pt idx="53">
                  <c:v>290.54828734297161</c:v>
                </c:pt>
                <c:pt idx="54">
                  <c:v>329.999809706696</c:v>
                </c:pt>
                <c:pt idx="55">
                  <c:v>418.30545589691559</c:v>
                </c:pt>
                <c:pt idx="56">
                  <c:v>348.51718303458182</c:v>
                </c:pt>
                <c:pt idx="57">
                  <c:v>351.55149780605927</c:v>
                </c:pt>
                <c:pt idx="58">
                  <c:v>349.10708932857779</c:v>
                </c:pt>
                <c:pt idx="59">
                  <c:v>435.95575498610583</c:v>
                </c:pt>
                <c:pt idx="60">
                  <c:v>306.22944427713304</c:v>
                </c:pt>
                <c:pt idx="61">
                  <c:v>562.58861408414714</c:v>
                </c:pt>
                <c:pt idx="62">
                  <c:v>365.76350241167017</c:v>
                </c:pt>
                <c:pt idx="63">
                  <c:v>369.84819554443118</c:v>
                </c:pt>
                <c:pt idx="64">
                  <c:v>247.26923676933839</c:v>
                </c:pt>
                <c:pt idx="65">
                  <c:v>317.3946307623637</c:v>
                </c:pt>
                <c:pt idx="66">
                  <c:v>360.25844186360047</c:v>
                </c:pt>
                <c:pt idx="67">
                  <c:v>456.37023112931502</c:v>
                </c:pt>
                <c:pt idx="68">
                  <c:v>379.99271278789996</c:v>
                </c:pt>
                <c:pt idx="69">
                  <c:v>383.06390054013195</c:v>
                </c:pt>
                <c:pt idx="70">
                  <c:v>380.16835725761348</c:v>
                </c:pt>
                <c:pt idx="71">
                  <c:v>474.4587708629665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D-4BA3-B833-E01F5DB45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005672"/>
        <c:axId val="869003048"/>
      </c:lineChart>
      <c:dateAx>
        <c:axId val="86900567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03048"/>
        <c:crosses val="autoZero"/>
        <c:auto val="1"/>
        <c:lblOffset val="100"/>
        <c:baseTimeUnit val="months"/>
      </c:dateAx>
      <c:valAx>
        <c:axId val="86900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0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Data'!$B$2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Data'!$A$3:$A$74</c:f>
              <c:numCache>
                <c:formatCode>[$-409]mmm\-yy;@</c:formatCode>
                <c:ptCount val="7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</c:numCache>
            </c:numRef>
          </c:cat>
          <c:val>
            <c:numRef>
              <c:f>'Monthly Data'!$B$3:$B$74</c:f>
              <c:numCache>
                <c:formatCode>General</c:formatCode>
                <c:ptCount val="72"/>
                <c:pt idx="0">
                  <c:v>211</c:v>
                </c:pt>
                <c:pt idx="1">
                  <c:v>338</c:v>
                </c:pt>
                <c:pt idx="2">
                  <c:v>191</c:v>
                </c:pt>
                <c:pt idx="3">
                  <c:v>192</c:v>
                </c:pt>
                <c:pt idx="4">
                  <c:v>138</c:v>
                </c:pt>
                <c:pt idx="5">
                  <c:v>148</c:v>
                </c:pt>
                <c:pt idx="6">
                  <c:v>205</c:v>
                </c:pt>
                <c:pt idx="7">
                  <c:v>244</c:v>
                </c:pt>
                <c:pt idx="8">
                  <c:v>164</c:v>
                </c:pt>
                <c:pt idx="9">
                  <c:v>200</c:v>
                </c:pt>
                <c:pt idx="10">
                  <c:v>205</c:v>
                </c:pt>
                <c:pt idx="11">
                  <c:v>229</c:v>
                </c:pt>
                <c:pt idx="12">
                  <c:v>244</c:v>
                </c:pt>
                <c:pt idx="13">
                  <c:v>403</c:v>
                </c:pt>
                <c:pt idx="14">
                  <c:v>213</c:v>
                </c:pt>
                <c:pt idx="15">
                  <c:v>244</c:v>
                </c:pt>
                <c:pt idx="16">
                  <c:v>153</c:v>
                </c:pt>
                <c:pt idx="17">
                  <c:v>195</c:v>
                </c:pt>
                <c:pt idx="18">
                  <c:v>231</c:v>
                </c:pt>
                <c:pt idx="19">
                  <c:v>327</c:v>
                </c:pt>
                <c:pt idx="20">
                  <c:v>337</c:v>
                </c:pt>
                <c:pt idx="21">
                  <c:v>247</c:v>
                </c:pt>
                <c:pt idx="22">
                  <c:v>234</c:v>
                </c:pt>
                <c:pt idx="23">
                  <c:v>438</c:v>
                </c:pt>
                <c:pt idx="24">
                  <c:v>291</c:v>
                </c:pt>
                <c:pt idx="25">
                  <c:v>386</c:v>
                </c:pt>
                <c:pt idx="26">
                  <c:v>335</c:v>
                </c:pt>
                <c:pt idx="27">
                  <c:v>278</c:v>
                </c:pt>
                <c:pt idx="28">
                  <c:v>159</c:v>
                </c:pt>
                <c:pt idx="29">
                  <c:v>209</c:v>
                </c:pt>
                <c:pt idx="30">
                  <c:v>205</c:v>
                </c:pt>
                <c:pt idx="31">
                  <c:v>364</c:v>
                </c:pt>
                <c:pt idx="32">
                  <c:v>263</c:v>
                </c:pt>
                <c:pt idx="33">
                  <c:v>280</c:v>
                </c:pt>
                <c:pt idx="34">
                  <c:v>282</c:v>
                </c:pt>
                <c:pt idx="35">
                  <c:v>273</c:v>
                </c:pt>
                <c:pt idx="36">
                  <c:v>323</c:v>
                </c:pt>
                <c:pt idx="37">
                  <c:v>478</c:v>
                </c:pt>
                <c:pt idx="38">
                  <c:v>327</c:v>
                </c:pt>
                <c:pt idx="39">
                  <c:v>327</c:v>
                </c:pt>
                <c:pt idx="40">
                  <c:v>211</c:v>
                </c:pt>
                <c:pt idx="41">
                  <c:v>342</c:v>
                </c:pt>
                <c:pt idx="42">
                  <c:v>288</c:v>
                </c:pt>
                <c:pt idx="43">
                  <c:v>374</c:v>
                </c:pt>
                <c:pt idx="44">
                  <c:v>304</c:v>
                </c:pt>
                <c:pt idx="45">
                  <c:v>337</c:v>
                </c:pt>
                <c:pt idx="46">
                  <c:v>304</c:v>
                </c:pt>
                <c:pt idx="47">
                  <c:v>357</c:v>
                </c:pt>
                <c:pt idx="48">
                  <c:v>328</c:v>
                </c:pt>
                <c:pt idx="49">
                  <c:v>512</c:v>
                </c:pt>
                <c:pt idx="50">
                  <c:v>310</c:v>
                </c:pt>
                <c:pt idx="51">
                  <c:v>346</c:v>
                </c:pt>
                <c:pt idx="52">
                  <c:v>261</c:v>
                </c:pt>
                <c:pt idx="53">
                  <c:v>296</c:v>
                </c:pt>
                <c:pt idx="54">
                  <c:v>394</c:v>
                </c:pt>
                <c:pt idx="55">
                  <c:v>331</c:v>
                </c:pt>
                <c:pt idx="56">
                  <c:v>305</c:v>
                </c:pt>
                <c:pt idx="57">
                  <c:v>305</c:v>
                </c:pt>
                <c:pt idx="58">
                  <c:v>321</c:v>
                </c:pt>
                <c:pt idx="59">
                  <c:v>369</c:v>
                </c:pt>
                <c:pt idx="60">
                  <c:v>342</c:v>
                </c:pt>
                <c:pt idx="61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F-47A8-97A7-126E580E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608568"/>
        <c:axId val="929614144"/>
      </c:lineChart>
      <c:dateAx>
        <c:axId val="92960856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614144"/>
        <c:crosses val="autoZero"/>
        <c:auto val="1"/>
        <c:lblOffset val="100"/>
        <c:baseTimeUnit val="months"/>
      </c:dateAx>
      <c:valAx>
        <c:axId val="9296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60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Seasonalized and Monthly Regression Forecast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 (Actual)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Decomposition!$A$4:$A$75</c:f>
              <c:numCache>
                <c:formatCode>[$-409]mmm\-yy;@</c:formatCode>
                <c:ptCount val="7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</c:numCache>
            </c:numRef>
          </c:cat>
          <c:val>
            <c:numRef>
              <c:f>Decomposition!$B$4:$B$75</c:f>
              <c:numCache>
                <c:formatCode>General</c:formatCode>
                <c:ptCount val="72"/>
                <c:pt idx="0">
                  <c:v>211</c:v>
                </c:pt>
                <c:pt idx="1">
                  <c:v>338</c:v>
                </c:pt>
                <c:pt idx="2">
                  <c:v>191</c:v>
                </c:pt>
                <c:pt idx="3">
                  <c:v>192</c:v>
                </c:pt>
                <c:pt idx="4">
                  <c:v>138</c:v>
                </c:pt>
                <c:pt idx="5">
                  <c:v>148</c:v>
                </c:pt>
                <c:pt idx="6">
                  <c:v>205</c:v>
                </c:pt>
                <c:pt idx="7">
                  <c:v>244</c:v>
                </c:pt>
                <c:pt idx="8">
                  <c:v>164</c:v>
                </c:pt>
                <c:pt idx="9">
                  <c:v>200</c:v>
                </c:pt>
                <c:pt idx="10">
                  <c:v>205</c:v>
                </c:pt>
                <c:pt idx="11">
                  <c:v>229</c:v>
                </c:pt>
                <c:pt idx="12">
                  <c:v>244</c:v>
                </c:pt>
                <c:pt idx="13">
                  <c:v>403</c:v>
                </c:pt>
                <c:pt idx="14">
                  <c:v>213</c:v>
                </c:pt>
                <c:pt idx="15">
                  <c:v>244</c:v>
                </c:pt>
                <c:pt idx="16">
                  <c:v>153</c:v>
                </c:pt>
                <c:pt idx="17">
                  <c:v>195</c:v>
                </c:pt>
                <c:pt idx="18">
                  <c:v>231</c:v>
                </c:pt>
                <c:pt idx="19">
                  <c:v>327</c:v>
                </c:pt>
                <c:pt idx="20">
                  <c:v>337</c:v>
                </c:pt>
                <c:pt idx="21">
                  <c:v>247</c:v>
                </c:pt>
                <c:pt idx="22">
                  <c:v>234</c:v>
                </c:pt>
                <c:pt idx="23">
                  <c:v>438</c:v>
                </c:pt>
                <c:pt idx="24">
                  <c:v>291</c:v>
                </c:pt>
                <c:pt idx="25">
                  <c:v>386</c:v>
                </c:pt>
                <c:pt idx="26">
                  <c:v>335</c:v>
                </c:pt>
                <c:pt idx="27">
                  <c:v>278</c:v>
                </c:pt>
                <c:pt idx="28">
                  <c:v>159</c:v>
                </c:pt>
                <c:pt idx="29">
                  <c:v>209</c:v>
                </c:pt>
                <c:pt idx="30">
                  <c:v>205</c:v>
                </c:pt>
                <c:pt idx="31">
                  <c:v>364</c:v>
                </c:pt>
                <c:pt idx="32">
                  <c:v>263</c:v>
                </c:pt>
                <c:pt idx="33">
                  <c:v>280</c:v>
                </c:pt>
                <c:pt idx="34">
                  <c:v>282</c:v>
                </c:pt>
                <c:pt idx="35">
                  <c:v>273</c:v>
                </c:pt>
                <c:pt idx="36">
                  <c:v>323</c:v>
                </c:pt>
                <c:pt idx="37">
                  <c:v>478</c:v>
                </c:pt>
                <c:pt idx="38">
                  <c:v>327</c:v>
                </c:pt>
                <c:pt idx="39">
                  <c:v>327</c:v>
                </c:pt>
                <c:pt idx="40">
                  <c:v>211</c:v>
                </c:pt>
                <c:pt idx="41">
                  <c:v>342</c:v>
                </c:pt>
                <c:pt idx="42">
                  <c:v>288</c:v>
                </c:pt>
                <c:pt idx="43">
                  <c:v>374</c:v>
                </c:pt>
                <c:pt idx="44">
                  <c:v>304</c:v>
                </c:pt>
                <c:pt idx="45">
                  <c:v>337</c:v>
                </c:pt>
                <c:pt idx="46">
                  <c:v>304</c:v>
                </c:pt>
                <c:pt idx="47">
                  <c:v>357</c:v>
                </c:pt>
                <c:pt idx="48">
                  <c:v>328</c:v>
                </c:pt>
                <c:pt idx="49">
                  <c:v>512</c:v>
                </c:pt>
                <c:pt idx="50">
                  <c:v>310</c:v>
                </c:pt>
                <c:pt idx="51">
                  <c:v>346</c:v>
                </c:pt>
                <c:pt idx="52">
                  <c:v>261</c:v>
                </c:pt>
                <c:pt idx="53">
                  <c:v>296</c:v>
                </c:pt>
                <c:pt idx="54">
                  <c:v>394</c:v>
                </c:pt>
                <c:pt idx="55">
                  <c:v>331</c:v>
                </c:pt>
                <c:pt idx="56">
                  <c:v>305</c:v>
                </c:pt>
                <c:pt idx="57">
                  <c:v>305</c:v>
                </c:pt>
                <c:pt idx="58">
                  <c:v>321</c:v>
                </c:pt>
                <c:pt idx="59">
                  <c:v>369</c:v>
                </c:pt>
                <c:pt idx="60">
                  <c:v>342</c:v>
                </c:pt>
                <c:pt idx="61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4-489B-973C-B3941CA561C7}"/>
            </c:ext>
          </c:extLst>
        </c:ser>
        <c:ser>
          <c:idx val="1"/>
          <c:order val="1"/>
          <c:tx>
            <c:v>Seasonalized Forecast</c:v>
          </c:tx>
          <c:spPr>
            <a:ln w="28575" cap="rnd">
              <a:solidFill>
                <a:schemeClr val="accent2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Decomposition!$H$4:$H$75</c:f>
              <c:numCache>
                <c:formatCode>0.00</c:formatCode>
                <c:ptCount val="72"/>
                <c:pt idx="0">
                  <c:v>171.98861356029246</c:v>
                </c:pt>
                <c:pt idx="1">
                  <c:v>317.75719300935549</c:v>
                </c:pt>
                <c:pt idx="2">
                  <c:v>207.73407729536865</c:v>
                </c:pt>
                <c:pt idx="3">
                  <c:v>211.19639877153293</c:v>
                </c:pt>
                <c:pt idx="4">
                  <c:v>141.95243157791572</c:v>
                </c:pt>
                <c:pt idx="5">
                  <c:v>183.1629136654031</c:v>
                </c:pt>
                <c:pt idx="6">
                  <c:v>208.96528107907801</c:v>
                </c:pt>
                <c:pt idx="7">
                  <c:v>266.04635496731782</c:v>
                </c:pt>
                <c:pt idx="8">
                  <c:v>222.61506402130956</c:v>
                </c:pt>
                <c:pt idx="9">
                  <c:v>225.50188686976878</c:v>
                </c:pt>
                <c:pt idx="10">
                  <c:v>224.86201761243532</c:v>
                </c:pt>
                <c:pt idx="11">
                  <c:v>281.94369147866308</c:v>
                </c:pt>
                <c:pt idx="12">
                  <c:v>198.8367797036606</c:v>
                </c:pt>
                <c:pt idx="13">
                  <c:v>366.72347722431385</c:v>
                </c:pt>
                <c:pt idx="14">
                  <c:v>239.33996231862895</c:v>
                </c:pt>
                <c:pt idx="15">
                  <c:v>242.92675812611259</c:v>
                </c:pt>
                <c:pt idx="16">
                  <c:v>163.01579261620026</c:v>
                </c:pt>
                <c:pt idx="17">
                  <c:v>210.00925708479519</c:v>
                </c:pt>
                <c:pt idx="18">
                  <c:v>239.22391323598248</c:v>
                </c:pt>
                <c:pt idx="19">
                  <c:v>304.11113019971725</c:v>
                </c:pt>
                <c:pt idx="20">
                  <c:v>254.09059377462762</c:v>
                </c:pt>
                <c:pt idx="21">
                  <c:v>257.01428960384141</c:v>
                </c:pt>
                <c:pt idx="22">
                  <c:v>255.92328554147093</c:v>
                </c:pt>
                <c:pt idx="23">
                  <c:v>320.44670735552376</c:v>
                </c:pt>
                <c:pt idx="24">
                  <c:v>225.68494584702867</c:v>
                </c:pt>
                <c:pt idx="25">
                  <c:v>415.6897614392721</c:v>
                </c:pt>
                <c:pt idx="26">
                  <c:v>270.94584734188925</c:v>
                </c:pt>
                <c:pt idx="27">
                  <c:v>274.65711748069225</c:v>
                </c:pt>
                <c:pt idx="28">
                  <c:v>184.0791536544848</c:v>
                </c:pt>
                <c:pt idx="29">
                  <c:v>236.85560050418735</c:v>
                </c:pt>
                <c:pt idx="30">
                  <c:v>269.482545392887</c:v>
                </c:pt>
                <c:pt idx="31">
                  <c:v>342.17590543211674</c:v>
                </c:pt>
                <c:pt idx="32">
                  <c:v>285.56612352794571</c:v>
                </c:pt>
                <c:pt idx="33">
                  <c:v>288.52669233791403</c:v>
                </c:pt>
                <c:pt idx="34">
                  <c:v>286.98455347050657</c:v>
                </c:pt>
                <c:pt idx="35">
                  <c:v>358.94972323238443</c:v>
                </c:pt>
                <c:pt idx="36">
                  <c:v>252.5331119903968</c:v>
                </c:pt>
                <c:pt idx="37">
                  <c:v>464.65604565423052</c:v>
                </c:pt>
                <c:pt idx="38">
                  <c:v>302.55173236514958</c:v>
                </c:pt>
                <c:pt idx="39">
                  <c:v>306.38747683527191</c:v>
                </c:pt>
                <c:pt idx="40">
                  <c:v>205.14251469276934</c:v>
                </c:pt>
                <c:pt idx="41">
                  <c:v>263.70194392357951</c:v>
                </c:pt>
                <c:pt idx="42">
                  <c:v>299.74117754979153</c:v>
                </c:pt>
                <c:pt idx="43">
                  <c:v>380.24068066451616</c:v>
                </c:pt>
                <c:pt idx="44">
                  <c:v>317.04165328126379</c:v>
                </c:pt>
                <c:pt idx="45">
                  <c:v>320.03909507198665</c:v>
                </c:pt>
                <c:pt idx="46">
                  <c:v>318.04582139954221</c:v>
                </c:pt>
                <c:pt idx="47">
                  <c:v>397.4527391092451</c:v>
                </c:pt>
                <c:pt idx="48">
                  <c:v>279.38127813376491</c:v>
                </c:pt>
                <c:pt idx="49">
                  <c:v>513.62232986918877</c:v>
                </c:pt>
                <c:pt idx="50">
                  <c:v>334.15761738840985</c:v>
                </c:pt>
                <c:pt idx="51">
                  <c:v>338.11783618985152</c:v>
                </c:pt>
                <c:pt idx="52">
                  <c:v>226.20587573105385</c:v>
                </c:pt>
                <c:pt idx="53">
                  <c:v>290.54828734297161</c:v>
                </c:pt>
                <c:pt idx="54">
                  <c:v>329.999809706696</c:v>
                </c:pt>
                <c:pt idx="55">
                  <c:v>418.30545589691559</c:v>
                </c:pt>
                <c:pt idx="56">
                  <c:v>348.51718303458182</c:v>
                </c:pt>
                <c:pt idx="57">
                  <c:v>351.55149780605927</c:v>
                </c:pt>
                <c:pt idx="58">
                  <c:v>349.10708932857779</c:v>
                </c:pt>
                <c:pt idx="59">
                  <c:v>435.95575498610583</c:v>
                </c:pt>
                <c:pt idx="60">
                  <c:v>306.22944427713304</c:v>
                </c:pt>
                <c:pt idx="61">
                  <c:v>562.58861408414714</c:v>
                </c:pt>
                <c:pt idx="62">
                  <c:v>365.76350241167017</c:v>
                </c:pt>
                <c:pt idx="63">
                  <c:v>369.84819554443118</c:v>
                </c:pt>
                <c:pt idx="64">
                  <c:v>247.26923676933839</c:v>
                </c:pt>
                <c:pt idx="65">
                  <c:v>317.3946307623637</c:v>
                </c:pt>
                <c:pt idx="66">
                  <c:v>360.25844186360047</c:v>
                </c:pt>
                <c:pt idx="67">
                  <c:v>456.37023112931502</c:v>
                </c:pt>
                <c:pt idx="68">
                  <c:v>379.99271278789996</c:v>
                </c:pt>
                <c:pt idx="69">
                  <c:v>383.06390054013195</c:v>
                </c:pt>
                <c:pt idx="70">
                  <c:v>380.16835725761348</c:v>
                </c:pt>
                <c:pt idx="71">
                  <c:v>474.4587708629665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4-489B-973C-B3941CA561C7}"/>
            </c:ext>
          </c:extLst>
        </c:ser>
        <c:ser>
          <c:idx val="2"/>
          <c:order val="2"/>
          <c:tx>
            <c:v>Monthly Regression Forecast</c:v>
          </c:tx>
          <c:spPr>
            <a:ln w="28575" cap="rnd">
              <a:solidFill>
                <a:schemeClr val="accent3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MonthlyRegres.!$C$4:$C$75</c:f>
              <c:numCache>
                <c:formatCode>0.00</c:formatCode>
                <c:ptCount val="72"/>
                <c:pt idx="0">
                  <c:v>216.79999999999998</c:v>
                </c:pt>
                <c:pt idx="1">
                  <c:v>338.8</c:v>
                </c:pt>
                <c:pt idx="2">
                  <c:v>204.79999999999995</c:v>
                </c:pt>
                <c:pt idx="3">
                  <c:v>199.19999999999996</c:v>
                </c:pt>
                <c:pt idx="4">
                  <c:v>123.60000000000002</c:v>
                </c:pt>
                <c:pt idx="5">
                  <c:v>149.40000000000003</c:v>
                </c:pt>
                <c:pt idx="6">
                  <c:v>177.60000000000002</c:v>
                </c:pt>
                <c:pt idx="7">
                  <c:v>283.8</c:v>
                </c:pt>
                <c:pt idx="8">
                  <c:v>224.80000000000004</c:v>
                </c:pt>
                <c:pt idx="9">
                  <c:v>213.8</c:v>
                </c:pt>
                <c:pt idx="10">
                  <c:v>208.79999999999998</c:v>
                </c:pt>
                <c:pt idx="11">
                  <c:v>293.39999999999998</c:v>
                </c:pt>
                <c:pt idx="12">
                  <c:v>248.09999999999997</c:v>
                </c:pt>
                <c:pt idx="13">
                  <c:v>381.1</c:v>
                </c:pt>
                <c:pt idx="14">
                  <c:v>239.99999999999997</c:v>
                </c:pt>
                <c:pt idx="15">
                  <c:v>238.29999999999995</c:v>
                </c:pt>
                <c:pt idx="16">
                  <c:v>154</c:v>
                </c:pt>
                <c:pt idx="17">
                  <c:v>193.70000000000002</c:v>
                </c:pt>
                <c:pt idx="18">
                  <c:v>221.10000000000002</c:v>
                </c:pt>
                <c:pt idx="19">
                  <c:v>305.89999999999998</c:v>
                </c:pt>
                <c:pt idx="20">
                  <c:v>249.70000000000005</c:v>
                </c:pt>
                <c:pt idx="21">
                  <c:v>243.8</c:v>
                </c:pt>
                <c:pt idx="22">
                  <c:v>239</c:v>
                </c:pt>
                <c:pt idx="23">
                  <c:v>313.3</c:v>
                </c:pt>
                <c:pt idx="24">
                  <c:v>279.39999999999998</c:v>
                </c:pt>
                <c:pt idx="25">
                  <c:v>423.4</c:v>
                </c:pt>
                <c:pt idx="26">
                  <c:v>275.2</c:v>
                </c:pt>
                <c:pt idx="27">
                  <c:v>277.39999999999998</c:v>
                </c:pt>
                <c:pt idx="28">
                  <c:v>184.4</c:v>
                </c:pt>
                <c:pt idx="29">
                  <c:v>238</c:v>
                </c:pt>
                <c:pt idx="30">
                  <c:v>264.60000000000002</c:v>
                </c:pt>
                <c:pt idx="31">
                  <c:v>328</c:v>
                </c:pt>
                <c:pt idx="32">
                  <c:v>274.60000000000002</c:v>
                </c:pt>
                <c:pt idx="33">
                  <c:v>273.8</c:v>
                </c:pt>
                <c:pt idx="34">
                  <c:v>269.2</c:v>
                </c:pt>
                <c:pt idx="35">
                  <c:v>333.2</c:v>
                </c:pt>
                <c:pt idx="36">
                  <c:v>310.7</c:v>
                </c:pt>
                <c:pt idx="37">
                  <c:v>465.7</c:v>
                </c:pt>
                <c:pt idx="38">
                  <c:v>310.39999999999998</c:v>
                </c:pt>
                <c:pt idx="39">
                  <c:v>316.5</c:v>
                </c:pt>
                <c:pt idx="40">
                  <c:v>214.8</c:v>
                </c:pt>
                <c:pt idx="41">
                  <c:v>282.3</c:v>
                </c:pt>
                <c:pt idx="42">
                  <c:v>308.10000000000002</c:v>
                </c:pt>
                <c:pt idx="43">
                  <c:v>350.1</c:v>
                </c:pt>
                <c:pt idx="44">
                  <c:v>299.5</c:v>
                </c:pt>
                <c:pt idx="45">
                  <c:v>303.8</c:v>
                </c:pt>
                <c:pt idx="46">
                  <c:v>299.39999999999998</c:v>
                </c:pt>
                <c:pt idx="47">
                  <c:v>353.1</c:v>
                </c:pt>
                <c:pt idx="48">
                  <c:v>342</c:v>
                </c:pt>
                <c:pt idx="49">
                  <c:v>508</c:v>
                </c:pt>
                <c:pt idx="50">
                  <c:v>345.59999999999997</c:v>
                </c:pt>
                <c:pt idx="51">
                  <c:v>355.59999999999997</c:v>
                </c:pt>
                <c:pt idx="52">
                  <c:v>245.20000000000002</c:v>
                </c:pt>
                <c:pt idx="53">
                  <c:v>326.60000000000002</c:v>
                </c:pt>
                <c:pt idx="54">
                  <c:v>351.6</c:v>
                </c:pt>
                <c:pt idx="55">
                  <c:v>372.2</c:v>
                </c:pt>
                <c:pt idx="56">
                  <c:v>324.40000000000003</c:v>
                </c:pt>
                <c:pt idx="57">
                  <c:v>333.8</c:v>
                </c:pt>
                <c:pt idx="58">
                  <c:v>329.6</c:v>
                </c:pt>
                <c:pt idx="59">
                  <c:v>373</c:v>
                </c:pt>
                <c:pt idx="60">
                  <c:v>373.29999999999995</c:v>
                </c:pt>
                <c:pt idx="61">
                  <c:v>550.29999999999995</c:v>
                </c:pt>
                <c:pt idx="62">
                  <c:v>380.79999999999995</c:v>
                </c:pt>
                <c:pt idx="63">
                  <c:v>394.7</c:v>
                </c:pt>
                <c:pt idx="64">
                  <c:v>275.60000000000002</c:v>
                </c:pt>
                <c:pt idx="65">
                  <c:v>370.9</c:v>
                </c:pt>
                <c:pt idx="66">
                  <c:v>395.1</c:v>
                </c:pt>
                <c:pt idx="67">
                  <c:v>394.3</c:v>
                </c:pt>
                <c:pt idx="68">
                  <c:v>349.3</c:v>
                </c:pt>
                <c:pt idx="69">
                  <c:v>363.8</c:v>
                </c:pt>
                <c:pt idx="70">
                  <c:v>359.79999999999995</c:v>
                </c:pt>
                <c:pt idx="71">
                  <c:v>392.9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4-489B-973C-B3941CA56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276080"/>
        <c:axId val="868277392"/>
      </c:lineChart>
      <c:dateAx>
        <c:axId val="86827608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77392"/>
        <c:crosses val="autoZero"/>
        <c:auto val="1"/>
        <c:lblOffset val="100"/>
        <c:baseTimeUnit val="months"/>
      </c:dateAx>
      <c:valAx>
        <c:axId val="8682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YearlyRegres.!$B$4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YearlyRegres.!$A$5:$A$14</c:f>
              <c:numCache>
                <c:formatCode>General</c:formatCode>
                <c:ptCount val="1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</c:numCache>
            </c:numRef>
          </c:cat>
          <c:val>
            <c:numRef>
              <c:f>YearlyRegres.!$B$5:$B$14</c:f>
              <c:numCache>
                <c:formatCode>General</c:formatCode>
                <c:ptCount val="10"/>
                <c:pt idx="0">
                  <c:v>1845</c:v>
                </c:pt>
                <c:pt idx="1">
                  <c:v>2088</c:v>
                </c:pt>
                <c:pt idx="2">
                  <c:v>2345</c:v>
                </c:pt>
                <c:pt idx="3">
                  <c:v>2876</c:v>
                </c:pt>
                <c:pt idx="4">
                  <c:v>2465</c:v>
                </c:pt>
                <c:pt idx="5">
                  <c:v>3266</c:v>
                </c:pt>
                <c:pt idx="6">
                  <c:v>3325</c:v>
                </c:pt>
                <c:pt idx="7">
                  <c:v>3972</c:v>
                </c:pt>
                <c:pt idx="8">
                  <c:v>4078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6-44D7-A4F8-475DD5DF877E}"/>
            </c:ext>
          </c:extLst>
        </c:ser>
        <c:ser>
          <c:idx val="1"/>
          <c:order val="1"/>
          <c:tx>
            <c:strRef>
              <c:f>YearlyRegres.!$C$4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YearlyRegres.!$A$5:$A$14</c:f>
              <c:numCache>
                <c:formatCode>General</c:formatCode>
                <c:ptCount val="1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</c:numCache>
            </c:numRef>
          </c:cat>
          <c:val>
            <c:numRef>
              <c:f>YearlyRegres.!$C$5:$C$14</c:f>
              <c:numCache>
                <c:formatCode>General</c:formatCode>
                <c:ptCount val="10"/>
                <c:pt idx="0">
                  <c:v>1788.8444444444444</c:v>
                </c:pt>
                <c:pt idx="1">
                  <c:v>2071.0777777777776</c:v>
                </c:pt>
                <c:pt idx="2">
                  <c:v>2353.3111111111111</c:v>
                </c:pt>
                <c:pt idx="3">
                  <c:v>2635.5444444444447</c:v>
                </c:pt>
                <c:pt idx="4">
                  <c:v>2917.7777777777778</c:v>
                </c:pt>
                <c:pt idx="5">
                  <c:v>3200.0111111111109</c:v>
                </c:pt>
                <c:pt idx="6">
                  <c:v>3482.2444444444445</c:v>
                </c:pt>
                <c:pt idx="7">
                  <c:v>3764.4777777777781</c:v>
                </c:pt>
                <c:pt idx="8">
                  <c:v>4046.7111111111117</c:v>
                </c:pt>
                <c:pt idx="9">
                  <c:v>4328.9444444444443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6-44D7-A4F8-475DD5DF8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737040"/>
        <c:axId val="1027738352"/>
      </c:lineChart>
      <c:catAx>
        <c:axId val="102773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38352"/>
        <c:crosses val="autoZero"/>
        <c:auto val="1"/>
        <c:lblAlgn val="ctr"/>
        <c:lblOffset val="100"/>
        <c:noMultiLvlLbl val="0"/>
      </c:catAx>
      <c:valAx>
        <c:axId val="10277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3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YrTrend!$C$10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YrTrend!$B$11:$B$20</c:f>
              <c:numCache>
                <c:formatCode>General</c:formatCode>
                <c:ptCount val="1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</c:numCache>
            </c:numRef>
          </c:cat>
          <c:val>
            <c:numRef>
              <c:f>YrTrend!$C$11:$C$20</c:f>
              <c:numCache>
                <c:formatCode>General</c:formatCode>
                <c:ptCount val="10"/>
                <c:pt idx="0">
                  <c:v>1845</c:v>
                </c:pt>
                <c:pt idx="1">
                  <c:v>2088</c:v>
                </c:pt>
                <c:pt idx="2">
                  <c:v>2345</c:v>
                </c:pt>
                <c:pt idx="3">
                  <c:v>2876</c:v>
                </c:pt>
                <c:pt idx="4">
                  <c:v>2465</c:v>
                </c:pt>
                <c:pt idx="5">
                  <c:v>3266</c:v>
                </c:pt>
                <c:pt idx="6">
                  <c:v>3325</c:v>
                </c:pt>
                <c:pt idx="7">
                  <c:v>3972</c:v>
                </c:pt>
                <c:pt idx="8">
                  <c:v>4078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6-41EA-94CF-6B52183FCA80}"/>
            </c:ext>
          </c:extLst>
        </c:ser>
        <c:ser>
          <c:idx val="1"/>
          <c:order val="1"/>
          <c:tx>
            <c:strRef>
              <c:f>YrTrend!$G$10</c:f>
              <c:strCache>
                <c:ptCount val="1"/>
                <c:pt idx="0">
                  <c:v>Forecast (Ft+1)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YrTrend!$G$11:$G$20</c:f>
              <c:numCache>
                <c:formatCode>0.00</c:formatCode>
                <c:ptCount val="10"/>
                <c:pt idx="1">
                  <c:v>2124.125</c:v>
                </c:pt>
                <c:pt idx="2">
                  <c:v>2389.1612500000001</c:v>
                </c:pt>
                <c:pt idx="3">
                  <c:v>2647.8121124999998</c:v>
                </c:pt>
                <c:pt idx="4">
                  <c:v>3008.7046261249998</c:v>
                </c:pt>
                <c:pt idx="5">
                  <c:v>3089.09596931125</c:v>
                </c:pt>
                <c:pt idx="6">
                  <c:v>3401.5912723036126</c:v>
                </c:pt>
                <c:pt idx="7">
                  <c:v>3631.1447698909415</c:v>
                </c:pt>
                <c:pt idx="8">
                  <c:v>4016.6091889118866</c:v>
                </c:pt>
                <c:pt idx="9">
                  <c:v>4323.7594552244773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6-41EA-94CF-6B52183FC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826688"/>
        <c:axId val="818824720"/>
      </c:lineChart>
      <c:catAx>
        <c:axId val="81882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24720"/>
        <c:crosses val="autoZero"/>
        <c:auto val="1"/>
        <c:lblAlgn val="ctr"/>
        <c:lblOffset val="100"/>
        <c:noMultiLvlLbl val="0"/>
      </c:catAx>
      <c:valAx>
        <c:axId val="8188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2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MonthlyRegres.!$J$12</c:f>
              <c:strCache>
                <c:ptCount val="1"/>
                <c:pt idx="0">
                  <c:v>March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MonthlyRegres.!$G$13:$G$18</c:f>
              <c:numCache>
                <c:formatCode>General</c:formatCode>
                <c:ptCount val="6"/>
                <c:pt idx="0" formatCode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</c:numCache>
            </c:numRef>
          </c:cat>
          <c:val>
            <c:numRef>
              <c:f>MonthlyRegres.!$J$13:$J$17</c:f>
              <c:numCache>
                <c:formatCode>General</c:formatCode>
                <c:ptCount val="5"/>
                <c:pt idx="0">
                  <c:v>191</c:v>
                </c:pt>
                <c:pt idx="1">
                  <c:v>213</c:v>
                </c:pt>
                <c:pt idx="2">
                  <c:v>335</c:v>
                </c:pt>
                <c:pt idx="3">
                  <c:v>327</c:v>
                </c:pt>
                <c:pt idx="4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1-4350-9914-84D5D91F8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406136"/>
        <c:axId val="822406792"/>
      </c:lineChart>
      <c:catAx>
        <c:axId val="822406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06792"/>
        <c:crosses val="autoZero"/>
        <c:auto val="1"/>
        <c:lblAlgn val="ctr"/>
        <c:lblOffset val="100"/>
        <c:noMultiLvlLbl val="0"/>
      </c:catAx>
      <c:valAx>
        <c:axId val="82240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0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MonthlyRegres.!$H$12</c:f>
              <c:strCache>
                <c:ptCount val="1"/>
                <c:pt idx="0">
                  <c:v>January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MonthlyRegres.!$G$13:$G$18</c:f>
              <c:numCache>
                <c:formatCode>General</c:formatCode>
                <c:ptCount val="6"/>
                <c:pt idx="0" formatCode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</c:numCache>
            </c:numRef>
          </c:cat>
          <c:val>
            <c:numRef>
              <c:f>MonthlyRegres.!$H$13:$H$18</c:f>
              <c:numCache>
                <c:formatCode>General</c:formatCode>
                <c:ptCount val="6"/>
                <c:pt idx="0">
                  <c:v>211</c:v>
                </c:pt>
                <c:pt idx="1">
                  <c:v>244</c:v>
                </c:pt>
                <c:pt idx="2">
                  <c:v>291</c:v>
                </c:pt>
                <c:pt idx="3">
                  <c:v>323</c:v>
                </c:pt>
                <c:pt idx="4">
                  <c:v>328</c:v>
                </c:pt>
                <c:pt idx="5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0-4BF5-A744-9F70F766D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406136"/>
        <c:axId val="822406792"/>
      </c:lineChart>
      <c:catAx>
        <c:axId val="822406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06792"/>
        <c:crosses val="autoZero"/>
        <c:auto val="1"/>
        <c:lblAlgn val="ctr"/>
        <c:lblOffset val="100"/>
        <c:noMultiLvlLbl val="0"/>
      </c:catAx>
      <c:valAx>
        <c:axId val="82240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0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MonthlyRegres.!$I$12</c:f>
              <c:strCache>
                <c:ptCount val="1"/>
                <c:pt idx="0">
                  <c:v>February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MonthlyRegres.!$G$13:$G$18</c:f>
              <c:numCache>
                <c:formatCode>General</c:formatCode>
                <c:ptCount val="6"/>
                <c:pt idx="0" formatCode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</c:numCache>
            </c:numRef>
          </c:cat>
          <c:val>
            <c:numRef>
              <c:f>MonthlyRegres.!$I$13:$I$18</c:f>
              <c:numCache>
                <c:formatCode>General</c:formatCode>
                <c:ptCount val="6"/>
                <c:pt idx="0">
                  <c:v>338</c:v>
                </c:pt>
                <c:pt idx="1">
                  <c:v>403</c:v>
                </c:pt>
                <c:pt idx="2">
                  <c:v>386</c:v>
                </c:pt>
                <c:pt idx="3">
                  <c:v>478</c:v>
                </c:pt>
                <c:pt idx="4">
                  <c:v>512</c:v>
                </c:pt>
                <c:pt idx="5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8-495A-8BD1-5A47B0B0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406136"/>
        <c:axId val="822406792"/>
      </c:lineChart>
      <c:catAx>
        <c:axId val="822406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06792"/>
        <c:crosses val="autoZero"/>
        <c:auto val="1"/>
        <c:lblAlgn val="ctr"/>
        <c:lblOffset val="100"/>
        <c:noMultiLvlLbl val="0"/>
      </c:catAx>
      <c:valAx>
        <c:axId val="82240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0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MonthlyRegres.!$K$12</c:f>
              <c:strCache>
                <c:ptCount val="1"/>
                <c:pt idx="0">
                  <c:v>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MonthlyRegres.!$G$13:$G$18</c:f>
              <c:numCache>
                <c:formatCode>General</c:formatCode>
                <c:ptCount val="6"/>
                <c:pt idx="0" formatCode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</c:numCache>
            </c:numRef>
          </c:cat>
          <c:val>
            <c:numRef>
              <c:f>MonthlyRegres.!$K$13:$K$17</c:f>
              <c:numCache>
                <c:formatCode>General</c:formatCode>
                <c:ptCount val="5"/>
                <c:pt idx="0">
                  <c:v>192</c:v>
                </c:pt>
                <c:pt idx="1">
                  <c:v>244</c:v>
                </c:pt>
                <c:pt idx="2">
                  <c:v>278</c:v>
                </c:pt>
                <c:pt idx="3">
                  <c:v>327</c:v>
                </c:pt>
                <c:pt idx="4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E-431C-8D3D-CAA31C4B3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406136"/>
        <c:axId val="822406792"/>
      </c:lineChart>
      <c:catAx>
        <c:axId val="822406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06792"/>
        <c:crosses val="autoZero"/>
        <c:auto val="1"/>
        <c:lblAlgn val="ctr"/>
        <c:lblOffset val="100"/>
        <c:noMultiLvlLbl val="0"/>
      </c:catAx>
      <c:valAx>
        <c:axId val="82240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0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MonthlyRegres.!$L$12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MonthlyRegres.!$G$13:$G$18</c:f>
              <c:numCache>
                <c:formatCode>General</c:formatCode>
                <c:ptCount val="6"/>
                <c:pt idx="0" formatCode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</c:numCache>
            </c:numRef>
          </c:cat>
          <c:val>
            <c:numRef>
              <c:f>MonthlyRegres.!$L$13:$L$17</c:f>
              <c:numCache>
                <c:formatCode>General</c:formatCode>
                <c:ptCount val="5"/>
                <c:pt idx="0">
                  <c:v>138</c:v>
                </c:pt>
                <c:pt idx="1">
                  <c:v>153</c:v>
                </c:pt>
                <c:pt idx="2">
                  <c:v>159</c:v>
                </c:pt>
                <c:pt idx="3">
                  <c:v>211</c:v>
                </c:pt>
                <c:pt idx="4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C-43F6-B638-AA9490466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406136"/>
        <c:axId val="822406792"/>
      </c:lineChart>
      <c:catAx>
        <c:axId val="822406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06792"/>
        <c:crosses val="autoZero"/>
        <c:auto val="1"/>
        <c:lblAlgn val="ctr"/>
        <c:lblOffset val="100"/>
        <c:noMultiLvlLbl val="0"/>
      </c:catAx>
      <c:valAx>
        <c:axId val="82240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0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4763</xdr:colOff>
      <xdr:row>1</xdr:row>
      <xdr:rowOff>4761</xdr:rowOff>
    </xdr:from>
    <xdr:to>
      <xdr:col>17</xdr:col>
      <xdr:colOff>0</xdr:colOff>
      <xdr:row>22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</xdr:colOff>
      <xdr:row>1</xdr:row>
      <xdr:rowOff>4761</xdr:rowOff>
    </xdr:from>
    <xdr:to>
      <xdr:col>17</xdr:col>
      <xdr:colOff>0</xdr:colOff>
      <xdr:row>23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4764</xdr:colOff>
      <xdr:row>1</xdr:row>
      <xdr:rowOff>4762</xdr:rowOff>
    </xdr:from>
    <xdr:to>
      <xdr:col>16</xdr:col>
      <xdr:colOff>4763</xdr:colOff>
      <xdr:row>22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33868</xdr:colOff>
      <xdr:row>0</xdr:row>
      <xdr:rowOff>139701</xdr:rowOff>
    </xdr:from>
    <xdr:to>
      <xdr:col>15</xdr:col>
      <xdr:colOff>417042</xdr:colOff>
      <xdr:row>7</xdr:row>
      <xdr:rowOff>192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6401" y="139701"/>
          <a:ext cx="3600508" cy="99132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330203</xdr:colOff>
      <xdr:row>12</xdr:row>
      <xdr:rowOff>80441</xdr:rowOff>
    </xdr:from>
    <xdr:to>
      <xdr:col>13</xdr:col>
      <xdr:colOff>402172</xdr:colOff>
      <xdr:row>16</xdr:row>
      <xdr:rowOff>9691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96203" y="2010841"/>
          <a:ext cx="1358902" cy="572717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474134</xdr:colOff>
      <xdr:row>7</xdr:row>
      <xdr:rowOff>18281</xdr:rowOff>
    </xdr:from>
    <xdr:to>
      <xdr:col>14</xdr:col>
      <xdr:colOff>215901</xdr:colOff>
      <xdr:row>10</xdr:row>
      <xdr:rowOff>80722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96667" y="1144348"/>
          <a:ext cx="2315634" cy="545041"/>
        </a:xfrm>
        <a:prstGeom prst="rect">
          <a:avLst/>
        </a:prstGeom>
        <a:noFill/>
      </xdr:spPr>
    </xdr:pic>
    <xdr:clientData/>
  </xdr:twoCellAnchor>
  <xdr:twoCellAnchor>
    <xdr:from>
      <xdr:col>11</xdr:col>
      <xdr:colOff>596900</xdr:colOff>
      <xdr:row>10</xdr:row>
      <xdr:rowOff>8464</xdr:rowOff>
    </xdr:from>
    <xdr:to>
      <xdr:col>13</xdr:col>
      <xdr:colOff>42334</xdr:colOff>
      <xdr:row>12</xdr:row>
      <xdr:rowOff>114297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7962900" y="1617131"/>
          <a:ext cx="732367" cy="4275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2400"/>
            <a:t>or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4763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25</xdr:row>
      <xdr:rowOff>0</xdr:rowOff>
    </xdr:from>
    <xdr:to>
      <xdr:col>15</xdr:col>
      <xdr:colOff>319088</xdr:colOff>
      <xdr:row>41</xdr:row>
      <xdr:rowOff>152399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5</xdr:col>
      <xdr:colOff>319088</xdr:colOff>
      <xdr:row>41</xdr:row>
      <xdr:rowOff>152399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10</xdr:col>
      <xdr:colOff>319088</xdr:colOff>
      <xdr:row>41</xdr:row>
      <xdr:rowOff>152399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20</xdr:col>
      <xdr:colOff>319088</xdr:colOff>
      <xdr:row>41</xdr:row>
      <xdr:rowOff>152399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5</xdr:col>
      <xdr:colOff>319088</xdr:colOff>
      <xdr:row>59</xdr:row>
      <xdr:rowOff>152399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10</xdr:col>
      <xdr:colOff>319088</xdr:colOff>
      <xdr:row>59</xdr:row>
      <xdr:rowOff>152399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43</xdr:row>
      <xdr:rowOff>0</xdr:rowOff>
    </xdr:from>
    <xdr:to>
      <xdr:col>15</xdr:col>
      <xdr:colOff>319088</xdr:colOff>
      <xdr:row>59</xdr:row>
      <xdr:rowOff>152399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43</xdr:row>
      <xdr:rowOff>0</xdr:rowOff>
    </xdr:from>
    <xdr:to>
      <xdr:col>20</xdr:col>
      <xdr:colOff>319088</xdr:colOff>
      <xdr:row>59</xdr:row>
      <xdr:rowOff>152399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61</xdr:row>
      <xdr:rowOff>1360</xdr:rowOff>
    </xdr:from>
    <xdr:to>
      <xdr:col>5</xdr:col>
      <xdr:colOff>319088</xdr:colOff>
      <xdr:row>77</xdr:row>
      <xdr:rowOff>152400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61</xdr:row>
      <xdr:rowOff>1360</xdr:rowOff>
    </xdr:from>
    <xdr:to>
      <xdr:col>10</xdr:col>
      <xdr:colOff>319088</xdr:colOff>
      <xdr:row>77</xdr:row>
      <xdr:rowOff>152400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61</xdr:row>
      <xdr:rowOff>1360</xdr:rowOff>
    </xdr:from>
    <xdr:to>
      <xdr:col>15</xdr:col>
      <xdr:colOff>319088</xdr:colOff>
      <xdr:row>77</xdr:row>
      <xdr:rowOff>152400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61</xdr:row>
      <xdr:rowOff>1360</xdr:rowOff>
    </xdr:from>
    <xdr:to>
      <xdr:col>20</xdr:col>
      <xdr:colOff>319088</xdr:colOff>
      <xdr:row>77</xdr:row>
      <xdr:rowOff>152400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38100</xdr:colOff>
      <xdr:row>17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23</xdr:col>
      <xdr:colOff>642938</xdr:colOff>
      <xdr:row>22</xdr:row>
      <xdr:rowOff>157164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647699</xdr:colOff>
      <xdr:row>1</xdr:row>
      <xdr:rowOff>4762</xdr:rowOff>
    </xdr:from>
    <xdr:to>
      <xdr:col>16</xdr:col>
      <xdr:colOff>0</xdr:colOff>
      <xdr:row>22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4763</xdr:colOff>
      <xdr:row>1</xdr:row>
      <xdr:rowOff>4762</xdr:rowOff>
    </xdr:from>
    <xdr:to>
      <xdr:col>19</xdr:col>
      <xdr:colOff>0</xdr:colOff>
      <xdr:row>22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K15" sqref="K15"/>
    </sheetView>
  </sheetViews>
  <sheetFormatPr defaultRowHeight="12.45" x14ac:dyDescent="0.3"/>
  <cols>
    <col min="3" max="7" width="9.07421875" customWidth="1"/>
  </cols>
  <sheetData>
    <row r="1" spans="1:5" x14ac:dyDescent="0.3">
      <c r="A1" s="7" t="s">
        <v>2</v>
      </c>
      <c r="B1" s="7" t="s">
        <v>1</v>
      </c>
      <c r="C1" s="5"/>
      <c r="D1" s="5"/>
      <c r="E1" s="20" t="s">
        <v>37</v>
      </c>
    </row>
    <row r="2" spans="1:5" x14ac:dyDescent="0.3">
      <c r="A2" s="8">
        <v>1995</v>
      </c>
      <c r="B2" s="8">
        <v>1845</v>
      </c>
      <c r="C2" s="5"/>
      <c r="D2" s="5"/>
    </row>
    <row r="3" spans="1:5" x14ac:dyDescent="0.3">
      <c r="A3" s="8">
        <v>1996</v>
      </c>
      <c r="B3" s="8">
        <v>2088</v>
      </c>
    </row>
    <row r="4" spans="1:5" x14ac:dyDescent="0.3">
      <c r="A4" s="8">
        <v>1997</v>
      </c>
      <c r="B4" s="8">
        <v>2345</v>
      </c>
    </row>
    <row r="5" spans="1:5" x14ac:dyDescent="0.3">
      <c r="A5" s="8">
        <v>1998</v>
      </c>
      <c r="B5" s="8">
        <v>2876</v>
      </c>
    </row>
    <row r="6" spans="1:5" x14ac:dyDescent="0.3">
      <c r="A6" s="8">
        <v>1999</v>
      </c>
      <c r="B6" s="8">
        <v>2465</v>
      </c>
    </row>
    <row r="7" spans="1:5" x14ac:dyDescent="0.3">
      <c r="A7" s="8">
        <v>2000</v>
      </c>
      <c r="B7" s="8">
        <v>3266</v>
      </c>
    </row>
    <row r="8" spans="1:5" x14ac:dyDescent="0.3">
      <c r="A8" s="8">
        <v>2001</v>
      </c>
      <c r="B8" s="8">
        <v>3325</v>
      </c>
    </row>
    <row r="9" spans="1:5" x14ac:dyDescent="0.3">
      <c r="A9" s="8">
        <v>2002</v>
      </c>
      <c r="B9" s="8">
        <v>3972</v>
      </c>
    </row>
    <row r="10" spans="1:5" x14ac:dyDescent="0.3">
      <c r="A10" s="8">
        <v>2003</v>
      </c>
      <c r="B10" s="8">
        <v>4078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"/>
  <sheetViews>
    <sheetView zoomScaleNormal="100" workbookViewId="0">
      <selection activeCell="R11" sqref="R11"/>
    </sheetView>
  </sheetViews>
  <sheetFormatPr defaultRowHeight="12.45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abSelected="1" workbookViewId="0">
      <selection activeCell="B13" sqref="B13"/>
    </sheetView>
  </sheetViews>
  <sheetFormatPr defaultRowHeight="12.45" x14ac:dyDescent="0.3"/>
  <sheetData>
    <row r="1" spans="1:4" x14ac:dyDescent="0.3">
      <c r="A1" s="6" t="s">
        <v>27</v>
      </c>
    </row>
    <row r="2" spans="1:4" x14ac:dyDescent="0.3">
      <c r="A2" s="81" t="s">
        <v>79</v>
      </c>
      <c r="B2" s="81"/>
    </row>
    <row r="5" spans="1:4" x14ac:dyDescent="0.3">
      <c r="A5" s="6" t="s">
        <v>28</v>
      </c>
    </row>
    <row r="6" spans="1:4" ht="12.75" customHeight="1" x14ac:dyDescent="0.3">
      <c r="A6" s="82" t="s">
        <v>101</v>
      </c>
      <c r="B6" s="82"/>
      <c r="C6" s="82"/>
      <c r="D6" s="82"/>
    </row>
    <row r="7" spans="1:4" x14ac:dyDescent="0.3">
      <c r="A7" s="82"/>
      <c r="B7" s="82"/>
      <c r="C7" s="82"/>
      <c r="D7" s="82"/>
    </row>
    <row r="8" spans="1:4" x14ac:dyDescent="0.3">
      <c r="A8" s="82"/>
      <c r="B8" s="82"/>
      <c r="C8" s="82"/>
      <c r="D8" s="82"/>
    </row>
    <row r="9" spans="1:4" x14ac:dyDescent="0.3">
      <c r="A9" s="82"/>
      <c r="B9" s="82"/>
      <c r="C9" s="82"/>
      <c r="D9" s="82"/>
    </row>
    <row r="10" spans="1:4" x14ac:dyDescent="0.3">
      <c r="A10" s="82"/>
      <c r="B10" s="82"/>
      <c r="C10" s="82"/>
      <c r="D10" s="82"/>
    </row>
  </sheetData>
  <mergeCells count="2">
    <mergeCell ref="A2:B2"/>
    <mergeCell ref="A6:D10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J39"/>
  <sheetViews>
    <sheetView workbookViewId="0">
      <selection activeCell="B8" sqref="B8"/>
    </sheetView>
  </sheetViews>
  <sheetFormatPr defaultRowHeight="12.45" x14ac:dyDescent="0.3"/>
  <cols>
    <col min="1" max="1" width="26.61328125" customWidth="1"/>
  </cols>
  <sheetData>
    <row r="2" spans="1:10" x14ac:dyDescent="0.3">
      <c r="A2" s="6" t="s">
        <v>63</v>
      </c>
      <c r="B2" s="60">
        <f>MonthlyRegres.!C76-'yearly data'!$B$10</f>
        <v>522.80000000000018</v>
      </c>
      <c r="C2" s="23" t="s">
        <v>64</v>
      </c>
      <c r="D2" s="36" t="s">
        <v>71</v>
      </c>
    </row>
    <row r="3" spans="1:10" x14ac:dyDescent="0.3">
      <c r="A3" s="6"/>
      <c r="C3" s="57"/>
    </row>
    <row r="4" spans="1:10" x14ac:dyDescent="0.3">
      <c r="A4" s="6" t="s">
        <v>80</v>
      </c>
      <c r="B4" s="60">
        <f>(MonthlyRegres.!C76)/12</f>
        <v>383.40000000000003</v>
      </c>
      <c r="D4" s="36" t="s">
        <v>72</v>
      </c>
      <c r="E4" s="36"/>
      <c r="F4" s="36"/>
      <c r="G4" s="36"/>
    </row>
    <row r="5" spans="1:10" ht="12.75" customHeight="1" x14ac:dyDescent="0.3">
      <c r="A5" s="83" t="s">
        <v>81</v>
      </c>
      <c r="D5" s="85" t="s">
        <v>98</v>
      </c>
      <c r="E5" s="85"/>
      <c r="F5" s="85"/>
      <c r="G5" s="85"/>
      <c r="H5" s="85"/>
      <c r="I5" s="85"/>
      <c r="J5" s="85"/>
    </row>
    <row r="6" spans="1:10" ht="13.2" customHeight="1" x14ac:dyDescent="0.3">
      <c r="A6" s="83"/>
      <c r="D6" s="85"/>
      <c r="E6" s="85"/>
      <c r="F6" s="85"/>
      <c r="G6" s="85"/>
      <c r="H6" s="85"/>
      <c r="I6" s="85"/>
      <c r="J6" s="85"/>
    </row>
    <row r="7" spans="1:10" ht="13.2" customHeight="1" x14ac:dyDescent="0.3">
      <c r="A7" s="72"/>
      <c r="D7" s="85"/>
      <c r="E7" s="85"/>
      <c r="F7" s="85"/>
      <c r="G7" s="85"/>
      <c r="H7" s="85"/>
      <c r="I7" s="85"/>
      <c r="J7" s="85"/>
    </row>
    <row r="8" spans="1:10" x14ac:dyDescent="0.3">
      <c r="A8" s="6" t="s">
        <v>82</v>
      </c>
      <c r="B8" s="17"/>
      <c r="C8" s="23" t="s">
        <v>64</v>
      </c>
      <c r="D8" s="85"/>
      <c r="E8" s="85"/>
      <c r="F8" s="85"/>
      <c r="G8" s="85"/>
      <c r="H8" s="85"/>
      <c r="I8" s="85"/>
      <c r="J8" s="85"/>
    </row>
    <row r="9" spans="1:10" x14ac:dyDescent="0.3">
      <c r="A9" s="6"/>
      <c r="D9" s="85"/>
      <c r="E9" s="85"/>
      <c r="F9" s="85"/>
      <c r="G9" s="85"/>
      <c r="H9" s="85"/>
      <c r="I9" s="85"/>
      <c r="J9" s="85"/>
    </row>
    <row r="10" spans="1:10" x14ac:dyDescent="0.3">
      <c r="A10" s="6" t="s">
        <v>65</v>
      </c>
      <c r="B10" s="17"/>
      <c r="D10" s="36" t="s">
        <v>73</v>
      </c>
    </row>
    <row r="11" spans="1:10" x14ac:dyDescent="0.3">
      <c r="A11" s="6"/>
      <c r="D11" s="84"/>
      <c r="E11" s="84"/>
      <c r="F11" s="84"/>
      <c r="G11" s="84"/>
      <c r="H11" s="84"/>
      <c r="I11" s="84"/>
      <c r="J11" s="84"/>
    </row>
    <row r="12" spans="1:10" x14ac:dyDescent="0.3">
      <c r="A12" s="6" t="s">
        <v>66</v>
      </c>
      <c r="B12" s="17"/>
      <c r="C12" s="23" t="s">
        <v>64</v>
      </c>
      <c r="D12" s="84"/>
      <c r="E12" s="84"/>
      <c r="F12" s="84"/>
      <c r="G12" s="84"/>
      <c r="H12" s="84"/>
      <c r="I12" s="84"/>
      <c r="J12" s="84"/>
    </row>
    <row r="13" spans="1:10" x14ac:dyDescent="0.3">
      <c r="A13" s="6"/>
      <c r="D13" s="84"/>
      <c r="E13" s="84"/>
      <c r="F13" s="84"/>
      <c r="G13" s="84"/>
      <c r="H13" s="84"/>
      <c r="I13" s="84"/>
      <c r="J13" s="84"/>
    </row>
    <row r="14" spans="1:10" x14ac:dyDescent="0.3">
      <c r="A14" s="6" t="s">
        <v>67</v>
      </c>
      <c r="B14" s="17"/>
      <c r="C14" s="23" t="s">
        <v>64</v>
      </c>
    </row>
    <row r="15" spans="1:10" x14ac:dyDescent="0.3">
      <c r="B15" s="23"/>
      <c r="C15" s="23" t="s">
        <v>68</v>
      </c>
    </row>
    <row r="16" spans="1:10" x14ac:dyDescent="0.3">
      <c r="A16" s="6" t="s">
        <v>69</v>
      </c>
      <c r="B16" s="20"/>
      <c r="C16" s="23" t="s">
        <v>70</v>
      </c>
    </row>
    <row r="18" spans="1:1" x14ac:dyDescent="0.3">
      <c r="A18" s="23"/>
    </row>
    <row r="34" spans="1:4" x14ac:dyDescent="0.3">
      <c r="A34" s="36"/>
    </row>
    <row r="35" spans="1:4" x14ac:dyDescent="0.3">
      <c r="A35" s="23" t="s">
        <v>83</v>
      </c>
    </row>
    <row r="36" spans="1:4" x14ac:dyDescent="0.3">
      <c r="A36" s="23" t="s">
        <v>84</v>
      </c>
      <c r="B36">
        <v>101</v>
      </c>
    </row>
    <row r="37" spans="1:4" x14ac:dyDescent="0.3">
      <c r="A37" s="23" t="s">
        <v>86</v>
      </c>
      <c r="B37" s="73">
        <f>B36/'yearly data'!$B$9</f>
        <v>2.5427995971802619E-2</v>
      </c>
    </row>
    <row r="38" spans="1:4" x14ac:dyDescent="0.3">
      <c r="A38" s="23" t="s">
        <v>85</v>
      </c>
      <c r="B38">
        <v>127</v>
      </c>
      <c r="C38" s="62" t="s">
        <v>88</v>
      </c>
      <c r="D38" s="73">
        <f>(B38-B36)/B36</f>
        <v>0.25742574257425743</v>
      </c>
    </row>
    <row r="39" spans="1:4" x14ac:dyDescent="0.3">
      <c r="A39" s="23" t="s">
        <v>87</v>
      </c>
      <c r="B39" s="73">
        <f>B38/'yearly data'!$B$10</f>
        <v>3.1142717018146152E-2</v>
      </c>
    </row>
  </sheetData>
  <mergeCells count="3">
    <mergeCell ref="A5:A6"/>
    <mergeCell ref="D11:J13"/>
    <mergeCell ref="D5:J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837CC-93C4-42D1-A6DC-E950DA2DA970}">
  <dimension ref="A1:M45"/>
  <sheetViews>
    <sheetView workbookViewId="0">
      <selection activeCell="C19" sqref="C19"/>
    </sheetView>
  </sheetViews>
  <sheetFormatPr defaultRowHeight="12.45" x14ac:dyDescent="0.3"/>
  <cols>
    <col min="2" max="2" width="11.3828125" bestFit="1" customWidth="1"/>
    <col min="3" max="3" width="15.23046875" bestFit="1" customWidth="1"/>
    <col min="4" max="4" width="17.69140625" bestFit="1" customWidth="1"/>
    <col min="5" max="5" width="9.3828125" bestFit="1" customWidth="1"/>
    <col min="6" max="6" width="6.53515625" customWidth="1"/>
    <col min="7" max="11" width="6.07421875" bestFit="1" customWidth="1"/>
    <col min="12" max="12" width="6.23046875" bestFit="1" customWidth="1"/>
  </cols>
  <sheetData>
    <row r="1" spans="1:13" x14ac:dyDescent="0.3">
      <c r="A1" s="23" t="s">
        <v>89</v>
      </c>
    </row>
    <row r="3" spans="1:13" x14ac:dyDescent="0.3">
      <c r="A3" s="23" t="s">
        <v>2</v>
      </c>
      <c r="B3" s="23" t="s">
        <v>91</v>
      </c>
      <c r="C3" s="23" t="s">
        <v>97</v>
      </c>
      <c r="D3" s="23" t="s">
        <v>90</v>
      </c>
      <c r="E3" s="23" t="s">
        <v>92</v>
      </c>
    </row>
    <row r="4" spans="1:13" x14ac:dyDescent="0.3">
      <c r="A4">
        <v>1995</v>
      </c>
      <c r="B4">
        <v>1845</v>
      </c>
      <c r="D4">
        <v>96</v>
      </c>
      <c r="E4" s="74">
        <f t="shared" ref="E4:E12" si="0">D4/B4</f>
        <v>5.2032520325203252E-2</v>
      </c>
    </row>
    <row r="5" spans="1:13" x14ac:dyDescent="0.3">
      <c r="A5">
        <v>1996</v>
      </c>
      <c r="B5">
        <v>2088</v>
      </c>
      <c r="C5" s="74">
        <f>(B5-B4)/B4</f>
        <v>0.13170731707317074</v>
      </c>
      <c r="D5">
        <v>70</v>
      </c>
      <c r="E5" s="74">
        <f t="shared" si="0"/>
        <v>3.3524904214559385E-2</v>
      </c>
    </row>
    <row r="6" spans="1:13" x14ac:dyDescent="0.3">
      <c r="A6">
        <v>1997</v>
      </c>
      <c r="B6">
        <v>2345</v>
      </c>
      <c r="C6" s="74">
        <f t="shared" ref="C6:C12" si="1">(B6-B5)/B5</f>
        <v>0.12308429118773946</v>
      </c>
      <c r="D6">
        <v>123</v>
      </c>
      <c r="E6" s="74">
        <f t="shared" si="0"/>
        <v>5.2452025586353944E-2</v>
      </c>
      <c r="F6" s="23"/>
      <c r="G6" s="23"/>
      <c r="H6" s="23"/>
      <c r="I6" s="23"/>
      <c r="J6" s="23"/>
      <c r="K6" s="23"/>
      <c r="L6" s="23"/>
      <c r="M6" s="23"/>
    </row>
    <row r="7" spans="1:13" x14ac:dyDescent="0.3">
      <c r="A7">
        <v>1998</v>
      </c>
      <c r="B7">
        <v>2876</v>
      </c>
      <c r="C7" s="74">
        <f t="shared" si="1"/>
        <v>0.22643923240938166</v>
      </c>
      <c r="D7">
        <v>71</v>
      </c>
      <c r="E7" s="74">
        <f t="shared" si="0"/>
        <v>2.4687065368567455E-2</v>
      </c>
      <c r="F7" s="23"/>
      <c r="G7" s="23"/>
      <c r="H7" s="23"/>
      <c r="I7" s="23"/>
      <c r="J7" s="23"/>
      <c r="K7" s="23"/>
      <c r="L7" s="77"/>
      <c r="M7" s="77"/>
    </row>
    <row r="8" spans="1:13" x14ac:dyDescent="0.3">
      <c r="A8">
        <v>1999</v>
      </c>
      <c r="B8">
        <v>2465</v>
      </c>
      <c r="C8" s="74">
        <f t="shared" si="1"/>
        <v>-0.1429068150208623</v>
      </c>
      <c r="D8">
        <v>73</v>
      </c>
      <c r="E8" s="74">
        <f t="shared" si="0"/>
        <v>2.9614604462474645E-2</v>
      </c>
      <c r="F8" s="23"/>
      <c r="G8" s="23"/>
      <c r="H8" s="23"/>
      <c r="I8" s="23"/>
      <c r="J8" s="23"/>
      <c r="K8" s="23"/>
      <c r="L8" s="77"/>
      <c r="M8" s="77"/>
    </row>
    <row r="9" spans="1:13" x14ac:dyDescent="0.3">
      <c r="A9">
        <v>2000</v>
      </c>
      <c r="B9">
        <v>3266</v>
      </c>
      <c r="C9" s="74">
        <f t="shared" si="1"/>
        <v>0.32494929006085194</v>
      </c>
      <c r="D9">
        <v>66</v>
      </c>
      <c r="E9" s="74">
        <f t="shared" si="0"/>
        <v>2.0208205756276791E-2</v>
      </c>
      <c r="F9" s="23"/>
      <c r="G9" s="23"/>
      <c r="H9" s="23"/>
      <c r="I9" s="23"/>
      <c r="J9" s="23"/>
      <c r="K9" s="23"/>
      <c r="L9" s="77"/>
      <c r="M9" s="77"/>
    </row>
    <row r="10" spans="1:13" x14ac:dyDescent="0.3">
      <c r="A10">
        <v>2001</v>
      </c>
      <c r="B10">
        <v>3325</v>
      </c>
      <c r="C10" s="74">
        <f t="shared" si="1"/>
        <v>1.8064911206368647E-2</v>
      </c>
      <c r="D10">
        <v>182</v>
      </c>
      <c r="E10" s="74">
        <f t="shared" si="0"/>
        <v>5.473684210526316E-2</v>
      </c>
      <c r="F10" s="23"/>
      <c r="G10" s="23"/>
      <c r="H10" s="23"/>
      <c r="I10" s="23"/>
      <c r="J10" s="23"/>
      <c r="K10" s="23"/>
      <c r="L10" s="77"/>
      <c r="M10" s="77"/>
    </row>
    <row r="11" spans="1:13" x14ac:dyDescent="0.3">
      <c r="A11">
        <v>2002</v>
      </c>
      <c r="B11">
        <v>3972</v>
      </c>
      <c r="C11" s="74">
        <f t="shared" si="1"/>
        <v>0.19458646616541353</v>
      </c>
      <c r="D11">
        <v>195</v>
      </c>
      <c r="E11" s="74">
        <f t="shared" si="0"/>
        <v>4.9093655589123868E-2</v>
      </c>
      <c r="F11" s="77"/>
      <c r="G11" s="23"/>
      <c r="H11" s="23"/>
      <c r="I11" s="23"/>
      <c r="J11" s="23"/>
      <c r="K11" s="23"/>
      <c r="L11" s="77"/>
      <c r="M11" s="77"/>
    </row>
    <row r="12" spans="1:13" x14ac:dyDescent="0.3">
      <c r="A12">
        <v>2003</v>
      </c>
      <c r="B12">
        <v>4078</v>
      </c>
      <c r="C12" s="74">
        <f t="shared" si="1"/>
        <v>2.6686807653575024E-2</v>
      </c>
      <c r="D12">
        <v>122</v>
      </c>
      <c r="E12" s="74">
        <f t="shared" si="0"/>
        <v>2.9916625796959292E-2</v>
      </c>
      <c r="F12" s="77"/>
      <c r="G12" s="77"/>
      <c r="H12" s="23"/>
      <c r="I12" s="23"/>
      <c r="J12" s="23"/>
      <c r="K12" s="23"/>
      <c r="L12" s="77"/>
      <c r="M12" s="77"/>
    </row>
    <row r="13" spans="1:13" x14ac:dyDescent="0.3">
      <c r="A13">
        <v>2004</v>
      </c>
      <c r="F13" s="77"/>
      <c r="G13" s="77"/>
      <c r="H13" s="77"/>
      <c r="I13" s="23"/>
      <c r="J13" s="23"/>
      <c r="K13" s="23"/>
      <c r="L13" s="77"/>
      <c r="M13" s="77"/>
    </row>
    <row r="14" spans="1:13" x14ac:dyDescent="0.3">
      <c r="A14" s="23"/>
      <c r="C14" s="76"/>
      <c r="E14" s="77"/>
      <c r="F14" s="77"/>
      <c r="G14" s="77"/>
      <c r="H14" s="77"/>
      <c r="I14" s="77"/>
      <c r="J14" s="23"/>
      <c r="K14" s="23"/>
      <c r="L14" s="77"/>
      <c r="M14" s="77"/>
    </row>
    <row r="15" spans="1:13" x14ac:dyDescent="0.3">
      <c r="A15" s="23"/>
      <c r="C15" s="76"/>
      <c r="E15" s="77"/>
      <c r="F15" s="77"/>
      <c r="G15" s="77"/>
      <c r="H15" s="77"/>
      <c r="I15" s="77"/>
      <c r="J15" s="77"/>
      <c r="K15" s="23"/>
      <c r="L15" s="77"/>
      <c r="M15" s="77"/>
    </row>
    <row r="16" spans="1:13" x14ac:dyDescent="0.3">
      <c r="A16" s="23"/>
      <c r="B16" s="23"/>
      <c r="E16" s="77"/>
      <c r="F16" s="77"/>
      <c r="G16" s="77"/>
      <c r="H16" s="77"/>
      <c r="I16" s="77"/>
      <c r="J16" s="77"/>
      <c r="K16" s="77"/>
      <c r="L16" s="77"/>
      <c r="M16" s="77"/>
    </row>
    <row r="17" spans="1:13" x14ac:dyDescent="0.3">
      <c r="E17" s="77"/>
      <c r="F17" s="77"/>
      <c r="G17" s="77"/>
      <c r="H17" s="77"/>
      <c r="I17" s="77"/>
      <c r="J17" s="77"/>
      <c r="K17" s="77"/>
      <c r="L17" s="77"/>
      <c r="M17" s="77"/>
    </row>
    <row r="18" spans="1:13" x14ac:dyDescent="0.3">
      <c r="A18" s="23"/>
    </row>
    <row r="19" spans="1:13" x14ac:dyDescent="0.3">
      <c r="A19" s="23"/>
      <c r="C19" s="75"/>
      <c r="E19" s="78"/>
    </row>
    <row r="21" spans="1:13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spans="1:13" x14ac:dyDescent="0.3">
      <c r="A22" s="23"/>
    </row>
    <row r="23" spans="1:13" x14ac:dyDescent="0.3">
      <c r="A23" s="23"/>
    </row>
    <row r="24" spans="1:13" x14ac:dyDescent="0.3">
      <c r="A24" s="23"/>
    </row>
    <row r="25" spans="1:13" x14ac:dyDescent="0.3">
      <c r="A25" s="23"/>
    </row>
    <row r="26" spans="1:13" x14ac:dyDescent="0.3">
      <c r="A26" s="23"/>
    </row>
    <row r="27" spans="1:13" x14ac:dyDescent="0.3">
      <c r="A27" s="23"/>
    </row>
    <row r="28" spans="1:13" x14ac:dyDescent="0.3">
      <c r="A28" s="23"/>
    </row>
    <row r="29" spans="1:13" x14ac:dyDescent="0.3">
      <c r="A29" s="23"/>
    </row>
    <row r="30" spans="1:13" x14ac:dyDescent="0.3">
      <c r="A30" s="23"/>
    </row>
    <row r="31" spans="1:13" x14ac:dyDescent="0.3">
      <c r="A31" s="23"/>
      <c r="B31" s="23"/>
    </row>
    <row r="36" spans="6:6" x14ac:dyDescent="0.3">
      <c r="F36" s="23" t="s">
        <v>93</v>
      </c>
    </row>
    <row r="37" spans="6:6" x14ac:dyDescent="0.3">
      <c r="F37" s="23" t="s">
        <v>94</v>
      </c>
    </row>
    <row r="38" spans="6:6" x14ac:dyDescent="0.3">
      <c r="F38" s="23" t="s">
        <v>94</v>
      </c>
    </row>
    <row r="39" spans="6:6" x14ac:dyDescent="0.3">
      <c r="F39" s="23" t="s">
        <v>94</v>
      </c>
    </row>
    <row r="40" spans="6:6" x14ac:dyDescent="0.3">
      <c r="F40" s="23" t="s">
        <v>94</v>
      </c>
    </row>
    <row r="41" spans="6:6" x14ac:dyDescent="0.3">
      <c r="F41" s="23" t="s">
        <v>94</v>
      </c>
    </row>
    <row r="42" spans="6:6" x14ac:dyDescent="0.3">
      <c r="F42" s="23" t="s">
        <v>94</v>
      </c>
    </row>
    <row r="43" spans="6:6" x14ac:dyDescent="0.3">
      <c r="F43" s="75" t="s">
        <v>95</v>
      </c>
    </row>
    <row r="44" spans="6:6" x14ac:dyDescent="0.3">
      <c r="F44" s="23" t="s">
        <v>94</v>
      </c>
    </row>
    <row r="45" spans="6:6" x14ac:dyDescent="0.3">
      <c r="F45" s="75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4"/>
  <sheetViews>
    <sheetView topLeftCell="B1" workbookViewId="0">
      <selection activeCell="B19" sqref="B19"/>
    </sheetView>
  </sheetViews>
  <sheetFormatPr defaultRowHeight="12.45" x14ac:dyDescent="0.3"/>
  <cols>
    <col min="1" max="1" width="9.15234375" style="1" customWidth="1"/>
    <col min="3" max="10" width="9.07421875" style="4" customWidth="1"/>
    <col min="11" max="18" width="9.15234375" style="4" customWidth="1"/>
  </cols>
  <sheetData>
    <row r="1" spans="1:10" x14ac:dyDescent="0.3">
      <c r="A1" s="9"/>
      <c r="B1" s="6"/>
      <c r="C1" s="10"/>
      <c r="D1" s="10"/>
      <c r="E1" s="20" t="s">
        <v>37</v>
      </c>
      <c r="F1" s="10"/>
      <c r="G1" s="10"/>
      <c r="H1" s="10"/>
      <c r="I1" s="10"/>
      <c r="J1" s="10"/>
    </row>
    <row r="2" spans="1:10" x14ac:dyDescent="0.3">
      <c r="A2" s="9" t="s">
        <v>0</v>
      </c>
      <c r="B2" s="6" t="s">
        <v>1</v>
      </c>
      <c r="C2" s="10"/>
      <c r="D2" s="10"/>
      <c r="E2" s="10"/>
      <c r="F2" s="10"/>
      <c r="G2" s="10"/>
      <c r="H2" s="11"/>
      <c r="I2" s="11"/>
      <c r="J2" s="10"/>
    </row>
    <row r="3" spans="1:10" x14ac:dyDescent="0.3">
      <c r="A3" s="40">
        <v>36161</v>
      </c>
      <c r="B3" s="41">
        <v>211</v>
      </c>
    </row>
    <row r="4" spans="1:10" x14ac:dyDescent="0.3">
      <c r="A4" s="40">
        <v>36192</v>
      </c>
      <c r="B4" s="41">
        <v>338</v>
      </c>
    </row>
    <row r="5" spans="1:10" x14ac:dyDescent="0.3">
      <c r="A5" s="40">
        <v>36220</v>
      </c>
      <c r="B5" s="41">
        <v>191</v>
      </c>
    </row>
    <row r="6" spans="1:10" x14ac:dyDescent="0.3">
      <c r="A6" s="40">
        <v>36251</v>
      </c>
      <c r="B6" s="41">
        <v>192</v>
      </c>
    </row>
    <row r="7" spans="1:10" x14ac:dyDescent="0.3">
      <c r="A7" s="40">
        <v>36281</v>
      </c>
      <c r="B7" s="41">
        <v>138</v>
      </c>
    </row>
    <row r="8" spans="1:10" x14ac:dyDescent="0.3">
      <c r="A8" s="40">
        <v>36312</v>
      </c>
      <c r="B8" s="41">
        <v>148</v>
      </c>
    </row>
    <row r="9" spans="1:10" x14ac:dyDescent="0.3">
      <c r="A9" s="40">
        <v>36342</v>
      </c>
      <c r="B9" s="41">
        <v>205</v>
      </c>
    </row>
    <row r="10" spans="1:10" x14ac:dyDescent="0.3">
      <c r="A10" s="40">
        <v>36373</v>
      </c>
      <c r="B10" s="41">
        <v>244</v>
      </c>
    </row>
    <row r="11" spans="1:10" x14ac:dyDescent="0.3">
      <c r="A11" s="40">
        <v>36404</v>
      </c>
      <c r="B11" s="41">
        <v>164</v>
      </c>
    </row>
    <row r="12" spans="1:10" x14ac:dyDescent="0.3">
      <c r="A12" s="40">
        <v>36434</v>
      </c>
      <c r="B12" s="41">
        <v>200</v>
      </c>
    </row>
    <row r="13" spans="1:10" x14ac:dyDescent="0.3">
      <c r="A13" s="40">
        <v>36465</v>
      </c>
      <c r="B13" s="41">
        <v>205</v>
      </c>
    </row>
    <row r="14" spans="1:10" x14ac:dyDescent="0.3">
      <c r="A14" s="40">
        <v>36495</v>
      </c>
      <c r="B14" s="41">
        <v>229</v>
      </c>
    </row>
    <row r="15" spans="1:10" x14ac:dyDescent="0.3">
      <c r="A15" s="2">
        <v>36526</v>
      </c>
      <c r="B15" s="3">
        <v>244</v>
      </c>
    </row>
    <row r="16" spans="1:10" x14ac:dyDescent="0.3">
      <c r="A16" s="2">
        <v>36557</v>
      </c>
      <c r="B16" s="3">
        <v>403</v>
      </c>
    </row>
    <row r="17" spans="1:2" x14ac:dyDescent="0.3">
      <c r="A17" s="2">
        <v>36586</v>
      </c>
      <c r="B17" s="3">
        <v>213</v>
      </c>
    </row>
    <row r="18" spans="1:2" x14ac:dyDescent="0.3">
      <c r="A18" s="2">
        <v>36617</v>
      </c>
      <c r="B18" s="3">
        <v>244</v>
      </c>
    </row>
    <row r="19" spans="1:2" x14ac:dyDescent="0.3">
      <c r="A19" s="2">
        <v>36647</v>
      </c>
      <c r="B19" s="3">
        <v>153</v>
      </c>
    </row>
    <row r="20" spans="1:2" x14ac:dyDescent="0.3">
      <c r="A20" s="2">
        <v>36678</v>
      </c>
      <c r="B20" s="3">
        <v>195</v>
      </c>
    </row>
    <row r="21" spans="1:2" x14ac:dyDescent="0.3">
      <c r="A21" s="2">
        <v>36708</v>
      </c>
      <c r="B21" s="3">
        <v>231</v>
      </c>
    </row>
    <row r="22" spans="1:2" x14ac:dyDescent="0.3">
      <c r="A22" s="2">
        <v>36739</v>
      </c>
      <c r="B22" s="3">
        <v>327</v>
      </c>
    </row>
    <row r="23" spans="1:2" x14ac:dyDescent="0.3">
      <c r="A23" s="2">
        <v>36770</v>
      </c>
      <c r="B23" s="3">
        <v>337</v>
      </c>
    </row>
    <row r="24" spans="1:2" x14ac:dyDescent="0.3">
      <c r="A24" s="2">
        <v>36800</v>
      </c>
      <c r="B24" s="3">
        <v>247</v>
      </c>
    </row>
    <row r="25" spans="1:2" x14ac:dyDescent="0.3">
      <c r="A25" s="2">
        <v>36831</v>
      </c>
      <c r="B25" s="3">
        <v>234</v>
      </c>
    </row>
    <row r="26" spans="1:2" x14ac:dyDescent="0.3">
      <c r="A26" s="2">
        <v>36861</v>
      </c>
      <c r="B26" s="3">
        <v>438</v>
      </c>
    </row>
    <row r="27" spans="1:2" x14ac:dyDescent="0.3">
      <c r="A27" s="40">
        <v>36892</v>
      </c>
      <c r="B27" s="41">
        <v>291</v>
      </c>
    </row>
    <row r="28" spans="1:2" x14ac:dyDescent="0.3">
      <c r="A28" s="40">
        <v>36923</v>
      </c>
      <c r="B28" s="41">
        <v>386</v>
      </c>
    </row>
    <row r="29" spans="1:2" x14ac:dyDescent="0.3">
      <c r="A29" s="40">
        <v>36951</v>
      </c>
      <c r="B29" s="41">
        <v>335</v>
      </c>
    </row>
    <row r="30" spans="1:2" x14ac:dyDescent="0.3">
      <c r="A30" s="40">
        <v>36982</v>
      </c>
      <c r="B30" s="41">
        <v>278</v>
      </c>
    </row>
    <row r="31" spans="1:2" x14ac:dyDescent="0.3">
      <c r="A31" s="40">
        <v>37012</v>
      </c>
      <c r="B31" s="41">
        <v>159</v>
      </c>
    </row>
    <row r="32" spans="1:2" x14ac:dyDescent="0.3">
      <c r="A32" s="40">
        <v>37043</v>
      </c>
      <c r="B32" s="41">
        <v>209</v>
      </c>
    </row>
    <row r="33" spans="1:2" x14ac:dyDescent="0.3">
      <c r="A33" s="40">
        <v>37073</v>
      </c>
      <c r="B33" s="41">
        <v>205</v>
      </c>
    </row>
    <row r="34" spans="1:2" x14ac:dyDescent="0.3">
      <c r="A34" s="40">
        <v>37104</v>
      </c>
      <c r="B34" s="41">
        <v>364</v>
      </c>
    </row>
    <row r="35" spans="1:2" x14ac:dyDescent="0.3">
      <c r="A35" s="40">
        <v>37135</v>
      </c>
      <c r="B35" s="41">
        <v>263</v>
      </c>
    </row>
    <row r="36" spans="1:2" x14ac:dyDescent="0.3">
      <c r="A36" s="40">
        <v>37165</v>
      </c>
      <c r="B36" s="41">
        <v>280</v>
      </c>
    </row>
    <row r="37" spans="1:2" x14ac:dyDescent="0.3">
      <c r="A37" s="40">
        <v>37196</v>
      </c>
      <c r="B37" s="41">
        <v>282</v>
      </c>
    </row>
    <row r="38" spans="1:2" x14ac:dyDescent="0.3">
      <c r="A38" s="40">
        <v>37226</v>
      </c>
      <c r="B38" s="41">
        <v>273</v>
      </c>
    </row>
    <row r="39" spans="1:2" x14ac:dyDescent="0.3">
      <c r="A39" s="2">
        <v>37257</v>
      </c>
      <c r="B39" s="3">
        <v>323</v>
      </c>
    </row>
    <row r="40" spans="1:2" x14ac:dyDescent="0.3">
      <c r="A40" s="2">
        <v>37288</v>
      </c>
      <c r="B40" s="3">
        <v>478</v>
      </c>
    </row>
    <row r="41" spans="1:2" x14ac:dyDescent="0.3">
      <c r="A41" s="2">
        <v>37316</v>
      </c>
      <c r="B41" s="3">
        <v>327</v>
      </c>
    </row>
    <row r="42" spans="1:2" x14ac:dyDescent="0.3">
      <c r="A42" s="2">
        <v>37347</v>
      </c>
      <c r="B42" s="3">
        <v>327</v>
      </c>
    </row>
    <row r="43" spans="1:2" x14ac:dyDescent="0.3">
      <c r="A43" s="2">
        <v>37377</v>
      </c>
      <c r="B43" s="3">
        <v>211</v>
      </c>
    </row>
    <row r="44" spans="1:2" x14ac:dyDescent="0.3">
      <c r="A44" s="2">
        <v>37408</v>
      </c>
      <c r="B44" s="3">
        <v>342</v>
      </c>
    </row>
    <row r="45" spans="1:2" x14ac:dyDescent="0.3">
      <c r="A45" s="2">
        <v>37438</v>
      </c>
      <c r="B45" s="3">
        <v>288</v>
      </c>
    </row>
    <row r="46" spans="1:2" x14ac:dyDescent="0.3">
      <c r="A46" s="2">
        <v>37469</v>
      </c>
      <c r="B46" s="3">
        <v>374</v>
      </c>
    </row>
    <row r="47" spans="1:2" x14ac:dyDescent="0.3">
      <c r="A47" s="2">
        <v>37500</v>
      </c>
      <c r="B47" s="3">
        <v>304</v>
      </c>
    </row>
    <row r="48" spans="1:2" x14ac:dyDescent="0.3">
      <c r="A48" s="2">
        <v>37530</v>
      </c>
      <c r="B48" s="3">
        <v>337</v>
      </c>
    </row>
    <row r="49" spans="1:2" x14ac:dyDescent="0.3">
      <c r="A49" s="2">
        <v>37561</v>
      </c>
      <c r="B49" s="3">
        <v>304</v>
      </c>
    </row>
    <row r="50" spans="1:2" x14ac:dyDescent="0.3">
      <c r="A50" s="2">
        <v>37591</v>
      </c>
      <c r="B50" s="3">
        <v>357</v>
      </c>
    </row>
    <row r="51" spans="1:2" x14ac:dyDescent="0.3">
      <c r="A51" s="40">
        <v>37622</v>
      </c>
      <c r="B51" s="41">
        <v>328</v>
      </c>
    </row>
    <row r="52" spans="1:2" x14ac:dyDescent="0.3">
      <c r="A52" s="40">
        <v>37653</v>
      </c>
      <c r="B52" s="41">
        <v>512</v>
      </c>
    </row>
    <row r="53" spans="1:2" x14ac:dyDescent="0.3">
      <c r="A53" s="40">
        <v>37681</v>
      </c>
      <c r="B53" s="41">
        <v>310</v>
      </c>
    </row>
    <row r="54" spans="1:2" x14ac:dyDescent="0.3">
      <c r="A54" s="40">
        <v>37712</v>
      </c>
      <c r="B54" s="41">
        <v>346</v>
      </c>
    </row>
    <row r="55" spans="1:2" x14ac:dyDescent="0.3">
      <c r="A55" s="40">
        <v>37742</v>
      </c>
      <c r="B55" s="41">
        <v>261</v>
      </c>
    </row>
    <row r="56" spans="1:2" x14ac:dyDescent="0.3">
      <c r="A56" s="40">
        <v>37773</v>
      </c>
      <c r="B56" s="41">
        <v>296</v>
      </c>
    </row>
    <row r="57" spans="1:2" x14ac:dyDescent="0.3">
      <c r="A57" s="40">
        <v>37803</v>
      </c>
      <c r="B57" s="41">
        <v>394</v>
      </c>
    </row>
    <row r="58" spans="1:2" x14ac:dyDescent="0.3">
      <c r="A58" s="40">
        <v>37834</v>
      </c>
      <c r="B58" s="41">
        <v>331</v>
      </c>
    </row>
    <row r="59" spans="1:2" x14ac:dyDescent="0.3">
      <c r="A59" s="40">
        <v>37865</v>
      </c>
      <c r="B59" s="41">
        <v>305</v>
      </c>
    </row>
    <row r="60" spans="1:2" x14ac:dyDescent="0.3">
      <c r="A60" s="40">
        <v>37895</v>
      </c>
      <c r="B60" s="41">
        <v>305</v>
      </c>
    </row>
    <row r="61" spans="1:2" x14ac:dyDescent="0.3">
      <c r="A61" s="40">
        <v>37926</v>
      </c>
      <c r="B61" s="41">
        <v>321</v>
      </c>
    </row>
    <row r="62" spans="1:2" x14ac:dyDescent="0.3">
      <c r="A62" s="40">
        <v>37956</v>
      </c>
      <c r="B62" s="41">
        <v>369</v>
      </c>
    </row>
    <row r="63" spans="1:2" x14ac:dyDescent="0.3">
      <c r="A63" s="2">
        <v>37987</v>
      </c>
      <c r="B63" s="3">
        <v>342</v>
      </c>
    </row>
    <row r="64" spans="1:2" x14ac:dyDescent="0.3">
      <c r="A64" s="2">
        <v>38018</v>
      </c>
      <c r="B64" s="3">
        <v>535</v>
      </c>
    </row>
    <row r="65" spans="1:1" x14ac:dyDescent="0.3">
      <c r="A65" s="2">
        <v>38047</v>
      </c>
    </row>
    <row r="66" spans="1:1" x14ac:dyDescent="0.3">
      <c r="A66" s="2">
        <v>38078</v>
      </c>
    </row>
    <row r="67" spans="1:1" x14ac:dyDescent="0.3">
      <c r="A67" s="2">
        <v>38108</v>
      </c>
    </row>
    <row r="68" spans="1:1" x14ac:dyDescent="0.3">
      <c r="A68" s="2">
        <v>38139</v>
      </c>
    </row>
    <row r="69" spans="1:1" x14ac:dyDescent="0.3">
      <c r="A69" s="2">
        <v>38169</v>
      </c>
    </row>
    <row r="70" spans="1:1" x14ac:dyDescent="0.3">
      <c r="A70" s="2">
        <v>38200</v>
      </c>
    </row>
    <row r="71" spans="1:1" x14ac:dyDescent="0.3">
      <c r="A71" s="2">
        <v>38231</v>
      </c>
    </row>
    <row r="72" spans="1:1" x14ac:dyDescent="0.3">
      <c r="A72" s="2">
        <v>38261</v>
      </c>
    </row>
    <row r="73" spans="1:1" x14ac:dyDescent="0.3">
      <c r="A73" s="2">
        <v>38292</v>
      </c>
    </row>
    <row r="74" spans="1:1" x14ac:dyDescent="0.3">
      <c r="A74" s="2">
        <v>38322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workbookViewId="0">
      <selection activeCell="E5" sqref="E5"/>
    </sheetView>
  </sheetViews>
  <sheetFormatPr defaultRowHeight="12.45" x14ac:dyDescent="0.3"/>
  <sheetData>
    <row r="1" spans="1:8" x14ac:dyDescent="0.3">
      <c r="C1" s="18" t="s">
        <v>11</v>
      </c>
      <c r="D1" s="21">
        <f>SLOPE(B5:B13,G4:G12)</f>
        <v>282.23333333333335</v>
      </c>
    </row>
    <row r="2" spans="1:8" ht="20.6" thickBot="1" x14ac:dyDescent="0.55000000000000004">
      <c r="C2" s="19" t="s">
        <v>12</v>
      </c>
      <c r="D2" s="22">
        <f>INTERCEPT(B5:B13,G4:G12)</f>
        <v>1506.6111111111111</v>
      </c>
      <c r="G2" s="50" t="s">
        <v>43</v>
      </c>
    </row>
    <row r="4" spans="1:8" x14ac:dyDescent="0.3">
      <c r="A4" s="6" t="s">
        <v>2</v>
      </c>
      <c r="B4" s="6" t="s">
        <v>1</v>
      </c>
      <c r="C4" s="6" t="s">
        <v>6</v>
      </c>
      <c r="D4" s="6" t="s">
        <v>7</v>
      </c>
      <c r="E4" s="6" t="s">
        <v>10</v>
      </c>
      <c r="G4">
        <v>1</v>
      </c>
    </row>
    <row r="5" spans="1:8" x14ac:dyDescent="0.3">
      <c r="A5">
        <v>1995</v>
      </c>
      <c r="B5">
        <v>1845</v>
      </c>
      <c r="C5" s="17">
        <f t="shared" ref="C5:C14" si="0">$D$1*G4+$D$2</f>
        <v>1788.8444444444444</v>
      </c>
      <c r="D5" s="17">
        <f>ABS(C5-B5)</f>
        <v>56.155555555555566</v>
      </c>
      <c r="E5" s="17">
        <f>D5*H15</f>
        <v>5.6155555555555567</v>
      </c>
      <c r="G5">
        <v>2</v>
      </c>
    </row>
    <row r="6" spans="1:8" x14ac:dyDescent="0.3">
      <c r="A6">
        <v>1996</v>
      </c>
      <c r="B6">
        <v>2088</v>
      </c>
      <c r="C6" s="17">
        <f t="shared" si="0"/>
        <v>2071.0777777777776</v>
      </c>
      <c r="D6" s="17">
        <f t="shared" ref="D6:D13" si="1">ABS(C6-B6)</f>
        <v>16.922222222222445</v>
      </c>
      <c r="E6" s="17">
        <f>$H$15*ABS(B6-C6)+(1-$H$15)*E5</f>
        <v>6.7462222222222454</v>
      </c>
      <c r="G6">
        <v>3</v>
      </c>
    </row>
    <row r="7" spans="1:8" x14ac:dyDescent="0.3">
      <c r="A7">
        <v>1997</v>
      </c>
      <c r="B7">
        <v>2345</v>
      </c>
      <c r="C7" s="17">
        <f t="shared" si="0"/>
        <v>2353.3111111111111</v>
      </c>
      <c r="D7" s="17">
        <f t="shared" si="1"/>
        <v>8.3111111111111313</v>
      </c>
      <c r="E7" s="17">
        <f t="shared" ref="E7:E13" si="2">$H$15*ABS(B7-C7)+(1-$H$15)*E6</f>
        <v>6.9027111111111346</v>
      </c>
      <c r="G7">
        <v>4</v>
      </c>
    </row>
    <row r="8" spans="1:8" x14ac:dyDescent="0.3">
      <c r="A8">
        <v>1998</v>
      </c>
      <c r="B8">
        <v>2876</v>
      </c>
      <c r="C8" s="17">
        <f t="shared" si="0"/>
        <v>2635.5444444444447</v>
      </c>
      <c r="D8" s="17">
        <f t="shared" si="1"/>
        <v>240.45555555555529</v>
      </c>
      <c r="E8" s="17">
        <f t="shared" si="2"/>
        <v>30.257995555555553</v>
      </c>
      <c r="G8">
        <v>5</v>
      </c>
    </row>
    <row r="9" spans="1:8" x14ac:dyDescent="0.3">
      <c r="A9">
        <v>1999</v>
      </c>
      <c r="B9">
        <v>2465</v>
      </c>
      <c r="C9" s="17">
        <f t="shared" si="0"/>
        <v>2917.7777777777778</v>
      </c>
      <c r="D9" s="17">
        <f t="shared" si="1"/>
        <v>452.77777777777783</v>
      </c>
      <c r="E9" s="17">
        <f t="shared" si="2"/>
        <v>72.509973777777788</v>
      </c>
      <c r="G9">
        <v>6</v>
      </c>
    </row>
    <row r="10" spans="1:8" x14ac:dyDescent="0.3">
      <c r="A10">
        <v>2000</v>
      </c>
      <c r="B10">
        <v>3266</v>
      </c>
      <c r="C10" s="17">
        <f t="shared" si="0"/>
        <v>3200.0111111111109</v>
      </c>
      <c r="D10" s="17">
        <f t="shared" si="1"/>
        <v>65.988888888889051</v>
      </c>
      <c r="E10" s="17">
        <f t="shared" si="2"/>
        <v>71.857865288888917</v>
      </c>
      <c r="G10">
        <v>7</v>
      </c>
    </row>
    <row r="11" spans="1:8" x14ac:dyDescent="0.3">
      <c r="A11">
        <v>2001</v>
      </c>
      <c r="B11">
        <v>3325</v>
      </c>
      <c r="C11" s="17">
        <f t="shared" si="0"/>
        <v>3482.2444444444445</v>
      </c>
      <c r="D11" s="17">
        <f t="shared" si="1"/>
        <v>157.24444444444453</v>
      </c>
      <c r="E11" s="17">
        <f t="shared" si="2"/>
        <v>80.396523204444492</v>
      </c>
      <c r="G11">
        <v>8</v>
      </c>
    </row>
    <row r="12" spans="1:8" x14ac:dyDescent="0.3">
      <c r="A12">
        <v>2002</v>
      </c>
      <c r="B12">
        <v>3972</v>
      </c>
      <c r="C12" s="17">
        <f t="shared" si="0"/>
        <v>3764.4777777777781</v>
      </c>
      <c r="D12" s="17">
        <f t="shared" si="1"/>
        <v>207.5222222222219</v>
      </c>
      <c r="E12" s="17">
        <f t="shared" si="2"/>
        <v>93.109093106222232</v>
      </c>
      <c r="G12">
        <v>9</v>
      </c>
    </row>
    <row r="13" spans="1:8" x14ac:dyDescent="0.3">
      <c r="A13">
        <v>2003</v>
      </c>
      <c r="B13">
        <v>4078</v>
      </c>
      <c r="C13" s="17">
        <f t="shared" si="0"/>
        <v>4046.7111111111117</v>
      </c>
      <c r="D13" s="17">
        <f t="shared" si="1"/>
        <v>31.288888888888323</v>
      </c>
      <c r="E13" s="17">
        <f t="shared" si="2"/>
        <v>86.927072684488849</v>
      </c>
      <c r="G13">
        <v>10</v>
      </c>
    </row>
    <row r="14" spans="1:8" x14ac:dyDescent="0.3">
      <c r="A14">
        <v>2004</v>
      </c>
      <c r="C14" s="17">
        <f t="shared" si="0"/>
        <v>4328.9444444444443</v>
      </c>
      <c r="D14" s="10"/>
      <c r="E14" s="46"/>
    </row>
    <row r="15" spans="1:8" ht="13.3" thickBot="1" x14ac:dyDescent="0.4">
      <c r="C15" s="16" t="s">
        <v>8</v>
      </c>
      <c r="D15" s="16" t="s">
        <v>9</v>
      </c>
      <c r="E15" s="16" t="s">
        <v>10</v>
      </c>
      <c r="G15" s="62" t="s">
        <v>76</v>
      </c>
      <c r="H15" s="63">
        <v>0.1</v>
      </c>
    </row>
    <row r="16" spans="1:8" ht="13.3" thickBot="1" x14ac:dyDescent="0.4">
      <c r="C16" s="47"/>
      <c r="D16" s="49">
        <f>AVERAGE(D5:D13)</f>
        <v>137.40740740740733</v>
      </c>
      <c r="E16" s="48">
        <f>E13</f>
        <v>86.927072684488849</v>
      </c>
      <c r="G16" s="5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"/>
  <sheetViews>
    <sheetView workbookViewId="0">
      <selection activeCell="Q13" sqref="Q13"/>
    </sheetView>
  </sheetViews>
  <sheetFormatPr defaultRowHeight="12.45" x14ac:dyDescent="0.3"/>
  <sheetData>
    <row r="1" spans="1:1" x14ac:dyDescent="0.3">
      <c r="A1" t="s">
        <v>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3"/>
  <sheetViews>
    <sheetView topLeftCell="C1" workbookViewId="0">
      <selection activeCell="I12" sqref="I12"/>
    </sheetView>
  </sheetViews>
  <sheetFormatPr defaultRowHeight="12.45" x14ac:dyDescent="0.3"/>
  <cols>
    <col min="1" max="1" width="4.23046875" customWidth="1"/>
    <col min="2" max="2" width="14.3046875" customWidth="1"/>
    <col min="4" max="4" width="10.69140625" customWidth="1"/>
    <col min="5" max="5" width="9.23046875" bestFit="1" customWidth="1"/>
    <col min="6" max="6" width="9.15234375" bestFit="1" customWidth="1"/>
    <col min="7" max="7" width="14.23046875" customWidth="1"/>
    <col min="8" max="9" width="9.15234375" bestFit="1" customWidth="1"/>
    <col min="10" max="10" width="5.23046875" customWidth="1"/>
  </cols>
  <sheetData>
    <row r="1" spans="1:9" x14ac:dyDescent="0.3">
      <c r="A1" s="23"/>
    </row>
    <row r="2" spans="1:9" x14ac:dyDescent="0.3">
      <c r="B2" s="44" t="s">
        <v>39</v>
      </c>
      <c r="C2" s="45"/>
      <c r="D2" s="45"/>
      <c r="E2" s="45"/>
      <c r="H2" s="67" t="s">
        <v>3</v>
      </c>
      <c r="I2" s="68">
        <v>0.3</v>
      </c>
    </row>
    <row r="3" spans="1:9" x14ac:dyDescent="0.3">
      <c r="B3" s="44" t="s">
        <v>40</v>
      </c>
      <c r="C3" s="45"/>
      <c r="D3" s="45"/>
      <c r="E3" s="45"/>
      <c r="H3" s="67" t="s">
        <v>4</v>
      </c>
      <c r="I3" s="68">
        <v>0.3</v>
      </c>
    </row>
    <row r="4" spans="1:9" ht="12.9" x14ac:dyDescent="0.35">
      <c r="B4" s="44" t="s">
        <v>41</v>
      </c>
      <c r="C4" s="45"/>
      <c r="D4" s="45"/>
      <c r="E4" s="45"/>
      <c r="H4" s="62" t="s">
        <v>76</v>
      </c>
      <c r="I4" s="68">
        <v>0.1</v>
      </c>
    </row>
    <row r="5" spans="1:9" x14ac:dyDescent="0.3">
      <c r="B5" s="44" t="s">
        <v>42</v>
      </c>
      <c r="C5" s="45"/>
      <c r="D5" s="45"/>
      <c r="E5" s="45"/>
    </row>
    <row r="7" spans="1:9" x14ac:dyDescent="0.3">
      <c r="B7" s="37">
        <v>279.125</v>
      </c>
      <c r="C7" s="13" t="s">
        <v>5</v>
      </c>
      <c r="D7" s="12"/>
      <c r="E7" s="12"/>
      <c r="F7" s="12"/>
    </row>
    <row r="8" spans="1:9" x14ac:dyDescent="0.3">
      <c r="B8" s="43" t="s">
        <v>38</v>
      </c>
      <c r="C8" s="12"/>
      <c r="D8" s="12"/>
      <c r="E8" s="12"/>
      <c r="F8" s="12"/>
    </row>
    <row r="10" spans="1:9" x14ac:dyDescent="0.3">
      <c r="B10" s="14" t="s">
        <v>2</v>
      </c>
      <c r="C10" s="14" t="s">
        <v>1</v>
      </c>
      <c r="D10" s="7" t="s">
        <v>29</v>
      </c>
      <c r="E10" s="7" t="s">
        <v>30</v>
      </c>
      <c r="F10" s="7" t="s">
        <v>31</v>
      </c>
      <c r="G10" s="14" t="s">
        <v>32</v>
      </c>
      <c r="H10" s="14" t="s">
        <v>7</v>
      </c>
      <c r="I10" s="14" t="s">
        <v>10</v>
      </c>
    </row>
    <row r="11" spans="1:9" x14ac:dyDescent="0.3">
      <c r="B11">
        <v>1995</v>
      </c>
      <c r="C11">
        <v>1845</v>
      </c>
      <c r="D11" s="71">
        <f>C11</f>
        <v>1845</v>
      </c>
      <c r="E11" s="60">
        <f>D11</f>
        <v>1845</v>
      </c>
      <c r="F11" s="60">
        <f>B7</f>
        <v>279.125</v>
      </c>
      <c r="G11" s="60"/>
      <c r="H11" s="60"/>
      <c r="I11" s="60"/>
    </row>
    <row r="12" spans="1:9" x14ac:dyDescent="0.3">
      <c r="B12">
        <v>1996</v>
      </c>
      <c r="C12">
        <v>2088</v>
      </c>
      <c r="D12" s="71">
        <f t="shared" ref="D12:D19" si="0">C12</f>
        <v>2088</v>
      </c>
      <c r="E12" s="60">
        <f>$I$2*D12+(1-$I$2)*(E11+F11)</f>
        <v>2113.2874999999999</v>
      </c>
      <c r="F12" s="60">
        <f>$I$3*(E12-E11)+(1-$I$3)*F11</f>
        <v>275.87374999999997</v>
      </c>
      <c r="G12" s="60">
        <f>E11+F11</f>
        <v>2124.125</v>
      </c>
      <c r="H12" s="60">
        <f>ABS(G12-D12)</f>
        <v>36.125</v>
      </c>
      <c r="I12" s="60">
        <f>H12*I4</f>
        <v>3.6125000000000003</v>
      </c>
    </row>
    <row r="13" spans="1:9" x14ac:dyDescent="0.3">
      <c r="B13">
        <v>1997</v>
      </c>
      <c r="C13">
        <v>2345</v>
      </c>
      <c r="D13" s="71">
        <f t="shared" si="0"/>
        <v>2345</v>
      </c>
      <c r="E13" s="60">
        <f t="shared" ref="E13:E19" si="1">$I$2*D13+(1-$I$2)*(E12+F12)</f>
        <v>2375.912875</v>
      </c>
      <c r="F13" s="60">
        <f t="shared" ref="F13:F19" si="2">$I$3*(E13-E12)+(1-$I$3)*F12</f>
        <v>271.89923750000003</v>
      </c>
      <c r="G13" s="60">
        <f t="shared" ref="G13:G20" si="3">E12+F12</f>
        <v>2389.1612500000001</v>
      </c>
      <c r="H13" s="60">
        <f t="shared" ref="H13:H19" si="4">ABS(G13-D13)</f>
        <v>44.161250000000109</v>
      </c>
      <c r="I13" s="60">
        <f>$I$4*ABS(D13-G13)+(1-$I$4)*I12</f>
        <v>7.6673750000000105</v>
      </c>
    </row>
    <row r="14" spans="1:9" x14ac:dyDescent="0.3">
      <c r="B14">
        <v>1998</v>
      </c>
      <c r="C14">
        <v>2876</v>
      </c>
      <c r="D14" s="71">
        <f t="shared" si="0"/>
        <v>2876</v>
      </c>
      <c r="E14" s="60">
        <f t="shared" si="1"/>
        <v>2716.2684787499998</v>
      </c>
      <c r="F14" s="60">
        <f t="shared" si="2"/>
        <v>292.4361473749999</v>
      </c>
      <c r="G14" s="60">
        <f t="shared" si="3"/>
        <v>2647.8121124999998</v>
      </c>
      <c r="H14" s="60">
        <f t="shared" si="4"/>
        <v>228.18788750000022</v>
      </c>
      <c r="I14" s="60">
        <f t="shared" ref="I14:I19" si="5">$I$4*ABS(D14-G14)+(1-$I$4)*I13</f>
        <v>29.719426250000033</v>
      </c>
    </row>
    <row r="15" spans="1:9" x14ac:dyDescent="0.3">
      <c r="B15">
        <v>1999</v>
      </c>
      <c r="C15">
        <v>2465</v>
      </c>
      <c r="D15" s="71">
        <f t="shared" si="0"/>
        <v>2465</v>
      </c>
      <c r="E15" s="60">
        <f t="shared" si="1"/>
        <v>2845.5932382874998</v>
      </c>
      <c r="F15" s="60">
        <f t="shared" si="2"/>
        <v>243.50273102374993</v>
      </c>
      <c r="G15" s="60">
        <f t="shared" si="3"/>
        <v>3008.7046261249998</v>
      </c>
      <c r="H15" s="60">
        <f t="shared" si="4"/>
        <v>543.70462612499978</v>
      </c>
      <c r="I15" s="60">
        <f t="shared" si="5"/>
        <v>81.117946237500007</v>
      </c>
    </row>
    <row r="16" spans="1:9" x14ac:dyDescent="0.3">
      <c r="B16">
        <v>2000</v>
      </c>
      <c r="C16">
        <v>3266</v>
      </c>
      <c r="D16" s="71">
        <f t="shared" si="0"/>
        <v>3266</v>
      </c>
      <c r="E16" s="60">
        <f t="shared" si="1"/>
        <v>3142.1671785178751</v>
      </c>
      <c r="F16" s="60">
        <f t="shared" si="2"/>
        <v>259.42409378573751</v>
      </c>
      <c r="G16" s="60">
        <f t="shared" si="3"/>
        <v>3089.09596931125</v>
      </c>
      <c r="H16" s="60">
        <f t="shared" si="4"/>
        <v>176.90403068875003</v>
      </c>
      <c r="I16" s="60">
        <f t="shared" si="5"/>
        <v>90.696554682625006</v>
      </c>
    </row>
    <row r="17" spans="2:11" x14ac:dyDescent="0.3">
      <c r="B17">
        <v>2001</v>
      </c>
      <c r="C17">
        <v>3325</v>
      </c>
      <c r="D17" s="71">
        <f t="shared" si="0"/>
        <v>3325</v>
      </c>
      <c r="E17" s="60">
        <f t="shared" si="1"/>
        <v>3378.6138906125288</v>
      </c>
      <c r="F17" s="60">
        <f t="shared" si="2"/>
        <v>252.53087927841239</v>
      </c>
      <c r="G17" s="60">
        <f t="shared" si="3"/>
        <v>3401.5912723036126</v>
      </c>
      <c r="H17" s="60">
        <f t="shared" si="4"/>
        <v>76.591272303612641</v>
      </c>
      <c r="I17" s="60">
        <f t="shared" si="5"/>
        <v>89.286026444723774</v>
      </c>
    </row>
    <row r="18" spans="2:11" ht="12.9" x14ac:dyDescent="0.35">
      <c r="B18">
        <v>2002</v>
      </c>
      <c r="C18">
        <v>3972</v>
      </c>
      <c r="D18" s="71">
        <f t="shared" si="0"/>
        <v>3972</v>
      </c>
      <c r="E18" s="60">
        <f t="shared" si="1"/>
        <v>3733.4013389236588</v>
      </c>
      <c r="F18" s="60">
        <f t="shared" si="2"/>
        <v>283.20784998822768</v>
      </c>
      <c r="G18" s="60">
        <f t="shared" si="3"/>
        <v>3631.1447698909415</v>
      </c>
      <c r="H18" s="60">
        <f t="shared" si="4"/>
        <v>340.85523010905854</v>
      </c>
      <c r="I18" s="60">
        <f t="shared" si="5"/>
        <v>114.44294681115724</v>
      </c>
      <c r="K18" s="51" t="s">
        <v>77</v>
      </c>
    </row>
    <row r="19" spans="2:11" x14ac:dyDescent="0.3">
      <c r="B19">
        <v>2003</v>
      </c>
      <c r="C19">
        <v>4078</v>
      </c>
      <c r="D19" s="71">
        <f t="shared" si="0"/>
        <v>4078</v>
      </c>
      <c r="E19" s="60">
        <f t="shared" si="1"/>
        <v>4035.02643223832</v>
      </c>
      <c r="F19" s="60">
        <f t="shared" si="2"/>
        <v>288.73302298615772</v>
      </c>
      <c r="G19" s="60">
        <f t="shared" si="3"/>
        <v>4016.6091889118866</v>
      </c>
      <c r="H19" s="60">
        <f t="shared" si="4"/>
        <v>61.390811088113423</v>
      </c>
      <c r="I19" s="60">
        <f t="shared" si="5"/>
        <v>109.13773323885286</v>
      </c>
    </row>
    <row r="20" spans="2:11" x14ac:dyDescent="0.3">
      <c r="B20">
        <v>2004</v>
      </c>
      <c r="D20" s="69"/>
      <c r="E20" s="69"/>
      <c r="F20" s="69"/>
      <c r="G20" s="60">
        <f t="shared" si="3"/>
        <v>4323.7594552244773</v>
      </c>
      <c r="H20" s="70"/>
      <c r="I20" s="70"/>
    </row>
    <row r="21" spans="2:11" ht="12.9" thickBot="1" x14ac:dyDescent="0.35">
      <c r="G21" s="10"/>
      <c r="H21" s="15" t="s">
        <v>9</v>
      </c>
      <c r="I21" s="15" t="s">
        <v>10</v>
      </c>
    </row>
    <row r="22" spans="2:11" ht="13.3" thickTop="1" thickBot="1" x14ac:dyDescent="0.35">
      <c r="H22" s="42">
        <f>AVERAGE(H12:H19)</f>
        <v>188.49001347681684</v>
      </c>
      <c r="I22" s="42">
        <f>I19</f>
        <v>109.13773323885286</v>
      </c>
    </row>
    <row r="23" spans="2:11" ht="12.9" thickTop="1" x14ac:dyDescent="0.3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"/>
  <sheetViews>
    <sheetView topLeftCell="C1" workbookViewId="0">
      <selection activeCell="B2" sqref="B2"/>
    </sheetView>
  </sheetViews>
  <sheetFormatPr defaultRowHeight="12.45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77"/>
  <sheetViews>
    <sheetView workbookViewId="0">
      <selection activeCell="G10" sqref="G10:J10"/>
    </sheetView>
  </sheetViews>
  <sheetFormatPr defaultRowHeight="12.45" x14ac:dyDescent="0.3"/>
  <cols>
    <col min="3" max="3" width="10.3828125" style="58" customWidth="1"/>
    <col min="4" max="4" width="11.07421875" customWidth="1"/>
    <col min="7" max="7" width="8.921875" style="25"/>
    <col min="8" max="11" width="9.15234375" bestFit="1" customWidth="1"/>
    <col min="12" max="12" width="8.15234375" customWidth="1"/>
    <col min="13" max="14" width="9.15234375" bestFit="1" customWidth="1"/>
    <col min="15" max="15" width="8.23046875" bestFit="1" customWidth="1"/>
    <col min="16" max="16" width="10.3046875" bestFit="1" customWidth="1"/>
    <col min="17" max="19" width="9.15234375" bestFit="1" customWidth="1"/>
  </cols>
  <sheetData>
    <row r="1" spans="1:19" x14ac:dyDescent="0.3">
      <c r="G1" s="24"/>
    </row>
    <row r="2" spans="1:19" x14ac:dyDescent="0.3">
      <c r="G2" s="24" t="s">
        <v>14</v>
      </c>
      <c r="H2" s="23" t="s">
        <v>46</v>
      </c>
    </row>
    <row r="3" spans="1:19" x14ac:dyDescent="0.3">
      <c r="A3" s="10" t="s">
        <v>0</v>
      </c>
      <c r="B3" s="10" t="s">
        <v>1</v>
      </c>
      <c r="C3" s="59" t="s">
        <v>6</v>
      </c>
      <c r="D3" s="7" t="s">
        <v>7</v>
      </c>
      <c r="E3" s="7" t="s">
        <v>13</v>
      </c>
      <c r="H3" s="51" t="s">
        <v>47</v>
      </c>
    </row>
    <row r="4" spans="1:19" x14ac:dyDescent="0.3">
      <c r="A4" s="40">
        <v>36161</v>
      </c>
      <c r="B4" s="41">
        <v>211</v>
      </c>
      <c r="C4" s="60">
        <f>$H$20*F13+$H$21</f>
        <v>216.79999999999998</v>
      </c>
      <c r="D4" s="60">
        <f>C4-B4</f>
        <v>5.7999999999999829</v>
      </c>
      <c r="E4" s="60">
        <f>D4*H9</f>
        <v>0.57999999999999829</v>
      </c>
      <c r="H4" s="23" t="s">
        <v>48</v>
      </c>
    </row>
    <row r="5" spans="1:19" x14ac:dyDescent="0.3">
      <c r="A5" s="40">
        <v>36192</v>
      </c>
      <c r="B5" s="41">
        <v>338</v>
      </c>
      <c r="C5" s="60">
        <f>$I$20*F13+$I$21</f>
        <v>338.8</v>
      </c>
      <c r="D5" s="60">
        <f t="shared" ref="D5:D65" si="0">C5-B5</f>
        <v>0.80000000000001137</v>
      </c>
      <c r="E5" s="60">
        <f>$H$9*ABS(D5)+(1-$H$9)*E4</f>
        <v>0.60199999999999965</v>
      </c>
      <c r="G5" s="24" t="s">
        <v>15</v>
      </c>
      <c r="H5" s="23" t="s">
        <v>49</v>
      </c>
    </row>
    <row r="6" spans="1:19" x14ac:dyDescent="0.3">
      <c r="A6" s="40">
        <v>36220</v>
      </c>
      <c r="B6" s="41">
        <v>191</v>
      </c>
      <c r="C6" s="60">
        <f>$J$20*F13+$J$21</f>
        <v>204.79999999999995</v>
      </c>
      <c r="D6" s="60">
        <f t="shared" si="0"/>
        <v>13.799999999999955</v>
      </c>
      <c r="E6" s="60">
        <f>$H$9*ABS(D6)+(1-$H$9)*E5</f>
        <v>1.9217999999999953</v>
      </c>
      <c r="G6" s="24" t="s">
        <v>16</v>
      </c>
      <c r="H6" s="23" t="s">
        <v>17</v>
      </c>
    </row>
    <row r="7" spans="1:19" x14ac:dyDescent="0.3">
      <c r="A7" s="40">
        <v>36251</v>
      </c>
      <c r="B7" s="41">
        <v>192</v>
      </c>
      <c r="C7" s="60">
        <f>$K$20*F13+$K$21</f>
        <v>199.19999999999996</v>
      </c>
      <c r="D7" s="60">
        <f t="shared" si="0"/>
        <v>7.1999999999999602</v>
      </c>
      <c r="E7" s="60">
        <f>$H$9*ABS(D7)+(1-$H$9)*E6</f>
        <v>2.4496199999999919</v>
      </c>
      <c r="G7" s="24" t="s">
        <v>18</v>
      </c>
      <c r="H7" s="23" t="s">
        <v>45</v>
      </c>
    </row>
    <row r="8" spans="1:19" x14ac:dyDescent="0.3">
      <c r="A8" s="40">
        <v>36281</v>
      </c>
      <c r="B8" s="41">
        <v>138</v>
      </c>
      <c r="C8" s="60">
        <f>$L$20*F13+$L$21</f>
        <v>123.60000000000002</v>
      </c>
      <c r="D8" s="60">
        <f t="shared" si="0"/>
        <v>-14.399999999999977</v>
      </c>
      <c r="E8" s="60">
        <f t="shared" ref="E8:E65" si="1">$H$9*ABS(B8-C8)+(1-$H$9)*E7</f>
        <v>3.6446579999999904</v>
      </c>
    </row>
    <row r="9" spans="1:19" ht="12.9" x14ac:dyDescent="0.35">
      <c r="A9" s="40">
        <v>36312</v>
      </c>
      <c r="B9" s="41">
        <v>148</v>
      </c>
      <c r="C9" s="60">
        <f>$M$20*F13+$M$21</f>
        <v>149.40000000000003</v>
      </c>
      <c r="D9" s="60">
        <f t="shared" si="0"/>
        <v>1.4000000000000341</v>
      </c>
      <c r="E9" s="60">
        <f t="shared" si="1"/>
        <v>3.4201921999999945</v>
      </c>
      <c r="G9" s="62" t="s">
        <v>76</v>
      </c>
      <c r="H9" s="63">
        <v>0.1</v>
      </c>
    </row>
    <row r="10" spans="1:19" ht="12.9" x14ac:dyDescent="0.35">
      <c r="A10" s="40">
        <v>36342</v>
      </c>
      <c r="B10" s="41">
        <v>205</v>
      </c>
      <c r="C10" s="60">
        <f>$N$20*F13+$N$21</f>
        <v>177.60000000000002</v>
      </c>
      <c r="D10" s="60">
        <f t="shared" si="0"/>
        <v>-27.399999999999977</v>
      </c>
      <c r="E10" s="60">
        <f t="shared" si="1"/>
        <v>5.8181729799999928</v>
      </c>
      <c r="G10" s="79" t="s">
        <v>99</v>
      </c>
      <c r="H10" s="79"/>
      <c r="I10" s="79"/>
      <c r="J10" s="79"/>
    </row>
    <row r="11" spans="1:19" x14ac:dyDescent="0.3">
      <c r="A11" s="40">
        <v>36373</v>
      </c>
      <c r="B11" s="41">
        <v>244</v>
      </c>
      <c r="C11" s="60">
        <f>$O$20*F13+$O$21</f>
        <v>283.8</v>
      </c>
      <c r="D11" s="60">
        <f t="shared" si="0"/>
        <v>39.800000000000011</v>
      </c>
      <c r="E11" s="60">
        <f t="shared" si="1"/>
        <v>9.2163556819999961</v>
      </c>
    </row>
    <row r="12" spans="1:19" x14ac:dyDescent="0.3">
      <c r="A12" s="40">
        <v>36404</v>
      </c>
      <c r="B12" s="41">
        <v>164</v>
      </c>
      <c r="C12" s="60">
        <f>$P$20*F13+$P$21</f>
        <v>224.80000000000004</v>
      </c>
      <c r="D12" s="60">
        <f t="shared" si="0"/>
        <v>60.80000000000004</v>
      </c>
      <c r="E12" s="60">
        <f t="shared" si="1"/>
        <v>14.374720113800002</v>
      </c>
      <c r="H12" s="6" t="s">
        <v>50</v>
      </c>
      <c r="I12" s="6" t="s">
        <v>51</v>
      </c>
      <c r="J12" s="6" t="s">
        <v>52</v>
      </c>
      <c r="K12" s="6" t="s">
        <v>53</v>
      </c>
      <c r="L12" s="6" t="s">
        <v>54</v>
      </c>
      <c r="M12" s="6" t="s">
        <v>55</v>
      </c>
      <c r="N12" s="6" t="s">
        <v>56</v>
      </c>
      <c r="O12" s="6" t="s">
        <v>57</v>
      </c>
      <c r="P12" s="6" t="s">
        <v>58</v>
      </c>
      <c r="Q12" s="6" t="s">
        <v>59</v>
      </c>
      <c r="R12" s="6" t="s">
        <v>60</v>
      </c>
      <c r="S12" s="6" t="s">
        <v>61</v>
      </c>
    </row>
    <row r="13" spans="1:19" x14ac:dyDescent="0.3">
      <c r="A13" s="40">
        <v>36434</v>
      </c>
      <c r="B13" s="41">
        <v>200</v>
      </c>
      <c r="C13" s="60">
        <f>$Q$20*F13+$Q$21</f>
        <v>213.8</v>
      </c>
      <c r="D13" s="60">
        <f t="shared" si="0"/>
        <v>13.800000000000011</v>
      </c>
      <c r="E13" s="60">
        <f t="shared" si="1"/>
        <v>14.317248102420002</v>
      </c>
      <c r="F13">
        <v>1</v>
      </c>
      <c r="G13" s="53">
        <v>1999</v>
      </c>
      <c r="H13" s="41">
        <v>211</v>
      </c>
      <c r="I13" s="41">
        <v>338</v>
      </c>
      <c r="J13" s="41">
        <v>191</v>
      </c>
      <c r="K13" s="41">
        <v>192</v>
      </c>
      <c r="L13" s="41">
        <v>138</v>
      </c>
      <c r="M13" s="41">
        <v>148</v>
      </c>
      <c r="N13" s="41">
        <v>205</v>
      </c>
      <c r="O13" s="41">
        <v>244</v>
      </c>
      <c r="P13" s="41">
        <v>164</v>
      </c>
      <c r="Q13" s="41">
        <v>200</v>
      </c>
      <c r="R13" s="41">
        <v>205</v>
      </c>
      <c r="S13" s="41">
        <v>229</v>
      </c>
    </row>
    <row r="14" spans="1:19" x14ac:dyDescent="0.3">
      <c r="A14" s="40">
        <v>36465</v>
      </c>
      <c r="B14" s="41">
        <v>205</v>
      </c>
      <c r="C14" s="60">
        <f>$R$20*F13+$R$21</f>
        <v>208.79999999999998</v>
      </c>
      <c r="D14" s="60">
        <f t="shared" si="0"/>
        <v>3.7999999999999829</v>
      </c>
      <c r="E14" s="60">
        <f t="shared" si="1"/>
        <v>13.265523292178001</v>
      </c>
      <c r="F14">
        <v>2</v>
      </c>
      <c r="G14" s="54">
        <v>2000</v>
      </c>
      <c r="H14" s="3">
        <v>244</v>
      </c>
      <c r="I14" s="3">
        <v>403</v>
      </c>
      <c r="J14" s="3">
        <v>213</v>
      </c>
      <c r="K14" s="3">
        <v>244</v>
      </c>
      <c r="L14" s="3">
        <v>153</v>
      </c>
      <c r="M14" s="3">
        <v>195</v>
      </c>
      <c r="N14" s="3">
        <v>231</v>
      </c>
      <c r="O14" s="3">
        <v>327</v>
      </c>
      <c r="P14" s="3">
        <v>337</v>
      </c>
      <c r="Q14" s="3">
        <v>247</v>
      </c>
      <c r="R14" s="3">
        <v>234</v>
      </c>
      <c r="S14" s="3">
        <v>438</v>
      </c>
    </row>
    <row r="15" spans="1:19" x14ac:dyDescent="0.3">
      <c r="A15" s="40">
        <v>36495</v>
      </c>
      <c r="B15" s="41">
        <v>229</v>
      </c>
      <c r="C15" s="60">
        <f>$S$20*F13+$S$21</f>
        <v>293.39999999999998</v>
      </c>
      <c r="D15" s="60">
        <f t="shared" si="0"/>
        <v>64.399999999999977</v>
      </c>
      <c r="E15" s="60">
        <f t="shared" si="1"/>
        <v>18.378970962960199</v>
      </c>
      <c r="F15">
        <v>3</v>
      </c>
      <c r="G15" s="52">
        <v>2001</v>
      </c>
      <c r="H15" s="41">
        <v>291</v>
      </c>
      <c r="I15" s="41">
        <v>386</v>
      </c>
      <c r="J15" s="41">
        <v>335</v>
      </c>
      <c r="K15" s="41">
        <v>278</v>
      </c>
      <c r="L15" s="41">
        <v>159</v>
      </c>
      <c r="M15" s="41">
        <v>209</v>
      </c>
      <c r="N15" s="41">
        <v>205</v>
      </c>
      <c r="O15" s="41">
        <v>364</v>
      </c>
      <c r="P15" s="41">
        <v>263</v>
      </c>
      <c r="Q15" s="41">
        <v>280</v>
      </c>
      <c r="R15" s="41">
        <v>282</v>
      </c>
      <c r="S15" s="41">
        <v>273</v>
      </c>
    </row>
    <row r="16" spans="1:19" x14ac:dyDescent="0.3">
      <c r="A16" s="2">
        <v>36526</v>
      </c>
      <c r="B16" s="3">
        <v>244</v>
      </c>
      <c r="C16" s="60">
        <f>$H$20*F14+$H$21</f>
        <v>248.09999999999997</v>
      </c>
      <c r="D16" s="60">
        <f t="shared" si="0"/>
        <v>4.0999999999999659</v>
      </c>
      <c r="E16" s="60">
        <f t="shared" si="1"/>
        <v>16.951073866664178</v>
      </c>
      <c r="F16">
        <v>4</v>
      </c>
      <c r="G16" s="54">
        <v>2002</v>
      </c>
      <c r="H16" s="3">
        <v>323</v>
      </c>
      <c r="I16" s="3">
        <v>478</v>
      </c>
      <c r="J16" s="3">
        <v>327</v>
      </c>
      <c r="K16" s="3">
        <v>327</v>
      </c>
      <c r="L16" s="3">
        <v>211</v>
      </c>
      <c r="M16" s="3">
        <v>342</v>
      </c>
      <c r="N16" s="3">
        <v>288</v>
      </c>
      <c r="O16" s="3">
        <v>374</v>
      </c>
      <c r="P16" s="3">
        <v>304</v>
      </c>
      <c r="Q16" s="3">
        <v>337</v>
      </c>
      <c r="R16" s="3">
        <v>304</v>
      </c>
      <c r="S16" s="3">
        <v>357</v>
      </c>
    </row>
    <row r="17" spans="1:19" x14ac:dyDescent="0.3">
      <c r="A17" s="2">
        <v>36557</v>
      </c>
      <c r="B17" s="3">
        <v>403</v>
      </c>
      <c r="C17" s="60">
        <f>$I$20*F14+$I$21</f>
        <v>381.1</v>
      </c>
      <c r="D17" s="60">
        <f t="shared" si="0"/>
        <v>-21.899999999999977</v>
      </c>
      <c r="E17" s="60">
        <f t="shared" si="1"/>
        <v>17.445966479997757</v>
      </c>
      <c r="F17">
        <v>5</v>
      </c>
      <c r="G17" s="52">
        <v>2003</v>
      </c>
      <c r="H17" s="41">
        <v>328</v>
      </c>
      <c r="I17" s="41">
        <v>512</v>
      </c>
      <c r="J17" s="41">
        <v>310</v>
      </c>
      <c r="K17" s="41">
        <v>346</v>
      </c>
      <c r="L17" s="41">
        <v>261</v>
      </c>
      <c r="M17" s="41">
        <v>296</v>
      </c>
      <c r="N17" s="41">
        <v>394</v>
      </c>
      <c r="O17" s="41">
        <v>331</v>
      </c>
      <c r="P17" s="41">
        <v>305</v>
      </c>
      <c r="Q17" s="41">
        <v>305</v>
      </c>
      <c r="R17" s="41">
        <v>321</v>
      </c>
      <c r="S17" s="41">
        <v>369</v>
      </c>
    </row>
    <row r="18" spans="1:19" x14ac:dyDescent="0.3">
      <c r="A18" s="2">
        <v>36586</v>
      </c>
      <c r="B18" s="3">
        <v>213</v>
      </c>
      <c r="C18" s="60">
        <f>$J$20*F14+$J$21</f>
        <v>239.99999999999997</v>
      </c>
      <c r="D18" s="60">
        <f t="shared" si="0"/>
        <v>26.999999999999972</v>
      </c>
      <c r="E18" s="60">
        <f t="shared" si="1"/>
        <v>18.401369831997979</v>
      </c>
      <c r="F18">
        <v>6</v>
      </c>
      <c r="G18" s="54">
        <v>2004</v>
      </c>
      <c r="H18" s="3">
        <v>342</v>
      </c>
      <c r="I18" s="3">
        <v>535</v>
      </c>
      <c r="J18" s="71">
        <f>J$20*$F$18+J$21</f>
        <v>380.79999999999995</v>
      </c>
      <c r="K18" s="71">
        <f t="shared" ref="K18:S18" si="2">K$20*$F$18+K$21</f>
        <v>394.7</v>
      </c>
      <c r="L18" s="71">
        <f t="shared" si="2"/>
        <v>275.60000000000002</v>
      </c>
      <c r="M18" s="71">
        <f t="shared" si="2"/>
        <v>370.9</v>
      </c>
      <c r="N18" s="71">
        <f t="shared" si="2"/>
        <v>395.1</v>
      </c>
      <c r="O18" s="71">
        <f t="shared" si="2"/>
        <v>394.3</v>
      </c>
      <c r="P18" s="71">
        <f t="shared" si="2"/>
        <v>349.3</v>
      </c>
      <c r="Q18" s="71">
        <f t="shared" si="2"/>
        <v>363.8</v>
      </c>
      <c r="R18" s="71">
        <f t="shared" si="2"/>
        <v>359.79999999999995</v>
      </c>
      <c r="S18" s="71">
        <f t="shared" si="2"/>
        <v>392.9</v>
      </c>
    </row>
    <row r="19" spans="1:19" x14ac:dyDescent="0.3">
      <c r="A19" s="2">
        <v>36617</v>
      </c>
      <c r="B19" s="3">
        <v>244</v>
      </c>
      <c r="C19" s="60">
        <f>$K$20*F14+$K$21</f>
        <v>238.29999999999995</v>
      </c>
      <c r="D19" s="60">
        <f t="shared" si="0"/>
        <v>-5.7000000000000455</v>
      </c>
      <c r="E19" s="60">
        <f t="shared" si="1"/>
        <v>17.131232848798184</v>
      </c>
    </row>
    <row r="20" spans="1:19" x14ac:dyDescent="0.3">
      <c r="A20" s="2">
        <v>36647</v>
      </c>
      <c r="B20" s="3">
        <v>153</v>
      </c>
      <c r="C20" s="60">
        <f>$L$20*F14+$L$21</f>
        <v>154</v>
      </c>
      <c r="D20" s="60">
        <f t="shared" si="0"/>
        <v>1</v>
      </c>
      <c r="E20" s="60">
        <f t="shared" si="1"/>
        <v>15.518109563918365</v>
      </c>
      <c r="G20" s="25" t="s">
        <v>75</v>
      </c>
      <c r="H20" s="58">
        <f>SLOPE(H$13:H$17,$F$13:$F$17)</f>
        <v>31.3</v>
      </c>
      <c r="I20" s="58">
        <f t="shared" ref="I20:S20" si="3">SLOPE(I$13:I$17,$F$13:$F$17)</f>
        <v>42.3</v>
      </c>
      <c r="J20" s="58">
        <f t="shared" si="3"/>
        <v>35.200000000000003</v>
      </c>
      <c r="K20" s="58">
        <f t="shared" si="3"/>
        <v>39.1</v>
      </c>
      <c r="L20" s="58">
        <f t="shared" si="3"/>
        <v>30.4</v>
      </c>
      <c r="M20" s="58">
        <f t="shared" si="3"/>
        <v>44.3</v>
      </c>
      <c r="N20" s="58">
        <f t="shared" si="3"/>
        <v>43.5</v>
      </c>
      <c r="O20" s="58">
        <f t="shared" si="3"/>
        <v>22.1</v>
      </c>
      <c r="P20" s="58">
        <f t="shared" si="3"/>
        <v>24.9</v>
      </c>
      <c r="Q20" s="58">
        <f t="shared" si="3"/>
        <v>30</v>
      </c>
      <c r="R20" s="58">
        <f t="shared" si="3"/>
        <v>30.2</v>
      </c>
      <c r="S20" s="58">
        <f t="shared" si="3"/>
        <v>19.899999999999999</v>
      </c>
    </row>
    <row r="21" spans="1:19" x14ac:dyDescent="0.3">
      <c r="A21" s="2">
        <v>36678</v>
      </c>
      <c r="B21" s="3">
        <v>195</v>
      </c>
      <c r="C21" s="60">
        <f>$M$20*F14+$M$21</f>
        <v>193.70000000000002</v>
      </c>
      <c r="D21" s="60">
        <f t="shared" si="0"/>
        <v>-1.2999999999999829</v>
      </c>
      <c r="E21" s="60">
        <f t="shared" si="1"/>
        <v>14.096298607526528</v>
      </c>
      <c r="G21" s="25" t="s">
        <v>74</v>
      </c>
      <c r="H21" s="58">
        <f>INTERCEPT(H$13:H$17,$F$13:$F$17)</f>
        <v>185.49999999999997</v>
      </c>
      <c r="I21" s="58">
        <f t="shared" ref="I21:S21" si="4">INTERCEPT(I$13:I$17,$F$13:$F$17)</f>
        <v>296.5</v>
      </c>
      <c r="J21" s="58">
        <f t="shared" si="4"/>
        <v>169.59999999999997</v>
      </c>
      <c r="K21" s="58">
        <f t="shared" si="4"/>
        <v>160.09999999999997</v>
      </c>
      <c r="L21" s="58">
        <f t="shared" si="4"/>
        <v>93.200000000000017</v>
      </c>
      <c r="M21" s="58">
        <f t="shared" si="4"/>
        <v>105.10000000000002</v>
      </c>
      <c r="N21" s="58">
        <f t="shared" si="4"/>
        <v>134.10000000000002</v>
      </c>
      <c r="O21" s="58">
        <f t="shared" si="4"/>
        <v>261.7</v>
      </c>
      <c r="P21" s="58">
        <f t="shared" si="4"/>
        <v>199.90000000000003</v>
      </c>
      <c r="Q21" s="58">
        <f t="shared" si="4"/>
        <v>183.8</v>
      </c>
      <c r="R21" s="58">
        <f t="shared" si="4"/>
        <v>178.6</v>
      </c>
      <c r="S21" s="58">
        <f t="shared" si="4"/>
        <v>273.5</v>
      </c>
    </row>
    <row r="22" spans="1:19" x14ac:dyDescent="0.3">
      <c r="A22" s="2">
        <v>36708</v>
      </c>
      <c r="B22" s="3">
        <v>231</v>
      </c>
      <c r="C22" s="60">
        <f>$N$20*F14+$N$21</f>
        <v>221.10000000000002</v>
      </c>
      <c r="D22" s="60">
        <f t="shared" si="0"/>
        <v>-9.8999999999999773</v>
      </c>
      <c r="E22" s="60">
        <f t="shared" si="1"/>
        <v>13.676668746773874</v>
      </c>
    </row>
    <row r="23" spans="1:19" x14ac:dyDescent="0.3">
      <c r="A23" s="2">
        <v>36739</v>
      </c>
      <c r="B23" s="3">
        <v>327</v>
      </c>
      <c r="C23" s="60">
        <f>$O$20*F14+$O$21</f>
        <v>305.89999999999998</v>
      </c>
      <c r="D23" s="60">
        <f t="shared" si="0"/>
        <v>-21.100000000000023</v>
      </c>
      <c r="E23" s="60">
        <f t="shared" si="1"/>
        <v>14.419001872096491</v>
      </c>
    </row>
    <row r="24" spans="1:19" x14ac:dyDescent="0.3">
      <c r="A24" s="2">
        <v>36770</v>
      </c>
      <c r="B24" s="3">
        <v>337</v>
      </c>
      <c r="C24" s="60">
        <f>$P$20*F14+$P$21</f>
        <v>249.70000000000005</v>
      </c>
      <c r="D24" s="60">
        <f t="shared" si="0"/>
        <v>-87.299999999999955</v>
      </c>
      <c r="E24" s="60">
        <f t="shared" si="1"/>
        <v>21.707101684886837</v>
      </c>
    </row>
    <row r="25" spans="1:19" x14ac:dyDescent="0.3">
      <c r="A25" s="2">
        <v>36800</v>
      </c>
      <c r="B25" s="3">
        <v>247</v>
      </c>
      <c r="C25" s="60">
        <f>$Q$20*F14+$Q$21</f>
        <v>243.8</v>
      </c>
      <c r="D25" s="60">
        <f t="shared" si="0"/>
        <v>-3.1999999999999886</v>
      </c>
      <c r="E25" s="60">
        <f t="shared" si="1"/>
        <v>19.856391516398155</v>
      </c>
    </row>
    <row r="26" spans="1:19" x14ac:dyDescent="0.3">
      <c r="A26" s="2">
        <v>36831</v>
      </c>
      <c r="B26" s="3">
        <v>234</v>
      </c>
      <c r="C26" s="60">
        <f>$R$20*F14+$R$21</f>
        <v>239</v>
      </c>
      <c r="D26" s="60">
        <f t="shared" si="0"/>
        <v>5</v>
      </c>
      <c r="E26" s="60">
        <f t="shared" si="1"/>
        <v>18.370752364758339</v>
      </c>
    </row>
    <row r="27" spans="1:19" x14ac:dyDescent="0.3">
      <c r="A27" s="2">
        <v>36861</v>
      </c>
      <c r="B27" s="3">
        <v>438</v>
      </c>
      <c r="C27" s="60">
        <f>$S$20*F14+$S$21</f>
        <v>313.3</v>
      </c>
      <c r="D27" s="60">
        <f t="shared" si="0"/>
        <v>-124.69999999999999</v>
      </c>
      <c r="E27" s="60">
        <f t="shared" si="1"/>
        <v>29.003677128282504</v>
      </c>
    </row>
    <row r="28" spans="1:19" x14ac:dyDescent="0.3">
      <c r="A28" s="40">
        <v>36892</v>
      </c>
      <c r="B28" s="41">
        <v>291</v>
      </c>
      <c r="C28" s="60">
        <f>$H$20*F15+$H$21</f>
        <v>279.39999999999998</v>
      </c>
      <c r="D28" s="60">
        <f t="shared" si="0"/>
        <v>-11.600000000000023</v>
      </c>
      <c r="E28" s="60">
        <f t="shared" si="1"/>
        <v>27.263309415454259</v>
      </c>
    </row>
    <row r="29" spans="1:19" x14ac:dyDescent="0.3">
      <c r="A29" s="40">
        <v>36923</v>
      </c>
      <c r="B29" s="41">
        <v>386</v>
      </c>
      <c r="C29" s="60">
        <f>$I$20*F15+$I$21</f>
        <v>423.4</v>
      </c>
      <c r="D29" s="60">
        <f t="shared" si="0"/>
        <v>37.399999999999977</v>
      </c>
      <c r="E29" s="60">
        <f t="shared" si="1"/>
        <v>28.276978473908834</v>
      </c>
    </row>
    <row r="30" spans="1:19" x14ac:dyDescent="0.3">
      <c r="A30" s="40">
        <v>36951</v>
      </c>
      <c r="B30" s="41">
        <v>335</v>
      </c>
      <c r="C30" s="60">
        <f>$J$20*F15+$J$21</f>
        <v>275.2</v>
      </c>
      <c r="D30" s="60">
        <f t="shared" si="0"/>
        <v>-59.800000000000011</v>
      </c>
      <c r="E30" s="60">
        <f t="shared" si="1"/>
        <v>31.429280626517951</v>
      </c>
    </row>
    <row r="31" spans="1:19" x14ac:dyDescent="0.3">
      <c r="A31" s="40">
        <v>36982</v>
      </c>
      <c r="B31" s="41">
        <v>278</v>
      </c>
      <c r="C31" s="60">
        <f>$K$20*F15+$K$21</f>
        <v>277.39999999999998</v>
      </c>
      <c r="D31" s="60">
        <f t="shared" si="0"/>
        <v>-0.60000000000002274</v>
      </c>
      <c r="E31" s="60">
        <f t="shared" si="1"/>
        <v>28.346352563866159</v>
      </c>
    </row>
    <row r="32" spans="1:19" x14ac:dyDescent="0.3">
      <c r="A32" s="40">
        <v>37012</v>
      </c>
      <c r="B32" s="41">
        <v>159</v>
      </c>
      <c r="C32" s="60">
        <f>$L$20*F15+$L$21</f>
        <v>184.4</v>
      </c>
      <c r="D32" s="60">
        <f t="shared" si="0"/>
        <v>25.400000000000006</v>
      </c>
      <c r="E32" s="60">
        <f t="shared" si="1"/>
        <v>28.051717307479542</v>
      </c>
    </row>
    <row r="33" spans="1:5" x14ac:dyDescent="0.3">
      <c r="A33" s="40">
        <v>37043</v>
      </c>
      <c r="B33" s="41">
        <v>209</v>
      </c>
      <c r="C33" s="60">
        <f>$M$20*F15+$M$21</f>
        <v>238</v>
      </c>
      <c r="D33" s="60">
        <f t="shared" si="0"/>
        <v>29</v>
      </c>
      <c r="E33" s="60">
        <f t="shared" si="1"/>
        <v>28.14654557673159</v>
      </c>
    </row>
    <row r="34" spans="1:5" x14ac:dyDescent="0.3">
      <c r="A34" s="40">
        <v>37073</v>
      </c>
      <c r="B34" s="41">
        <v>205</v>
      </c>
      <c r="C34" s="60">
        <f>$N$20*F15+$N$21</f>
        <v>264.60000000000002</v>
      </c>
      <c r="D34" s="60">
        <f t="shared" si="0"/>
        <v>59.600000000000023</v>
      </c>
      <c r="E34" s="60">
        <f t="shared" si="1"/>
        <v>31.291891019058433</v>
      </c>
    </row>
    <row r="35" spans="1:5" x14ac:dyDescent="0.3">
      <c r="A35" s="40">
        <v>37104</v>
      </c>
      <c r="B35" s="41">
        <v>364</v>
      </c>
      <c r="C35" s="60">
        <f>$O$20*F15+$O$21</f>
        <v>328</v>
      </c>
      <c r="D35" s="60">
        <f t="shared" si="0"/>
        <v>-36</v>
      </c>
      <c r="E35" s="60">
        <f t="shared" si="1"/>
        <v>31.76270191715259</v>
      </c>
    </row>
    <row r="36" spans="1:5" x14ac:dyDescent="0.3">
      <c r="A36" s="40">
        <v>37135</v>
      </c>
      <c r="B36" s="41">
        <v>263</v>
      </c>
      <c r="C36" s="60">
        <f>$P$20*F15+$P$21</f>
        <v>274.60000000000002</v>
      </c>
      <c r="D36" s="60">
        <f t="shared" si="0"/>
        <v>11.600000000000023</v>
      </c>
      <c r="E36" s="60">
        <f t="shared" si="1"/>
        <v>29.746431725437336</v>
      </c>
    </row>
    <row r="37" spans="1:5" x14ac:dyDescent="0.3">
      <c r="A37" s="40">
        <v>37165</v>
      </c>
      <c r="B37" s="41">
        <v>280</v>
      </c>
      <c r="C37" s="60">
        <f>$Q$20*F15+$Q$21</f>
        <v>273.8</v>
      </c>
      <c r="D37" s="60">
        <f t="shared" si="0"/>
        <v>-6.1999999999999886</v>
      </c>
      <c r="E37" s="60">
        <f t="shared" si="1"/>
        <v>27.391788552893601</v>
      </c>
    </row>
    <row r="38" spans="1:5" x14ac:dyDescent="0.3">
      <c r="A38" s="40">
        <v>37196</v>
      </c>
      <c r="B38" s="41">
        <v>282</v>
      </c>
      <c r="C38" s="60">
        <f>$R$20*F15+$R$21</f>
        <v>269.2</v>
      </c>
      <c r="D38" s="60">
        <f t="shared" si="0"/>
        <v>-12.800000000000011</v>
      </c>
      <c r="E38" s="60">
        <f t="shared" si="1"/>
        <v>25.932609697604242</v>
      </c>
    </row>
    <row r="39" spans="1:5" x14ac:dyDescent="0.3">
      <c r="A39" s="40">
        <v>37226</v>
      </c>
      <c r="B39" s="41">
        <v>273</v>
      </c>
      <c r="C39" s="60">
        <f>$S$20*F15+$S$21</f>
        <v>333.2</v>
      </c>
      <c r="D39" s="60">
        <f t="shared" si="0"/>
        <v>60.199999999999989</v>
      </c>
      <c r="E39" s="60">
        <f t="shared" si="1"/>
        <v>29.35934872784382</v>
      </c>
    </row>
    <row r="40" spans="1:5" x14ac:dyDescent="0.3">
      <c r="A40" s="2">
        <v>37257</v>
      </c>
      <c r="B40" s="3">
        <v>323</v>
      </c>
      <c r="C40" s="60">
        <f>$H$20*F16+$H$21</f>
        <v>310.7</v>
      </c>
      <c r="D40" s="60">
        <f t="shared" si="0"/>
        <v>-12.300000000000011</v>
      </c>
      <c r="E40" s="60">
        <f t="shared" si="1"/>
        <v>27.653413855059437</v>
      </c>
    </row>
    <row r="41" spans="1:5" x14ac:dyDescent="0.3">
      <c r="A41" s="2">
        <v>37288</v>
      </c>
      <c r="B41" s="3">
        <v>478</v>
      </c>
      <c r="C41" s="60">
        <f>$I$20*F16+$I$21</f>
        <v>465.7</v>
      </c>
      <c r="D41" s="60">
        <f t="shared" si="0"/>
        <v>-12.300000000000011</v>
      </c>
      <c r="E41" s="60">
        <f t="shared" si="1"/>
        <v>26.118072469553493</v>
      </c>
    </row>
    <row r="42" spans="1:5" x14ac:dyDescent="0.3">
      <c r="A42" s="2">
        <v>37316</v>
      </c>
      <c r="B42" s="3">
        <v>327</v>
      </c>
      <c r="C42" s="60">
        <f>$J$20*F16+$J$21</f>
        <v>310.39999999999998</v>
      </c>
      <c r="D42" s="60">
        <f t="shared" si="0"/>
        <v>-16.600000000000023</v>
      </c>
      <c r="E42" s="60">
        <f t="shared" si="1"/>
        <v>25.166265222598149</v>
      </c>
    </row>
    <row r="43" spans="1:5" x14ac:dyDescent="0.3">
      <c r="A43" s="2">
        <v>37347</v>
      </c>
      <c r="B43" s="3">
        <v>327</v>
      </c>
      <c r="C43" s="60">
        <f>$K$20*F16+$K$21</f>
        <v>316.5</v>
      </c>
      <c r="D43" s="60">
        <f t="shared" si="0"/>
        <v>-10.5</v>
      </c>
      <c r="E43" s="60">
        <f t="shared" si="1"/>
        <v>23.699638700338337</v>
      </c>
    </row>
    <row r="44" spans="1:5" x14ac:dyDescent="0.3">
      <c r="A44" s="2">
        <v>37377</v>
      </c>
      <c r="B44" s="3">
        <v>211</v>
      </c>
      <c r="C44" s="60">
        <f>$L$20*F16+$L$21</f>
        <v>214.8</v>
      </c>
      <c r="D44" s="60">
        <f t="shared" si="0"/>
        <v>3.8000000000000114</v>
      </c>
      <c r="E44" s="60">
        <f t="shared" si="1"/>
        <v>21.709674830304508</v>
      </c>
    </row>
    <row r="45" spans="1:5" x14ac:dyDescent="0.3">
      <c r="A45" s="2">
        <v>37408</v>
      </c>
      <c r="B45" s="3">
        <v>342</v>
      </c>
      <c r="C45" s="60">
        <f>$M$20*F16+$M$21</f>
        <v>282.3</v>
      </c>
      <c r="D45" s="60">
        <f t="shared" si="0"/>
        <v>-59.699999999999989</v>
      </c>
      <c r="E45" s="60">
        <f t="shared" si="1"/>
        <v>25.508707347274058</v>
      </c>
    </row>
    <row r="46" spans="1:5" x14ac:dyDescent="0.3">
      <c r="A46" s="2">
        <v>37438</v>
      </c>
      <c r="B46" s="3">
        <v>288</v>
      </c>
      <c r="C46" s="60">
        <f>$N$20*F16+$N$21</f>
        <v>308.10000000000002</v>
      </c>
      <c r="D46" s="60">
        <f t="shared" si="0"/>
        <v>20.100000000000023</v>
      </c>
      <c r="E46" s="60">
        <f t="shared" si="1"/>
        <v>24.967836612546655</v>
      </c>
    </row>
    <row r="47" spans="1:5" x14ac:dyDescent="0.3">
      <c r="A47" s="2">
        <v>37469</v>
      </c>
      <c r="B47" s="3">
        <v>374</v>
      </c>
      <c r="C47" s="60">
        <f>$O$20*F16+$O$21</f>
        <v>350.1</v>
      </c>
      <c r="D47" s="60">
        <f t="shared" si="0"/>
        <v>-23.899999999999977</v>
      </c>
      <c r="E47" s="60">
        <f t="shared" si="1"/>
        <v>24.861052951291988</v>
      </c>
    </row>
    <row r="48" spans="1:5" x14ac:dyDescent="0.3">
      <c r="A48" s="2">
        <v>37500</v>
      </c>
      <c r="B48" s="3">
        <v>304</v>
      </c>
      <c r="C48" s="60">
        <f>$P$20*F16+$P$21</f>
        <v>299.5</v>
      </c>
      <c r="D48" s="60">
        <f t="shared" si="0"/>
        <v>-4.5</v>
      </c>
      <c r="E48" s="60">
        <f t="shared" si="1"/>
        <v>22.824947656162788</v>
      </c>
    </row>
    <row r="49" spans="1:5" x14ac:dyDescent="0.3">
      <c r="A49" s="2">
        <v>37530</v>
      </c>
      <c r="B49" s="3">
        <v>337</v>
      </c>
      <c r="C49" s="60">
        <f>$Q$20*F16+$Q$21</f>
        <v>303.8</v>
      </c>
      <c r="D49" s="60">
        <f t="shared" si="0"/>
        <v>-33.199999999999989</v>
      </c>
      <c r="E49" s="60">
        <f t="shared" si="1"/>
        <v>23.862452890546511</v>
      </c>
    </row>
    <row r="50" spans="1:5" x14ac:dyDescent="0.3">
      <c r="A50" s="2">
        <v>37561</v>
      </c>
      <c r="B50" s="3">
        <v>304</v>
      </c>
      <c r="C50" s="60">
        <f>$R$20*F16+$R$21</f>
        <v>299.39999999999998</v>
      </c>
      <c r="D50" s="60">
        <f t="shared" si="0"/>
        <v>-4.6000000000000227</v>
      </c>
      <c r="E50" s="60">
        <f t="shared" si="1"/>
        <v>21.936207601491862</v>
      </c>
    </row>
    <row r="51" spans="1:5" x14ac:dyDescent="0.3">
      <c r="A51" s="2">
        <v>37591</v>
      </c>
      <c r="B51" s="3">
        <v>357</v>
      </c>
      <c r="C51" s="60">
        <f>$S$20*F16+$S$21</f>
        <v>353.1</v>
      </c>
      <c r="D51" s="60">
        <f t="shared" si="0"/>
        <v>-3.8999999999999773</v>
      </c>
      <c r="E51" s="60">
        <f t="shared" si="1"/>
        <v>20.132586841342672</v>
      </c>
    </row>
    <row r="52" spans="1:5" x14ac:dyDescent="0.3">
      <c r="A52" s="40">
        <v>37622</v>
      </c>
      <c r="B52" s="41">
        <v>328</v>
      </c>
      <c r="C52" s="60">
        <f>$H$20*F17+$H$21</f>
        <v>342</v>
      </c>
      <c r="D52" s="60">
        <f t="shared" si="0"/>
        <v>14</v>
      </c>
      <c r="E52" s="60">
        <f t="shared" si="1"/>
        <v>19.519328157208403</v>
      </c>
    </row>
    <row r="53" spans="1:5" x14ac:dyDescent="0.3">
      <c r="A53" s="40">
        <v>37653</v>
      </c>
      <c r="B53" s="41">
        <v>512</v>
      </c>
      <c r="C53" s="60">
        <f>$I$20*F17+$I$21</f>
        <v>508</v>
      </c>
      <c r="D53" s="60">
        <f t="shared" si="0"/>
        <v>-4</v>
      </c>
      <c r="E53" s="60">
        <f t="shared" si="1"/>
        <v>17.96739534148756</v>
      </c>
    </row>
    <row r="54" spans="1:5" x14ac:dyDescent="0.3">
      <c r="A54" s="40">
        <v>37681</v>
      </c>
      <c r="B54" s="41">
        <v>310</v>
      </c>
      <c r="C54" s="60">
        <f>$J$20*F17+$J$21</f>
        <v>345.59999999999997</v>
      </c>
      <c r="D54" s="60">
        <f t="shared" si="0"/>
        <v>35.599999999999966</v>
      </c>
      <c r="E54" s="60">
        <f t="shared" si="1"/>
        <v>19.730655807338799</v>
      </c>
    </row>
    <row r="55" spans="1:5" x14ac:dyDescent="0.3">
      <c r="A55" s="40">
        <v>37712</v>
      </c>
      <c r="B55" s="41">
        <v>346</v>
      </c>
      <c r="C55" s="60">
        <f>$K$20*F17+$K$21</f>
        <v>355.59999999999997</v>
      </c>
      <c r="D55" s="60">
        <f t="shared" si="0"/>
        <v>9.5999999999999659</v>
      </c>
      <c r="E55" s="60">
        <f t="shared" si="1"/>
        <v>18.717590226604916</v>
      </c>
    </row>
    <row r="56" spans="1:5" x14ac:dyDescent="0.3">
      <c r="A56" s="40">
        <v>37742</v>
      </c>
      <c r="B56" s="41">
        <v>261</v>
      </c>
      <c r="C56" s="60">
        <f>$L$20*F17+$L$21</f>
        <v>245.20000000000002</v>
      </c>
      <c r="D56" s="60">
        <f t="shared" si="0"/>
        <v>-15.799999999999983</v>
      </c>
      <c r="E56" s="60">
        <f t="shared" si="1"/>
        <v>18.425831203944423</v>
      </c>
    </row>
    <row r="57" spans="1:5" x14ac:dyDescent="0.3">
      <c r="A57" s="40">
        <v>37773</v>
      </c>
      <c r="B57" s="41">
        <v>296</v>
      </c>
      <c r="C57" s="60">
        <f>$M$20*F17+$M$21</f>
        <v>326.60000000000002</v>
      </c>
      <c r="D57" s="60">
        <f t="shared" si="0"/>
        <v>30.600000000000023</v>
      </c>
      <c r="E57" s="60">
        <f t="shared" si="1"/>
        <v>19.643248083549985</v>
      </c>
    </row>
    <row r="58" spans="1:5" x14ac:dyDescent="0.3">
      <c r="A58" s="40">
        <v>37803</v>
      </c>
      <c r="B58" s="41">
        <v>394</v>
      </c>
      <c r="C58" s="60">
        <f>$N$20*F17+$N$21</f>
        <v>351.6</v>
      </c>
      <c r="D58" s="60">
        <f t="shared" si="0"/>
        <v>-42.399999999999977</v>
      </c>
      <c r="E58" s="60">
        <f t="shared" si="1"/>
        <v>21.918923275194985</v>
      </c>
    </row>
    <row r="59" spans="1:5" x14ac:dyDescent="0.3">
      <c r="A59" s="40">
        <v>37834</v>
      </c>
      <c r="B59" s="41">
        <v>331</v>
      </c>
      <c r="C59" s="60">
        <f>$O$20*F17+$O$21</f>
        <v>372.2</v>
      </c>
      <c r="D59" s="60">
        <f t="shared" si="0"/>
        <v>41.199999999999989</v>
      </c>
      <c r="E59" s="60">
        <f t="shared" si="1"/>
        <v>23.847030947675485</v>
      </c>
    </row>
    <row r="60" spans="1:5" x14ac:dyDescent="0.3">
      <c r="A60" s="40">
        <v>37865</v>
      </c>
      <c r="B60" s="41">
        <v>305</v>
      </c>
      <c r="C60" s="60">
        <f>$P$20*F17+$P$21</f>
        <v>324.40000000000003</v>
      </c>
      <c r="D60" s="60">
        <f t="shared" si="0"/>
        <v>19.400000000000034</v>
      </c>
      <c r="E60" s="60">
        <f t="shared" si="1"/>
        <v>23.402327852907941</v>
      </c>
    </row>
    <row r="61" spans="1:5" x14ac:dyDescent="0.3">
      <c r="A61" s="40">
        <v>37895</v>
      </c>
      <c r="B61" s="41">
        <v>305</v>
      </c>
      <c r="C61" s="60">
        <f>$Q$20*F17+$Q$21</f>
        <v>333.8</v>
      </c>
      <c r="D61" s="60">
        <f t="shared" si="0"/>
        <v>28.800000000000011</v>
      </c>
      <c r="E61" s="60">
        <f t="shared" si="1"/>
        <v>23.942095067617149</v>
      </c>
    </row>
    <row r="62" spans="1:5" x14ac:dyDescent="0.3">
      <c r="A62" s="40">
        <v>37926</v>
      </c>
      <c r="B62" s="41">
        <v>321</v>
      </c>
      <c r="C62" s="60">
        <f>$R$20*F17+$R$21</f>
        <v>329.6</v>
      </c>
      <c r="D62" s="60">
        <f t="shared" si="0"/>
        <v>8.6000000000000227</v>
      </c>
      <c r="E62" s="60">
        <f t="shared" si="1"/>
        <v>22.407885560855437</v>
      </c>
    </row>
    <row r="63" spans="1:5" x14ac:dyDescent="0.3">
      <c r="A63" s="40">
        <v>37956</v>
      </c>
      <c r="B63" s="41">
        <v>369</v>
      </c>
      <c r="C63" s="60">
        <f>$S$20*F17+$S$21</f>
        <v>373</v>
      </c>
      <c r="D63" s="60">
        <f t="shared" si="0"/>
        <v>4</v>
      </c>
      <c r="E63" s="60">
        <f t="shared" si="1"/>
        <v>20.567097004769892</v>
      </c>
    </row>
    <row r="64" spans="1:5" x14ac:dyDescent="0.3">
      <c r="A64" s="2">
        <v>37987</v>
      </c>
      <c r="B64" s="3">
        <v>342</v>
      </c>
      <c r="C64" s="60">
        <f>$H$20*F18+$H$21</f>
        <v>373.29999999999995</v>
      </c>
      <c r="D64" s="60">
        <f t="shared" si="0"/>
        <v>31.299999999999955</v>
      </c>
      <c r="E64" s="60">
        <f t="shared" si="1"/>
        <v>21.640387304292897</v>
      </c>
    </row>
    <row r="65" spans="1:5" x14ac:dyDescent="0.3">
      <c r="A65" s="2">
        <v>38018</v>
      </c>
      <c r="B65" s="3">
        <v>535</v>
      </c>
      <c r="C65" s="60">
        <f>$I$20*F18+$I$21</f>
        <v>550.29999999999995</v>
      </c>
      <c r="D65" s="60">
        <f t="shared" si="0"/>
        <v>15.299999999999955</v>
      </c>
      <c r="E65" s="60">
        <f t="shared" si="1"/>
        <v>21.006348573863601</v>
      </c>
    </row>
    <row r="66" spans="1:5" x14ac:dyDescent="0.3">
      <c r="A66" s="2">
        <v>38047</v>
      </c>
      <c r="C66" s="60">
        <f>$J$20*F18+$J$21</f>
        <v>380.79999999999995</v>
      </c>
      <c r="D66" s="4"/>
      <c r="E66" s="4"/>
    </row>
    <row r="67" spans="1:5" x14ac:dyDescent="0.3">
      <c r="A67" s="2">
        <v>38078</v>
      </c>
      <c r="C67" s="60">
        <f>$K$20*F18+$K$21</f>
        <v>394.7</v>
      </c>
      <c r="D67" s="4"/>
      <c r="E67" s="4"/>
    </row>
    <row r="68" spans="1:5" x14ac:dyDescent="0.3">
      <c r="A68" s="2">
        <v>38108</v>
      </c>
      <c r="C68" s="60">
        <f>$L$20*F18+$L$21</f>
        <v>275.60000000000002</v>
      </c>
      <c r="D68" s="4"/>
      <c r="E68" s="4"/>
    </row>
    <row r="69" spans="1:5" x14ac:dyDescent="0.3">
      <c r="A69" s="2">
        <v>38139</v>
      </c>
      <c r="C69" s="60">
        <f>$M$20*F18+$M$21</f>
        <v>370.9</v>
      </c>
      <c r="D69" s="4"/>
      <c r="E69" s="4"/>
    </row>
    <row r="70" spans="1:5" x14ac:dyDescent="0.3">
      <c r="A70" s="2">
        <v>38169</v>
      </c>
      <c r="C70" s="60">
        <f>$N$20*F18+$N$21</f>
        <v>395.1</v>
      </c>
      <c r="D70" s="4"/>
      <c r="E70" s="4"/>
    </row>
    <row r="71" spans="1:5" x14ac:dyDescent="0.3">
      <c r="A71" s="2">
        <v>38200</v>
      </c>
      <c r="C71" s="60">
        <f>$O$20*F18+$O$21</f>
        <v>394.3</v>
      </c>
      <c r="D71" s="4"/>
      <c r="E71" s="4"/>
    </row>
    <row r="72" spans="1:5" x14ac:dyDescent="0.3">
      <c r="A72" s="2">
        <v>38231</v>
      </c>
      <c r="C72" s="60">
        <f>$P$20*F18+$P$21</f>
        <v>349.3</v>
      </c>
      <c r="D72" s="4"/>
      <c r="E72" s="4"/>
    </row>
    <row r="73" spans="1:5" x14ac:dyDescent="0.3">
      <c r="A73" s="2">
        <v>38261</v>
      </c>
      <c r="C73" s="60">
        <f>$Q$20*F18+$Q$21</f>
        <v>363.8</v>
      </c>
      <c r="D73" s="4"/>
      <c r="E73" s="4"/>
    </row>
    <row r="74" spans="1:5" x14ac:dyDescent="0.3">
      <c r="A74" s="2">
        <v>38292</v>
      </c>
      <c r="C74" s="60">
        <f>$R$20*F18+$R$21</f>
        <v>359.79999999999995</v>
      </c>
      <c r="D74" s="4"/>
      <c r="E74" s="4"/>
    </row>
    <row r="75" spans="1:5" ht="12.9" thickBot="1" x14ac:dyDescent="0.35">
      <c r="A75" s="2">
        <v>38322</v>
      </c>
      <c r="C75" s="60">
        <f>$S$20*F18+$S$21</f>
        <v>392.9</v>
      </c>
      <c r="D75" s="4"/>
      <c r="E75" s="4"/>
    </row>
    <row r="76" spans="1:5" ht="12.9" thickBot="1" x14ac:dyDescent="0.35">
      <c r="A76" s="6" t="s">
        <v>19</v>
      </c>
      <c r="C76" s="61">
        <f>SUM(C64:C75)</f>
        <v>4600.8</v>
      </c>
      <c r="D76" s="61">
        <f>AVEDEV(D4:D65)</f>
        <v>22.883766909469294</v>
      </c>
      <c r="E76" s="61">
        <f>E65</f>
        <v>21.006348573863601</v>
      </c>
    </row>
    <row r="77" spans="1:5" x14ac:dyDescent="0.3">
      <c r="D77" s="7" t="s">
        <v>9</v>
      </c>
      <c r="E77" s="7" t="s">
        <v>44</v>
      </c>
    </row>
  </sheetData>
  <mergeCells count="1">
    <mergeCell ref="G10:J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"/>
  <sheetViews>
    <sheetView zoomScaleNormal="100" workbookViewId="0">
      <selection activeCell="G21" sqref="G21"/>
    </sheetView>
  </sheetViews>
  <sheetFormatPr defaultRowHeight="12.45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5"/>
  <sheetViews>
    <sheetView zoomScale="70" zoomScaleNormal="70" workbookViewId="0">
      <pane ySplit="3" topLeftCell="A4" activePane="bottomLeft" state="frozen"/>
      <selection pane="bottomLeft" activeCell="L5" sqref="L5:O5"/>
    </sheetView>
  </sheetViews>
  <sheetFormatPr defaultColWidth="8.921875" defaultRowHeight="12.45" x14ac:dyDescent="0.3"/>
  <cols>
    <col min="1" max="1" width="9.15234375" style="33" customWidth="1"/>
    <col min="2" max="2" width="8.921875" style="28"/>
    <col min="3" max="3" width="10.23046875" style="28" customWidth="1"/>
    <col min="4" max="4" width="8.921875" style="28"/>
    <col min="5" max="5" width="15.07421875" style="28" bestFit="1" customWidth="1"/>
    <col min="6" max="6" width="7.69140625" style="56" bestFit="1" customWidth="1"/>
    <col min="7" max="7" width="13.15234375" style="28" customWidth="1"/>
    <col min="8" max="8" width="13.69140625" style="28" customWidth="1"/>
    <col min="9" max="9" width="12.53515625" style="28" customWidth="1"/>
    <col min="10" max="16384" width="8.921875" style="28"/>
  </cols>
  <sheetData>
    <row r="1" spans="1:15" x14ac:dyDescent="0.3">
      <c r="A1" s="27" t="s">
        <v>34</v>
      </c>
      <c r="B1" s="64">
        <f>SLOPE(E4:E65,F4:F65)</f>
        <v>2.7312892785076919</v>
      </c>
      <c r="C1" s="27" t="s">
        <v>35</v>
      </c>
      <c r="D1" s="64">
        <f>INTERCEPT(E4:E65,F4:F65)</f>
        <v>207.22747828908558</v>
      </c>
      <c r="E1" s="27" t="s">
        <v>33</v>
      </c>
      <c r="F1" s="66">
        <f>SUM(H64:H75)</f>
        <v>4603.4060382906118</v>
      </c>
      <c r="G1" s="27" t="s">
        <v>36</v>
      </c>
      <c r="H1" s="64">
        <f>AVEDEV(I4:I65)</f>
        <v>31.611419025257078</v>
      </c>
      <c r="I1" s="27" t="s">
        <v>62</v>
      </c>
      <c r="J1" s="64">
        <f>J65</f>
        <v>36.944750337789785</v>
      </c>
      <c r="K1" s="30" t="s">
        <v>25</v>
      </c>
      <c r="L1" s="35">
        <v>0.1</v>
      </c>
    </row>
    <row r="2" spans="1:15" x14ac:dyDescent="0.3">
      <c r="A2" s="26"/>
      <c r="B2" s="27"/>
      <c r="C2" s="27"/>
      <c r="D2" s="27"/>
      <c r="E2" s="27"/>
      <c r="F2" s="30"/>
      <c r="G2" s="27"/>
      <c r="H2" s="27"/>
      <c r="I2" s="27"/>
    </row>
    <row r="3" spans="1:15" x14ac:dyDescent="0.3">
      <c r="A3" s="26" t="s">
        <v>0</v>
      </c>
      <c r="B3" s="27" t="s">
        <v>1</v>
      </c>
      <c r="C3" s="27" t="s">
        <v>20</v>
      </c>
      <c r="D3" s="27" t="s">
        <v>21</v>
      </c>
      <c r="E3" s="27" t="s">
        <v>22</v>
      </c>
      <c r="F3" s="30" t="s">
        <v>23</v>
      </c>
      <c r="G3" s="27" t="s">
        <v>24</v>
      </c>
      <c r="H3" s="29" t="s">
        <v>78</v>
      </c>
      <c r="I3" s="29" t="s">
        <v>9</v>
      </c>
      <c r="J3" s="30" t="s">
        <v>10</v>
      </c>
    </row>
    <row r="4" spans="1:15" x14ac:dyDescent="0.3">
      <c r="A4" s="38">
        <v>36161</v>
      </c>
      <c r="B4" s="39">
        <v>211</v>
      </c>
      <c r="C4" s="64">
        <f>B4/(AVERAGE($B$4:$B$15))</f>
        <v>1.0271805273833672</v>
      </c>
      <c r="D4" s="64">
        <f>AVERAGE($C$4,$C$16,$C$28,$C$40,$C$52,)</f>
        <v>0.81915423467573534</v>
      </c>
      <c r="E4" s="64">
        <f>B4/D4</f>
        <v>257.58274946051517</v>
      </c>
      <c r="F4" s="55">
        <v>1</v>
      </c>
      <c r="G4" s="64">
        <f>$B$1*F4+$D$1</f>
        <v>209.95876756759327</v>
      </c>
      <c r="H4" s="64">
        <f>G4*D4</f>
        <v>171.98861356029246</v>
      </c>
      <c r="I4" s="64">
        <f>B4-H4</f>
        <v>39.011386439707536</v>
      </c>
      <c r="J4" s="64">
        <f>ABS(I4)*L1</f>
        <v>3.9011386439707536</v>
      </c>
    </row>
    <row r="5" spans="1:15" ht="12.9" x14ac:dyDescent="0.35">
      <c r="A5" s="38">
        <v>36192</v>
      </c>
      <c r="B5" s="39">
        <v>338</v>
      </c>
      <c r="C5" s="64">
        <f t="shared" ref="C5:C15" si="0">B5/(AVERAGE($B$4:$B$15))</f>
        <v>1.6454361054766735</v>
      </c>
      <c r="D5" s="64">
        <f>AVERAGE($C$5,$C$17,$C$29,$C$41,$C$53)</f>
        <v>1.4939917630436264</v>
      </c>
      <c r="E5" s="64">
        <f t="shared" ref="E5:E65" si="1">B5/D5</f>
        <v>226.23953381872158</v>
      </c>
      <c r="F5" s="55">
        <v>2</v>
      </c>
      <c r="G5" s="64">
        <f t="shared" ref="G5:G68" si="2">$B$1*F5+$D$1</f>
        <v>212.69005684610096</v>
      </c>
      <c r="H5" s="64">
        <f t="shared" ref="H5:H68" si="3">G5*D5</f>
        <v>317.75719300935549</v>
      </c>
      <c r="I5" s="64">
        <f t="shared" ref="I5:I65" si="4">B5-H5</f>
        <v>20.24280699064451</v>
      </c>
      <c r="J5" s="64">
        <f>$L$1*ABS(I5)+(1-$L$1)*J4</f>
        <v>5.5353054786381293</v>
      </c>
      <c r="L5" s="80" t="s">
        <v>100</v>
      </c>
      <c r="M5" s="80"/>
      <c r="N5" s="80"/>
      <c r="O5" s="80"/>
    </row>
    <row r="6" spans="1:15" x14ac:dyDescent="0.3">
      <c r="A6" s="38">
        <v>36220</v>
      </c>
      <c r="B6" s="39">
        <v>191</v>
      </c>
      <c r="C6" s="64">
        <f t="shared" si="0"/>
        <v>0.92981744421906698</v>
      </c>
      <c r="D6" s="64">
        <f>AVERAGE($C$6,$C$18,$C$30,$C$42,$C$54)</f>
        <v>0.96431519453604486</v>
      </c>
      <c r="E6" s="64">
        <f t="shared" si="1"/>
        <v>198.06801871653042</v>
      </c>
      <c r="F6" s="55">
        <v>3</v>
      </c>
      <c r="G6" s="64">
        <f t="shared" si="2"/>
        <v>215.42134612460865</v>
      </c>
      <c r="H6" s="64">
        <f t="shared" si="3"/>
        <v>207.73407729536865</v>
      </c>
      <c r="I6" s="64">
        <f t="shared" si="4"/>
        <v>-16.73407729536865</v>
      </c>
      <c r="J6" s="64">
        <f t="shared" ref="J6:J65" si="5">$L$1*ABS(I6)+(1-$L$1)*J5</f>
        <v>6.6551826603111817</v>
      </c>
    </row>
    <row r="7" spans="1:15" x14ac:dyDescent="0.3">
      <c r="A7" s="38">
        <v>36251</v>
      </c>
      <c r="B7" s="39">
        <v>192</v>
      </c>
      <c r="C7" s="64">
        <f t="shared" si="0"/>
        <v>0.93468559837728205</v>
      </c>
      <c r="D7" s="64">
        <f>AVERAGE($C$7,$C$19,$C$31,$C$43,$C$55)</f>
        <v>0.96811298374310617</v>
      </c>
      <c r="E7" s="64">
        <f t="shared" si="1"/>
        <v>198.32395931480266</v>
      </c>
      <c r="F7" s="55">
        <v>4</v>
      </c>
      <c r="G7" s="64">
        <f t="shared" si="2"/>
        <v>218.15263540311634</v>
      </c>
      <c r="H7" s="64">
        <f t="shared" si="3"/>
        <v>211.19639877153293</v>
      </c>
      <c r="I7" s="64">
        <f t="shared" si="4"/>
        <v>-19.196398771532927</v>
      </c>
      <c r="J7" s="64">
        <f t="shared" si="5"/>
        <v>7.9093042714333563</v>
      </c>
    </row>
    <row r="8" spans="1:15" x14ac:dyDescent="0.3">
      <c r="A8" s="38">
        <v>36281</v>
      </c>
      <c r="B8" s="39">
        <v>138</v>
      </c>
      <c r="C8" s="64">
        <f t="shared" si="0"/>
        <v>0.67180527383367139</v>
      </c>
      <c r="D8" s="64">
        <f>AVERAGE($C$8,$C$20,$C$32,$C$44,$C$56)</f>
        <v>0.64265623576963338</v>
      </c>
      <c r="E8" s="64">
        <f t="shared" si="1"/>
        <v>214.7337757249546</v>
      </c>
      <c r="F8" s="55">
        <v>5</v>
      </c>
      <c r="G8" s="64">
        <f t="shared" si="2"/>
        <v>220.88392468162405</v>
      </c>
      <c r="H8" s="64">
        <f t="shared" si="3"/>
        <v>141.95243157791572</v>
      </c>
      <c r="I8" s="64">
        <f t="shared" si="4"/>
        <v>-3.9524315779157178</v>
      </c>
      <c r="J8" s="64">
        <f t="shared" si="5"/>
        <v>7.5136170020815927</v>
      </c>
    </row>
    <row r="9" spans="1:15" x14ac:dyDescent="0.3">
      <c r="A9" s="38">
        <v>36312</v>
      </c>
      <c r="B9" s="39">
        <v>148</v>
      </c>
      <c r="C9" s="64">
        <f t="shared" si="0"/>
        <v>0.72048681541582149</v>
      </c>
      <c r="D9" s="64">
        <f>AVERAGE($C$9,$C$21,$C$33,$C$45,$C$57)</f>
        <v>0.81909862223443852</v>
      </c>
      <c r="E9" s="64">
        <f t="shared" si="1"/>
        <v>180.68642283424589</v>
      </c>
      <c r="F9" s="55">
        <v>6</v>
      </c>
      <c r="G9" s="64">
        <f t="shared" si="2"/>
        <v>223.61521396013174</v>
      </c>
      <c r="H9" s="64">
        <f t="shared" si="3"/>
        <v>183.1629136654031</v>
      </c>
      <c r="I9" s="64">
        <f t="shared" si="4"/>
        <v>-35.162913665403096</v>
      </c>
      <c r="J9" s="64">
        <f t="shared" si="5"/>
        <v>10.278546668413743</v>
      </c>
    </row>
    <row r="10" spans="1:15" x14ac:dyDescent="0.3">
      <c r="A10" s="38">
        <v>36342</v>
      </c>
      <c r="B10" s="39">
        <v>205</v>
      </c>
      <c r="C10" s="64">
        <f t="shared" si="0"/>
        <v>0.99797160243407712</v>
      </c>
      <c r="D10" s="64">
        <f>AVERAGE($C$10,$C$22,$C$34,$C$46,$C$58)</f>
        <v>0.92320967229064621</v>
      </c>
      <c r="E10" s="64">
        <f t="shared" si="1"/>
        <v>222.05139975554937</v>
      </c>
      <c r="F10" s="55">
        <v>7</v>
      </c>
      <c r="G10" s="64">
        <f t="shared" si="2"/>
        <v>226.34650323863943</v>
      </c>
      <c r="H10" s="64">
        <f t="shared" si="3"/>
        <v>208.96528107907801</v>
      </c>
      <c r="I10" s="64">
        <f t="shared" si="4"/>
        <v>-3.9652810790780109</v>
      </c>
      <c r="J10" s="64">
        <f t="shared" si="5"/>
        <v>9.6472201094801697</v>
      </c>
    </row>
    <row r="11" spans="1:15" x14ac:dyDescent="0.3">
      <c r="A11" s="38">
        <v>36373</v>
      </c>
      <c r="B11" s="39">
        <v>244</v>
      </c>
      <c r="C11" s="64">
        <f t="shared" si="0"/>
        <v>1.1878296146044625</v>
      </c>
      <c r="D11" s="64">
        <f>AVERAGE($C$11,$C$23,$C$35,$C$47,$C$59)</f>
        <v>1.1613799488983791</v>
      </c>
      <c r="E11" s="64">
        <f t="shared" si="1"/>
        <v>210.09489636138881</v>
      </c>
      <c r="F11" s="55">
        <v>8</v>
      </c>
      <c r="G11" s="64">
        <f t="shared" si="2"/>
        <v>229.07779251714712</v>
      </c>
      <c r="H11" s="64">
        <f t="shared" si="3"/>
        <v>266.04635496731782</v>
      </c>
      <c r="I11" s="64">
        <f t="shared" si="4"/>
        <v>-22.046354967317825</v>
      </c>
      <c r="J11" s="64">
        <f t="shared" si="5"/>
        <v>10.887133595263936</v>
      </c>
    </row>
    <row r="12" spans="1:15" x14ac:dyDescent="0.3">
      <c r="A12" s="38">
        <v>36404</v>
      </c>
      <c r="B12" s="39">
        <v>164</v>
      </c>
      <c r="C12" s="64">
        <f t="shared" si="0"/>
        <v>0.79837728194726165</v>
      </c>
      <c r="D12" s="64">
        <f>AVERAGE($C$12,$C$24,$C$36,$C$48,$C$60)</f>
        <v>0.96033797423670408</v>
      </c>
      <c r="E12" s="64">
        <f t="shared" si="1"/>
        <v>170.77321151477997</v>
      </c>
      <c r="F12" s="55">
        <v>9</v>
      </c>
      <c r="G12" s="64">
        <f t="shared" si="2"/>
        <v>231.80908179565481</v>
      </c>
      <c r="H12" s="64">
        <f t="shared" si="3"/>
        <v>222.61506402130956</v>
      </c>
      <c r="I12" s="64">
        <f t="shared" si="4"/>
        <v>-58.615064021309564</v>
      </c>
      <c r="J12" s="64">
        <f t="shared" si="5"/>
        <v>15.6599266378685</v>
      </c>
    </row>
    <row r="13" spans="1:15" x14ac:dyDescent="0.3">
      <c r="A13" s="38">
        <v>36434</v>
      </c>
      <c r="B13" s="39">
        <v>200</v>
      </c>
      <c r="C13" s="64">
        <f t="shared" si="0"/>
        <v>0.97363083164300213</v>
      </c>
      <c r="D13" s="64">
        <f>AVERAGE($C$13,$C$25,$C$37,$C$49,$C$61)</f>
        <v>0.96146299179540518</v>
      </c>
      <c r="E13" s="64">
        <f t="shared" si="1"/>
        <v>208.0163268962921</v>
      </c>
      <c r="F13" s="55">
        <v>10</v>
      </c>
      <c r="G13" s="64">
        <f t="shared" si="2"/>
        <v>234.54037107416249</v>
      </c>
      <c r="H13" s="64">
        <f t="shared" si="3"/>
        <v>225.50188686976878</v>
      </c>
      <c r="I13" s="64">
        <f t="shared" si="4"/>
        <v>-25.501886869768782</v>
      </c>
      <c r="J13" s="64">
        <f t="shared" si="5"/>
        <v>16.644122661058528</v>
      </c>
    </row>
    <row r="14" spans="1:15" x14ac:dyDescent="0.3">
      <c r="A14" s="38">
        <v>36465</v>
      </c>
      <c r="B14" s="39">
        <v>205</v>
      </c>
      <c r="C14" s="64">
        <f t="shared" si="0"/>
        <v>0.99797160243407712</v>
      </c>
      <c r="D14" s="64">
        <f>AVERAGE($C$14,$C$26,$C$38,$C$50,$C$62)</f>
        <v>0.94769858852174038</v>
      </c>
      <c r="E14" s="64">
        <f t="shared" si="1"/>
        <v>216.31350144750928</v>
      </c>
      <c r="F14" s="55">
        <v>11</v>
      </c>
      <c r="G14" s="64">
        <f t="shared" si="2"/>
        <v>237.27166035267018</v>
      </c>
      <c r="H14" s="64">
        <f t="shared" si="3"/>
        <v>224.86201761243532</v>
      </c>
      <c r="I14" s="64">
        <f t="shared" si="4"/>
        <v>-19.862017612435324</v>
      </c>
      <c r="J14" s="64">
        <f t="shared" si="5"/>
        <v>16.965912156196207</v>
      </c>
    </row>
    <row r="15" spans="1:15" x14ac:dyDescent="0.3">
      <c r="A15" s="38">
        <v>36495</v>
      </c>
      <c r="B15" s="39">
        <v>229</v>
      </c>
      <c r="C15" s="64">
        <f t="shared" si="0"/>
        <v>1.1148073022312375</v>
      </c>
      <c r="D15" s="64">
        <f>AVERAGE($C$15,$C$27,$C$39,$C$51,$C$63)</f>
        <v>1.1747509433193934</v>
      </c>
      <c r="E15" s="64">
        <f t="shared" si="1"/>
        <v>194.9349360409401</v>
      </c>
      <c r="F15" s="55">
        <v>12</v>
      </c>
      <c r="G15" s="64">
        <f t="shared" si="2"/>
        <v>240.0029496311779</v>
      </c>
      <c r="H15" s="64">
        <f t="shared" si="3"/>
        <v>281.94369147866308</v>
      </c>
      <c r="I15" s="64">
        <f t="shared" si="4"/>
        <v>-52.943691478663084</v>
      </c>
      <c r="J15" s="64">
        <f t="shared" si="5"/>
        <v>20.563690088442897</v>
      </c>
    </row>
    <row r="16" spans="1:15" x14ac:dyDescent="0.3">
      <c r="A16" s="31">
        <v>36526</v>
      </c>
      <c r="B16" s="32">
        <v>244</v>
      </c>
      <c r="C16" s="64">
        <f>B16/(AVERAGE($B$16:$B$27))</f>
        <v>0.89650949173300665</v>
      </c>
      <c r="D16" s="64">
        <f t="shared" ref="D16" si="6">AVERAGE($C$4,$C$16,$C$28,$C$40,$C$52,)</f>
        <v>0.81915423467573534</v>
      </c>
      <c r="E16" s="64">
        <f t="shared" si="1"/>
        <v>297.86820316760998</v>
      </c>
      <c r="F16" s="55">
        <v>13</v>
      </c>
      <c r="G16" s="64">
        <f t="shared" si="2"/>
        <v>242.73423890968559</v>
      </c>
      <c r="H16" s="64">
        <f t="shared" si="3"/>
        <v>198.8367797036606</v>
      </c>
      <c r="I16" s="64">
        <f t="shared" si="4"/>
        <v>45.163220296339404</v>
      </c>
      <c r="J16" s="64">
        <f t="shared" si="5"/>
        <v>23.023643109232548</v>
      </c>
    </row>
    <row r="17" spans="1:10" x14ac:dyDescent="0.3">
      <c r="A17" s="31">
        <v>36557</v>
      </c>
      <c r="B17" s="32">
        <v>403</v>
      </c>
      <c r="C17" s="64">
        <f t="shared" ref="C17:C27" si="7">B17/(AVERAGE($B$16:$B$27))</f>
        <v>1.4807103490508267</v>
      </c>
      <c r="D17" s="64">
        <f t="shared" ref="D17" si="8">AVERAGE($C$5,$C$17,$C$29,$C$41,$C$53)</f>
        <v>1.4939917630436264</v>
      </c>
      <c r="E17" s="64">
        <f t="shared" si="1"/>
        <v>269.74713647616807</v>
      </c>
      <c r="F17" s="55">
        <v>14</v>
      </c>
      <c r="G17" s="64">
        <f t="shared" si="2"/>
        <v>245.46552818819328</v>
      </c>
      <c r="H17" s="64">
        <f t="shared" si="3"/>
        <v>366.72347722431385</v>
      </c>
      <c r="I17" s="64">
        <f t="shared" si="4"/>
        <v>36.276522775686146</v>
      </c>
      <c r="J17" s="64">
        <f t="shared" si="5"/>
        <v>24.348931075877907</v>
      </c>
    </row>
    <row r="18" spans="1:10" x14ac:dyDescent="0.3">
      <c r="A18" s="31">
        <v>36586</v>
      </c>
      <c r="B18" s="32">
        <v>213</v>
      </c>
      <c r="C18" s="64">
        <f t="shared" si="7"/>
        <v>0.78260869565217384</v>
      </c>
      <c r="D18" s="64">
        <f t="shared" ref="D18" si="9">AVERAGE($C$6,$C$18,$C$30,$C$42,$C$54)</f>
        <v>0.96431519453604486</v>
      </c>
      <c r="E18" s="64">
        <f t="shared" si="1"/>
        <v>220.88213605560722</v>
      </c>
      <c r="F18" s="55">
        <v>15</v>
      </c>
      <c r="G18" s="64">
        <f t="shared" si="2"/>
        <v>248.19681746670096</v>
      </c>
      <c r="H18" s="64">
        <f t="shared" si="3"/>
        <v>239.33996231862895</v>
      </c>
      <c r="I18" s="64">
        <f t="shared" si="4"/>
        <v>-26.339962318628949</v>
      </c>
      <c r="J18" s="64">
        <f t="shared" si="5"/>
        <v>24.548034200153012</v>
      </c>
    </row>
    <row r="19" spans="1:10" x14ac:dyDescent="0.3">
      <c r="A19" s="31">
        <v>36617</v>
      </c>
      <c r="B19" s="32">
        <v>244</v>
      </c>
      <c r="C19" s="64">
        <f t="shared" si="7"/>
        <v>0.89650949173300665</v>
      </c>
      <c r="D19" s="64">
        <f t="shared" ref="D19" si="10">AVERAGE($C$7,$C$19,$C$31,$C$43,$C$55)</f>
        <v>0.96811298374310617</v>
      </c>
      <c r="E19" s="64">
        <f t="shared" si="1"/>
        <v>252.03669829589506</v>
      </c>
      <c r="F19" s="55">
        <v>16</v>
      </c>
      <c r="G19" s="64">
        <f t="shared" si="2"/>
        <v>250.92810674520865</v>
      </c>
      <c r="H19" s="64">
        <f t="shared" si="3"/>
        <v>242.92675812611259</v>
      </c>
      <c r="I19" s="64">
        <f t="shared" si="4"/>
        <v>1.0732418738874117</v>
      </c>
      <c r="J19" s="64">
        <f t="shared" si="5"/>
        <v>22.200554967526454</v>
      </c>
    </row>
    <row r="20" spans="1:10" x14ac:dyDescent="0.3">
      <c r="A20" s="31">
        <v>36647</v>
      </c>
      <c r="B20" s="32">
        <v>153</v>
      </c>
      <c r="C20" s="64">
        <f t="shared" si="7"/>
        <v>0.56215554194733619</v>
      </c>
      <c r="D20" s="64">
        <f t="shared" ref="D20" si="11">AVERAGE($C$8,$C$20,$C$32,$C$44,$C$56)</f>
        <v>0.64265623576963338</v>
      </c>
      <c r="E20" s="64">
        <f t="shared" si="1"/>
        <v>238.07440352114531</v>
      </c>
      <c r="F20" s="55">
        <v>17</v>
      </c>
      <c r="G20" s="64">
        <f t="shared" si="2"/>
        <v>253.65939602371634</v>
      </c>
      <c r="H20" s="64">
        <f t="shared" si="3"/>
        <v>163.01579261620026</v>
      </c>
      <c r="I20" s="64">
        <f t="shared" si="4"/>
        <v>-10.015792616200258</v>
      </c>
      <c r="J20" s="64">
        <f t="shared" si="5"/>
        <v>20.982078732393834</v>
      </c>
    </row>
    <row r="21" spans="1:10" x14ac:dyDescent="0.3">
      <c r="A21" s="31">
        <v>36678</v>
      </c>
      <c r="B21" s="32">
        <v>195</v>
      </c>
      <c r="C21" s="64">
        <f t="shared" si="7"/>
        <v>0.7164727495407226</v>
      </c>
      <c r="D21" s="64">
        <f t="shared" ref="D21" si="12">AVERAGE($C$9,$C$21,$C$33,$C$45,$C$57)</f>
        <v>0.81909862223443852</v>
      </c>
      <c r="E21" s="64">
        <f t="shared" si="1"/>
        <v>238.06657062620235</v>
      </c>
      <c r="F21" s="55">
        <v>18</v>
      </c>
      <c r="G21" s="64">
        <f t="shared" si="2"/>
        <v>256.39068530222403</v>
      </c>
      <c r="H21" s="64">
        <f t="shared" si="3"/>
        <v>210.00925708479519</v>
      </c>
      <c r="I21" s="64">
        <f t="shared" si="4"/>
        <v>-15.009257084795195</v>
      </c>
      <c r="J21" s="64">
        <f t="shared" si="5"/>
        <v>20.384796567633973</v>
      </c>
    </row>
    <row r="22" spans="1:10" x14ac:dyDescent="0.3">
      <c r="A22" s="31">
        <v>36708</v>
      </c>
      <c r="B22" s="32">
        <v>231</v>
      </c>
      <c r="C22" s="64">
        <f t="shared" si="7"/>
        <v>0.84874464176362518</v>
      </c>
      <c r="D22" s="64">
        <f t="shared" ref="D22" si="13">AVERAGE($C$10,$C$22,$C$34,$C$46,$C$58)</f>
        <v>0.92320967229064621</v>
      </c>
      <c r="E22" s="64">
        <f t="shared" si="1"/>
        <v>250.21401630991173</v>
      </c>
      <c r="F22" s="55">
        <v>19</v>
      </c>
      <c r="G22" s="64">
        <f t="shared" si="2"/>
        <v>259.12197458073172</v>
      </c>
      <c r="H22" s="64">
        <f t="shared" si="3"/>
        <v>239.22391323598248</v>
      </c>
      <c r="I22" s="64">
        <f t="shared" si="4"/>
        <v>-8.2239132359824794</v>
      </c>
      <c r="J22" s="64">
        <f t="shared" si="5"/>
        <v>19.168708234468824</v>
      </c>
    </row>
    <row r="23" spans="1:10" x14ac:dyDescent="0.3">
      <c r="A23" s="31">
        <v>36739</v>
      </c>
      <c r="B23" s="32">
        <v>327</v>
      </c>
      <c r="C23" s="64">
        <f t="shared" si="7"/>
        <v>1.2014696876913655</v>
      </c>
      <c r="D23" s="64">
        <f t="shared" ref="D23" si="14">AVERAGE($C$11,$C$23,$C$35,$C$47,$C$59)</f>
        <v>1.1613799488983791</v>
      </c>
      <c r="E23" s="64">
        <f t="shared" si="1"/>
        <v>281.56160291054977</v>
      </c>
      <c r="F23" s="55">
        <v>20</v>
      </c>
      <c r="G23" s="64">
        <f t="shared" si="2"/>
        <v>261.85326385923941</v>
      </c>
      <c r="H23" s="64">
        <f t="shared" si="3"/>
        <v>304.11113019971725</v>
      </c>
      <c r="I23" s="64">
        <f t="shared" si="4"/>
        <v>22.888869800282748</v>
      </c>
      <c r="J23" s="64">
        <f t="shared" si="5"/>
        <v>19.540724391050215</v>
      </c>
    </row>
    <row r="24" spans="1:10" x14ac:dyDescent="0.3">
      <c r="A24" s="31">
        <v>36770</v>
      </c>
      <c r="B24" s="32">
        <v>337</v>
      </c>
      <c r="C24" s="64">
        <f t="shared" si="7"/>
        <v>1.2382118799755051</v>
      </c>
      <c r="D24" s="64">
        <f t="shared" ref="D24" si="15">AVERAGE($C$12,$C$24,$C$36,$C$48,$C$60)</f>
        <v>0.96033797423670408</v>
      </c>
      <c r="E24" s="64">
        <f t="shared" si="1"/>
        <v>350.91812366146866</v>
      </c>
      <c r="F24" s="55">
        <v>21</v>
      </c>
      <c r="G24" s="64">
        <f t="shared" si="2"/>
        <v>264.58455313774709</v>
      </c>
      <c r="H24" s="64">
        <f t="shared" si="3"/>
        <v>254.09059377462762</v>
      </c>
      <c r="I24" s="64">
        <f t="shared" si="4"/>
        <v>82.909406225372379</v>
      </c>
      <c r="J24" s="64">
        <f t="shared" si="5"/>
        <v>25.877592574482431</v>
      </c>
    </row>
    <row r="25" spans="1:10" x14ac:dyDescent="0.3">
      <c r="A25" s="31">
        <v>36800</v>
      </c>
      <c r="B25" s="32">
        <v>247</v>
      </c>
      <c r="C25" s="64">
        <f t="shared" si="7"/>
        <v>0.90753214941824856</v>
      </c>
      <c r="D25" s="64">
        <f t="shared" ref="D25" si="16">AVERAGE($C$13,$C$25,$C$37,$C$49,$C$61)</f>
        <v>0.96146299179540518</v>
      </c>
      <c r="E25" s="64">
        <f t="shared" si="1"/>
        <v>256.9001637169207</v>
      </c>
      <c r="F25" s="55">
        <v>22</v>
      </c>
      <c r="G25" s="64">
        <f t="shared" si="2"/>
        <v>267.31584241625478</v>
      </c>
      <c r="H25" s="64">
        <f t="shared" si="3"/>
        <v>257.01428960384141</v>
      </c>
      <c r="I25" s="64">
        <f t="shared" si="4"/>
        <v>-10.014289603841405</v>
      </c>
      <c r="J25" s="64">
        <f t="shared" si="5"/>
        <v>24.291262277418326</v>
      </c>
    </row>
    <row r="26" spans="1:10" x14ac:dyDescent="0.3">
      <c r="A26" s="31">
        <v>36831</v>
      </c>
      <c r="B26" s="32">
        <v>234</v>
      </c>
      <c r="C26" s="64">
        <f t="shared" si="7"/>
        <v>0.8597672994488671</v>
      </c>
      <c r="D26" s="64">
        <f t="shared" ref="D26" si="17">AVERAGE($C$14,$C$26,$C$38,$C$50,$C$62)</f>
        <v>0.94769858852174038</v>
      </c>
      <c r="E26" s="64">
        <f t="shared" si="1"/>
        <v>246.91394799374231</v>
      </c>
      <c r="F26" s="55">
        <v>23</v>
      </c>
      <c r="G26" s="64">
        <f t="shared" si="2"/>
        <v>270.04713169476247</v>
      </c>
      <c r="H26" s="64">
        <f t="shared" si="3"/>
        <v>255.92328554147093</v>
      </c>
      <c r="I26" s="64">
        <f t="shared" si="4"/>
        <v>-21.923285541470932</v>
      </c>
      <c r="J26" s="64">
        <f t="shared" si="5"/>
        <v>24.054464603823586</v>
      </c>
    </row>
    <row r="27" spans="1:10" x14ac:dyDescent="0.3">
      <c r="A27" s="31">
        <v>36861</v>
      </c>
      <c r="B27" s="32">
        <v>438</v>
      </c>
      <c r="C27" s="64">
        <f t="shared" si="7"/>
        <v>1.6093080220453153</v>
      </c>
      <c r="D27" s="64">
        <f t="shared" ref="D27" si="18">AVERAGE($C$15,$C$27,$C$39,$C$51,$C$63)</f>
        <v>1.1747509433193934</v>
      </c>
      <c r="E27" s="64">
        <f t="shared" si="1"/>
        <v>372.84498683812996</v>
      </c>
      <c r="F27" s="55">
        <v>24</v>
      </c>
      <c r="G27" s="64">
        <f t="shared" si="2"/>
        <v>272.77842097327016</v>
      </c>
      <c r="H27" s="64">
        <f t="shared" si="3"/>
        <v>320.44670735552376</v>
      </c>
      <c r="I27" s="64">
        <f t="shared" si="4"/>
        <v>117.55329264447624</v>
      </c>
      <c r="J27" s="64">
        <f t="shared" si="5"/>
        <v>33.404347407888849</v>
      </c>
    </row>
    <row r="28" spans="1:10" x14ac:dyDescent="0.3">
      <c r="A28" s="38">
        <v>36892</v>
      </c>
      <c r="B28" s="39">
        <v>291</v>
      </c>
      <c r="C28" s="64">
        <f>B28/(AVERAGE($B$28:$B$39))</f>
        <v>1.0502255639097746</v>
      </c>
      <c r="D28" s="64">
        <f t="shared" ref="D28" si="19">AVERAGE($C$4,$C$16,$C$28,$C$40,$C$52,)</f>
        <v>0.81915423467573534</v>
      </c>
      <c r="E28" s="64">
        <f t="shared" si="1"/>
        <v>355.24445541710861</v>
      </c>
      <c r="F28" s="55">
        <v>25</v>
      </c>
      <c r="G28" s="64">
        <f t="shared" si="2"/>
        <v>275.50971025177785</v>
      </c>
      <c r="H28" s="64">
        <f t="shared" si="3"/>
        <v>225.68494584702867</v>
      </c>
      <c r="I28" s="64">
        <f t="shared" si="4"/>
        <v>65.315054152971328</v>
      </c>
      <c r="J28" s="64">
        <f t="shared" si="5"/>
        <v>36.595418082397103</v>
      </c>
    </row>
    <row r="29" spans="1:10" x14ac:dyDescent="0.3">
      <c r="A29" s="38">
        <v>36923</v>
      </c>
      <c r="B29" s="39">
        <v>386</v>
      </c>
      <c r="C29" s="64">
        <f t="shared" ref="C29:C39" si="20">B29/(AVERAGE($B$28:$B$39))</f>
        <v>1.3930827067669174</v>
      </c>
      <c r="D29" s="64">
        <f t="shared" ref="D29" si="21">AVERAGE($C$5,$C$17,$C$29,$C$41,$C$53)</f>
        <v>1.4939917630436264</v>
      </c>
      <c r="E29" s="64">
        <f t="shared" si="1"/>
        <v>258.36822501191284</v>
      </c>
      <c r="F29" s="55">
        <v>26</v>
      </c>
      <c r="G29" s="64">
        <f t="shared" si="2"/>
        <v>278.24099953028554</v>
      </c>
      <c r="H29" s="64">
        <f t="shared" si="3"/>
        <v>415.6897614392721</v>
      </c>
      <c r="I29" s="64">
        <f t="shared" si="4"/>
        <v>-29.689761439272104</v>
      </c>
      <c r="J29" s="64">
        <f t="shared" si="5"/>
        <v>35.904852418084602</v>
      </c>
    </row>
    <row r="30" spans="1:10" x14ac:dyDescent="0.3">
      <c r="A30" s="38">
        <v>36951</v>
      </c>
      <c r="B30" s="39">
        <v>335</v>
      </c>
      <c r="C30" s="64">
        <f t="shared" si="20"/>
        <v>1.2090225563909776</v>
      </c>
      <c r="D30" s="64">
        <f t="shared" ref="D30" si="22">AVERAGE($C$6,$C$18,$C$30,$C$42,$C$54)</f>
        <v>0.96431519453604486</v>
      </c>
      <c r="E30" s="64">
        <f t="shared" si="1"/>
        <v>347.39678675412404</v>
      </c>
      <c r="F30" s="55">
        <v>27</v>
      </c>
      <c r="G30" s="64">
        <f t="shared" si="2"/>
        <v>280.97228880879328</v>
      </c>
      <c r="H30" s="64">
        <f t="shared" si="3"/>
        <v>270.94584734188925</v>
      </c>
      <c r="I30" s="64">
        <f t="shared" si="4"/>
        <v>64.054152658110752</v>
      </c>
      <c r="J30" s="64">
        <f t="shared" si="5"/>
        <v>38.719782442087222</v>
      </c>
    </row>
    <row r="31" spans="1:10" x14ac:dyDescent="0.3">
      <c r="A31" s="38">
        <v>36982</v>
      </c>
      <c r="B31" s="39">
        <v>278</v>
      </c>
      <c r="C31" s="64">
        <f t="shared" si="20"/>
        <v>1.0033082706766918</v>
      </c>
      <c r="D31" s="64">
        <f t="shared" ref="D31" si="23">AVERAGE($C$7,$C$19,$C$31,$C$43,$C$55)</f>
        <v>0.96811298374310617</v>
      </c>
      <c r="E31" s="64">
        <f t="shared" si="1"/>
        <v>287.1565660912247</v>
      </c>
      <c r="F31" s="55">
        <v>28</v>
      </c>
      <c r="G31" s="64">
        <f t="shared" si="2"/>
        <v>283.70357808730097</v>
      </c>
      <c r="H31" s="64">
        <f t="shared" si="3"/>
        <v>274.65711748069225</v>
      </c>
      <c r="I31" s="64">
        <f t="shared" si="4"/>
        <v>3.34288251930775</v>
      </c>
      <c r="J31" s="64">
        <f t="shared" si="5"/>
        <v>35.182092449809275</v>
      </c>
    </row>
    <row r="32" spans="1:10" x14ac:dyDescent="0.3">
      <c r="A32" s="38">
        <v>37012</v>
      </c>
      <c r="B32" s="39">
        <v>159</v>
      </c>
      <c r="C32" s="64">
        <f t="shared" si="20"/>
        <v>0.57383458646616547</v>
      </c>
      <c r="D32" s="64">
        <f t="shared" ref="D32" si="24">AVERAGE($C$8,$C$20,$C$32,$C$44,$C$56)</f>
        <v>0.64265623576963338</v>
      </c>
      <c r="E32" s="64">
        <f t="shared" si="1"/>
        <v>247.41065463962161</v>
      </c>
      <c r="F32" s="55">
        <v>29</v>
      </c>
      <c r="G32" s="64">
        <f t="shared" si="2"/>
        <v>286.43486736580866</v>
      </c>
      <c r="H32" s="64">
        <f t="shared" si="3"/>
        <v>184.0791536544848</v>
      </c>
      <c r="I32" s="64">
        <f t="shared" si="4"/>
        <v>-25.079153654484799</v>
      </c>
      <c r="J32" s="64">
        <f t="shared" si="5"/>
        <v>34.171798570276827</v>
      </c>
    </row>
    <row r="33" spans="1:10" x14ac:dyDescent="0.3">
      <c r="A33" s="38">
        <v>37043</v>
      </c>
      <c r="B33" s="39">
        <v>209</v>
      </c>
      <c r="C33" s="64">
        <f t="shared" si="20"/>
        <v>0.75428571428571434</v>
      </c>
      <c r="D33" s="64">
        <f t="shared" ref="D33" si="25">AVERAGE($C$9,$C$21,$C$33,$C$45,$C$57)</f>
        <v>0.81909862223443852</v>
      </c>
      <c r="E33" s="64">
        <f t="shared" si="1"/>
        <v>255.15852954295534</v>
      </c>
      <c r="F33" s="55">
        <v>30</v>
      </c>
      <c r="G33" s="64">
        <f t="shared" si="2"/>
        <v>289.16615664431635</v>
      </c>
      <c r="H33" s="64">
        <f t="shared" si="3"/>
        <v>236.85560050418735</v>
      </c>
      <c r="I33" s="64">
        <f t="shared" si="4"/>
        <v>-27.85560050418735</v>
      </c>
      <c r="J33" s="64">
        <f t="shared" si="5"/>
        <v>33.540178763667882</v>
      </c>
    </row>
    <row r="34" spans="1:10" x14ac:dyDescent="0.3">
      <c r="A34" s="38">
        <v>37073</v>
      </c>
      <c r="B34" s="39">
        <v>205</v>
      </c>
      <c r="C34" s="64">
        <f t="shared" si="20"/>
        <v>0.73984962406015042</v>
      </c>
      <c r="D34" s="64">
        <f t="shared" ref="D34" si="26">AVERAGE($C$10,$C$22,$C$34,$C$46,$C$58)</f>
        <v>0.92320967229064621</v>
      </c>
      <c r="E34" s="64">
        <f t="shared" si="1"/>
        <v>222.05139975554937</v>
      </c>
      <c r="F34" s="55">
        <v>31</v>
      </c>
      <c r="G34" s="64">
        <f t="shared" si="2"/>
        <v>291.89744592282403</v>
      </c>
      <c r="H34" s="64">
        <f t="shared" si="3"/>
        <v>269.482545392887</v>
      </c>
      <c r="I34" s="64">
        <f t="shared" si="4"/>
        <v>-64.482545392887005</v>
      </c>
      <c r="J34" s="64">
        <f t="shared" si="5"/>
        <v>36.634415426589797</v>
      </c>
    </row>
    <row r="35" spans="1:10" x14ac:dyDescent="0.3">
      <c r="A35" s="38">
        <v>37104</v>
      </c>
      <c r="B35" s="39">
        <v>364</v>
      </c>
      <c r="C35" s="64">
        <f t="shared" si="20"/>
        <v>1.3136842105263158</v>
      </c>
      <c r="D35" s="64">
        <f t="shared" ref="D35" si="27">AVERAGE($C$11,$C$23,$C$35,$C$47,$C$59)</f>
        <v>1.1613799488983791</v>
      </c>
      <c r="E35" s="64">
        <f t="shared" si="1"/>
        <v>313.42025522764561</v>
      </c>
      <c r="F35" s="55">
        <v>32</v>
      </c>
      <c r="G35" s="64">
        <f t="shared" si="2"/>
        <v>294.62873520133172</v>
      </c>
      <c r="H35" s="64">
        <f t="shared" si="3"/>
        <v>342.17590543211674</v>
      </c>
      <c r="I35" s="64">
        <f t="shared" si="4"/>
        <v>21.824094567883265</v>
      </c>
      <c r="J35" s="64">
        <f t="shared" si="5"/>
        <v>35.153383340719145</v>
      </c>
    </row>
    <row r="36" spans="1:10" x14ac:dyDescent="0.3">
      <c r="A36" s="38">
        <v>37135</v>
      </c>
      <c r="B36" s="39">
        <v>263</v>
      </c>
      <c r="C36" s="64">
        <f t="shared" si="20"/>
        <v>0.94917293233082711</v>
      </c>
      <c r="D36" s="64">
        <f t="shared" ref="D36" si="28">AVERAGE($C$12,$C$24,$C$36,$C$48,$C$60)</f>
        <v>0.96033797423670408</v>
      </c>
      <c r="E36" s="64">
        <f t="shared" si="1"/>
        <v>273.8619184657752</v>
      </c>
      <c r="F36" s="55">
        <v>33</v>
      </c>
      <c r="G36" s="64">
        <f t="shared" si="2"/>
        <v>297.36002447983941</v>
      </c>
      <c r="H36" s="64">
        <f t="shared" si="3"/>
        <v>285.56612352794571</v>
      </c>
      <c r="I36" s="64">
        <f t="shared" si="4"/>
        <v>-22.566123527945706</v>
      </c>
      <c r="J36" s="64">
        <f t="shared" si="5"/>
        <v>33.894657359441801</v>
      </c>
    </row>
    <row r="37" spans="1:10" x14ac:dyDescent="0.3">
      <c r="A37" s="38">
        <v>37165</v>
      </c>
      <c r="B37" s="39">
        <v>280</v>
      </c>
      <c r="C37" s="64">
        <f t="shared" si="20"/>
        <v>1.0105263157894737</v>
      </c>
      <c r="D37" s="64">
        <f t="shared" ref="D37" si="29">AVERAGE($C$13,$C$25,$C$37,$C$49,$C$61)</f>
        <v>0.96146299179540518</v>
      </c>
      <c r="E37" s="64">
        <f t="shared" si="1"/>
        <v>291.22285765480893</v>
      </c>
      <c r="F37" s="55">
        <v>34</v>
      </c>
      <c r="G37" s="64">
        <f t="shared" si="2"/>
        <v>300.0913137583471</v>
      </c>
      <c r="H37" s="64">
        <f t="shared" si="3"/>
        <v>288.52669233791403</v>
      </c>
      <c r="I37" s="64">
        <f t="shared" si="4"/>
        <v>-8.526692337914028</v>
      </c>
      <c r="J37" s="64">
        <f t="shared" si="5"/>
        <v>31.357860857289026</v>
      </c>
    </row>
    <row r="38" spans="1:10" x14ac:dyDescent="0.3">
      <c r="A38" s="38">
        <v>37196</v>
      </c>
      <c r="B38" s="39">
        <v>282</v>
      </c>
      <c r="C38" s="64">
        <f t="shared" si="20"/>
        <v>1.0177443609022556</v>
      </c>
      <c r="D38" s="64">
        <f t="shared" ref="D38" si="30">AVERAGE($C$14,$C$26,$C$38,$C$50,$C$62)</f>
        <v>0.94769858852174038</v>
      </c>
      <c r="E38" s="64">
        <f t="shared" si="1"/>
        <v>297.56296296681768</v>
      </c>
      <c r="F38" s="55">
        <v>35</v>
      </c>
      <c r="G38" s="64">
        <f t="shared" si="2"/>
        <v>302.82260303685479</v>
      </c>
      <c r="H38" s="64">
        <f t="shared" si="3"/>
        <v>286.98455347050657</v>
      </c>
      <c r="I38" s="64">
        <f t="shared" si="4"/>
        <v>-4.9845534705065688</v>
      </c>
      <c r="J38" s="64">
        <f t="shared" si="5"/>
        <v>28.720530118610782</v>
      </c>
    </row>
    <row r="39" spans="1:10" x14ac:dyDescent="0.3">
      <c r="A39" s="38">
        <v>37226</v>
      </c>
      <c r="B39" s="39">
        <v>273</v>
      </c>
      <c r="C39" s="64">
        <f t="shared" si="20"/>
        <v>0.98526315789473695</v>
      </c>
      <c r="D39" s="64">
        <f t="shared" ref="D39" si="31">AVERAGE($C$15,$C$27,$C$39,$C$51,$C$63)</f>
        <v>1.1747509433193934</v>
      </c>
      <c r="E39" s="64">
        <f t="shared" si="1"/>
        <v>232.3896835771906</v>
      </c>
      <c r="F39" s="55">
        <v>36</v>
      </c>
      <c r="G39" s="64">
        <f t="shared" si="2"/>
        <v>305.55389231536248</v>
      </c>
      <c r="H39" s="64">
        <f t="shared" si="3"/>
        <v>358.94972323238443</v>
      </c>
      <c r="I39" s="64">
        <f t="shared" si="4"/>
        <v>-85.949723232384429</v>
      </c>
      <c r="J39" s="64">
        <f t="shared" si="5"/>
        <v>34.443449429988149</v>
      </c>
    </row>
    <row r="40" spans="1:10" x14ac:dyDescent="0.3">
      <c r="A40" s="31">
        <v>37257</v>
      </c>
      <c r="B40" s="32">
        <v>323</v>
      </c>
      <c r="C40" s="64">
        <f>B40/(AVERAGE($B$40:$B$51))</f>
        <v>0.97583081570996977</v>
      </c>
      <c r="D40" s="64">
        <f t="shared" ref="D40" si="32">AVERAGE($C$4,$C$16,$C$28,$C$40,$C$52,)</f>
        <v>0.81915423467573534</v>
      </c>
      <c r="E40" s="64">
        <f t="shared" si="1"/>
        <v>394.309137799746</v>
      </c>
      <c r="F40" s="55">
        <v>37</v>
      </c>
      <c r="G40" s="64">
        <f t="shared" si="2"/>
        <v>308.28518159387016</v>
      </c>
      <c r="H40" s="64">
        <f t="shared" si="3"/>
        <v>252.5331119903968</v>
      </c>
      <c r="I40" s="64">
        <f t="shared" si="4"/>
        <v>70.466888009603196</v>
      </c>
      <c r="J40" s="64">
        <f t="shared" si="5"/>
        <v>38.045793287949657</v>
      </c>
    </row>
    <row r="41" spans="1:10" x14ac:dyDescent="0.3">
      <c r="A41" s="31">
        <v>37288</v>
      </c>
      <c r="B41" s="32">
        <v>478</v>
      </c>
      <c r="C41" s="64">
        <f t="shared" ref="C41:C51" si="33">B41/(AVERAGE($B$40:$B$51))</f>
        <v>1.4441087613293051</v>
      </c>
      <c r="D41" s="64">
        <f t="shared" ref="D41" si="34">AVERAGE($C$5,$C$17,$C$29,$C$41,$C$53)</f>
        <v>1.4939917630436264</v>
      </c>
      <c r="E41" s="64">
        <f t="shared" si="1"/>
        <v>319.94821646552936</v>
      </c>
      <c r="F41" s="55">
        <v>38</v>
      </c>
      <c r="G41" s="64">
        <f t="shared" si="2"/>
        <v>311.01647087237791</v>
      </c>
      <c r="H41" s="64">
        <f t="shared" si="3"/>
        <v>464.65604565423052</v>
      </c>
      <c r="I41" s="64">
        <f t="shared" si="4"/>
        <v>13.343954345769475</v>
      </c>
      <c r="J41" s="64">
        <f t="shared" si="5"/>
        <v>35.575609393731639</v>
      </c>
    </row>
    <row r="42" spans="1:10" x14ac:dyDescent="0.3">
      <c r="A42" s="31">
        <v>37316</v>
      </c>
      <c r="B42" s="32">
        <v>327</v>
      </c>
      <c r="C42" s="64">
        <f t="shared" si="33"/>
        <v>0.98791540785498488</v>
      </c>
      <c r="D42" s="64">
        <f t="shared" ref="D42" si="35">AVERAGE($C$6,$C$18,$C$30,$C$42,$C$54)</f>
        <v>0.96431519453604486</v>
      </c>
      <c r="E42" s="64">
        <f t="shared" si="1"/>
        <v>339.10074408536883</v>
      </c>
      <c r="F42" s="55">
        <v>39</v>
      </c>
      <c r="G42" s="64">
        <f t="shared" si="2"/>
        <v>313.7477601508856</v>
      </c>
      <c r="H42" s="64">
        <f t="shared" si="3"/>
        <v>302.55173236514958</v>
      </c>
      <c r="I42" s="64">
        <f t="shared" si="4"/>
        <v>24.448267634850424</v>
      </c>
      <c r="J42" s="64">
        <f t="shared" si="5"/>
        <v>34.462875217843518</v>
      </c>
    </row>
    <row r="43" spans="1:10" x14ac:dyDescent="0.3">
      <c r="A43" s="31">
        <v>37347</v>
      </c>
      <c r="B43" s="32">
        <v>327</v>
      </c>
      <c r="C43" s="64">
        <f t="shared" si="33"/>
        <v>0.98791540785498488</v>
      </c>
      <c r="D43" s="64">
        <f t="shared" ref="D43" si="36">AVERAGE($C$7,$C$19,$C$31,$C$43,$C$55)</f>
        <v>0.96811298374310617</v>
      </c>
      <c r="E43" s="64">
        <f t="shared" si="1"/>
        <v>337.77049320802331</v>
      </c>
      <c r="F43" s="55">
        <v>40</v>
      </c>
      <c r="G43" s="64">
        <f t="shared" si="2"/>
        <v>316.47904942939329</v>
      </c>
      <c r="H43" s="64">
        <f t="shared" si="3"/>
        <v>306.38747683527191</v>
      </c>
      <c r="I43" s="64">
        <f t="shared" si="4"/>
        <v>20.612523164728088</v>
      </c>
      <c r="J43" s="64">
        <f t="shared" si="5"/>
        <v>33.077840012531972</v>
      </c>
    </row>
    <row r="44" spans="1:10" x14ac:dyDescent="0.3">
      <c r="A44" s="31">
        <v>37377</v>
      </c>
      <c r="B44" s="32">
        <v>211</v>
      </c>
      <c r="C44" s="64">
        <f t="shared" si="33"/>
        <v>0.63746223564954685</v>
      </c>
      <c r="D44" s="64">
        <f t="shared" ref="D44" si="37">AVERAGE($C$8,$C$20,$C$32,$C$44,$C$56)</f>
        <v>0.64265623576963338</v>
      </c>
      <c r="E44" s="64">
        <f t="shared" si="1"/>
        <v>328.32483099974945</v>
      </c>
      <c r="F44" s="55">
        <v>41</v>
      </c>
      <c r="G44" s="64">
        <f t="shared" si="2"/>
        <v>319.21033870790097</v>
      </c>
      <c r="H44" s="64">
        <f t="shared" si="3"/>
        <v>205.14251469276934</v>
      </c>
      <c r="I44" s="64">
        <f t="shared" si="4"/>
        <v>5.857485307230661</v>
      </c>
      <c r="J44" s="64">
        <f t="shared" si="5"/>
        <v>30.355804542001842</v>
      </c>
    </row>
    <row r="45" spans="1:10" x14ac:dyDescent="0.3">
      <c r="A45" s="31">
        <v>37408</v>
      </c>
      <c r="B45" s="32">
        <v>342</v>
      </c>
      <c r="C45" s="64">
        <f t="shared" si="33"/>
        <v>1.0332326283987916</v>
      </c>
      <c r="D45" s="64">
        <f t="shared" ref="D45" si="38">AVERAGE($C$9,$C$21,$C$33,$C$45,$C$57)</f>
        <v>0.81909862223443852</v>
      </c>
      <c r="E45" s="64">
        <f t="shared" si="1"/>
        <v>417.53213925210872</v>
      </c>
      <c r="F45" s="55">
        <v>42</v>
      </c>
      <c r="G45" s="64">
        <f t="shared" si="2"/>
        <v>321.94162798640866</v>
      </c>
      <c r="H45" s="64">
        <f t="shared" si="3"/>
        <v>263.70194392357951</v>
      </c>
      <c r="I45" s="64">
        <f t="shared" si="4"/>
        <v>78.298056076420494</v>
      </c>
      <c r="J45" s="64">
        <f t="shared" si="5"/>
        <v>35.150029695443706</v>
      </c>
    </row>
    <row r="46" spans="1:10" x14ac:dyDescent="0.3">
      <c r="A46" s="31">
        <v>37438</v>
      </c>
      <c r="B46" s="32">
        <v>288</v>
      </c>
      <c r="C46" s="64">
        <f t="shared" si="33"/>
        <v>0.87009063444108758</v>
      </c>
      <c r="D46" s="64">
        <f t="shared" ref="D46" si="39">AVERAGE($C$10,$C$22,$C$34,$C$46,$C$58)</f>
        <v>0.92320967229064621</v>
      </c>
      <c r="E46" s="64">
        <f t="shared" si="1"/>
        <v>311.95513721755225</v>
      </c>
      <c r="F46" s="55">
        <v>43</v>
      </c>
      <c r="G46" s="64">
        <f t="shared" si="2"/>
        <v>324.67291726491635</v>
      </c>
      <c r="H46" s="64">
        <f t="shared" si="3"/>
        <v>299.74117754979153</v>
      </c>
      <c r="I46" s="64">
        <f t="shared" si="4"/>
        <v>-11.74117754979153</v>
      </c>
      <c r="J46" s="64">
        <f t="shared" si="5"/>
        <v>32.809144480878487</v>
      </c>
    </row>
    <row r="47" spans="1:10" x14ac:dyDescent="0.3">
      <c r="A47" s="31">
        <v>37469</v>
      </c>
      <c r="B47" s="32">
        <v>374</v>
      </c>
      <c r="C47" s="64">
        <f t="shared" si="33"/>
        <v>1.1299093655589123</v>
      </c>
      <c r="D47" s="64">
        <f t="shared" ref="D47" si="40">AVERAGE($C$11,$C$23,$C$35,$C$47,$C$59)</f>
        <v>1.1613799488983791</v>
      </c>
      <c r="E47" s="64">
        <f t="shared" si="1"/>
        <v>322.03070179983365</v>
      </c>
      <c r="F47" s="55">
        <v>44</v>
      </c>
      <c r="G47" s="64">
        <f t="shared" si="2"/>
        <v>327.40420654342404</v>
      </c>
      <c r="H47" s="64">
        <f t="shared" si="3"/>
        <v>380.24068066451616</v>
      </c>
      <c r="I47" s="64">
        <f t="shared" si="4"/>
        <v>-6.2406806645161623</v>
      </c>
      <c r="J47" s="64">
        <f t="shared" si="5"/>
        <v>30.152298099242255</v>
      </c>
    </row>
    <row r="48" spans="1:10" x14ac:dyDescent="0.3">
      <c r="A48" s="31">
        <v>37500</v>
      </c>
      <c r="B48" s="32">
        <v>304</v>
      </c>
      <c r="C48" s="64">
        <f t="shared" si="33"/>
        <v>0.91842900302114805</v>
      </c>
      <c r="D48" s="64">
        <f t="shared" ref="D48" si="41">AVERAGE($C$12,$C$24,$C$36,$C$48,$C$60)</f>
        <v>0.96033797423670408</v>
      </c>
      <c r="E48" s="64">
        <f t="shared" si="1"/>
        <v>316.55522134447023</v>
      </c>
      <c r="F48" s="55">
        <v>45</v>
      </c>
      <c r="G48" s="64">
        <f t="shared" si="2"/>
        <v>330.13549582193173</v>
      </c>
      <c r="H48" s="64">
        <f t="shared" si="3"/>
        <v>317.04165328126379</v>
      </c>
      <c r="I48" s="64">
        <f t="shared" si="4"/>
        <v>-13.041653281263791</v>
      </c>
      <c r="J48" s="64">
        <f t="shared" si="5"/>
        <v>28.441233617444411</v>
      </c>
    </row>
    <row r="49" spans="1:10" x14ac:dyDescent="0.3">
      <c r="A49" s="31">
        <v>37530</v>
      </c>
      <c r="B49" s="32">
        <v>337</v>
      </c>
      <c r="C49" s="64">
        <f t="shared" si="33"/>
        <v>1.0181268882175227</v>
      </c>
      <c r="D49" s="64">
        <f t="shared" ref="D49" si="42">AVERAGE($C$13,$C$25,$C$37,$C$49,$C$61)</f>
        <v>0.96146299179540518</v>
      </c>
      <c r="E49" s="64">
        <f t="shared" si="1"/>
        <v>350.50751082025215</v>
      </c>
      <c r="F49" s="55">
        <v>46</v>
      </c>
      <c r="G49" s="64">
        <f t="shared" si="2"/>
        <v>332.86678510043942</v>
      </c>
      <c r="H49" s="64">
        <f t="shared" si="3"/>
        <v>320.03909507198665</v>
      </c>
      <c r="I49" s="64">
        <f t="shared" si="4"/>
        <v>16.960904928013349</v>
      </c>
      <c r="J49" s="64">
        <f t="shared" si="5"/>
        <v>27.293200748501306</v>
      </c>
    </row>
    <row r="50" spans="1:10" x14ac:dyDescent="0.3">
      <c r="A50" s="31">
        <v>37561</v>
      </c>
      <c r="B50" s="32">
        <v>304</v>
      </c>
      <c r="C50" s="64">
        <f t="shared" si="33"/>
        <v>0.91842900302114805</v>
      </c>
      <c r="D50" s="64">
        <f t="shared" ref="D50" si="43">AVERAGE($C$14,$C$26,$C$38,$C$50,$C$62)</f>
        <v>0.94769858852174038</v>
      </c>
      <c r="E50" s="64">
        <f t="shared" si="1"/>
        <v>320.77709482947716</v>
      </c>
      <c r="F50" s="55">
        <v>47</v>
      </c>
      <c r="G50" s="64">
        <f t="shared" si="2"/>
        <v>335.5980743789471</v>
      </c>
      <c r="H50" s="64">
        <f t="shared" si="3"/>
        <v>318.04582139954221</v>
      </c>
      <c r="I50" s="64">
        <f t="shared" si="4"/>
        <v>-14.045821399542206</v>
      </c>
      <c r="J50" s="64">
        <f t="shared" si="5"/>
        <v>25.968462813605399</v>
      </c>
    </row>
    <row r="51" spans="1:10" x14ac:dyDescent="0.3">
      <c r="A51" s="31">
        <v>37591</v>
      </c>
      <c r="B51" s="32">
        <v>357</v>
      </c>
      <c r="C51" s="64">
        <f t="shared" si="33"/>
        <v>1.0785498489425982</v>
      </c>
      <c r="D51" s="64">
        <f t="shared" ref="D51" si="44">AVERAGE($C$15,$C$27,$C$39,$C$51,$C$63)</f>
        <v>1.1747509433193934</v>
      </c>
      <c r="E51" s="64">
        <f t="shared" si="1"/>
        <v>303.89420160094153</v>
      </c>
      <c r="F51" s="55">
        <v>48</v>
      </c>
      <c r="G51" s="64">
        <f t="shared" si="2"/>
        <v>338.32936365745479</v>
      </c>
      <c r="H51" s="64">
        <f t="shared" si="3"/>
        <v>397.4527391092451</v>
      </c>
      <c r="I51" s="64">
        <f t="shared" si="4"/>
        <v>-40.452739109245101</v>
      </c>
      <c r="J51" s="64">
        <f t="shared" si="5"/>
        <v>27.416890443169372</v>
      </c>
    </row>
    <row r="52" spans="1:10" x14ac:dyDescent="0.3">
      <c r="A52" s="38">
        <v>37622</v>
      </c>
      <c r="B52" s="39">
        <v>328</v>
      </c>
      <c r="C52" s="64">
        <f>B52/(AVERAGE($B$52:$B$63))</f>
        <v>0.96517900931829337</v>
      </c>
      <c r="D52" s="64">
        <f t="shared" ref="D52" si="45">AVERAGE($C$4,$C$16,$C$28,$C$40,$C$52,)</f>
        <v>0.81915423467573534</v>
      </c>
      <c r="E52" s="64">
        <f t="shared" si="1"/>
        <v>400.41299442203308</v>
      </c>
      <c r="F52" s="55">
        <v>49</v>
      </c>
      <c r="G52" s="64">
        <f t="shared" si="2"/>
        <v>341.06065293596248</v>
      </c>
      <c r="H52" s="64">
        <f t="shared" si="3"/>
        <v>279.38127813376491</v>
      </c>
      <c r="I52" s="64">
        <f t="shared" si="4"/>
        <v>48.618721866235092</v>
      </c>
      <c r="J52" s="64">
        <f t="shared" si="5"/>
        <v>29.537073585475945</v>
      </c>
    </row>
    <row r="53" spans="1:10" x14ac:dyDescent="0.3">
      <c r="A53" s="38">
        <v>37653</v>
      </c>
      <c r="B53" s="39">
        <v>512</v>
      </c>
      <c r="C53" s="64">
        <f t="shared" ref="C53:C63" si="46">B53/(AVERAGE($B$52:$B$63))</f>
        <v>1.5066208925944091</v>
      </c>
      <c r="D53" s="64">
        <f t="shared" ref="D53" si="47">AVERAGE($C$5,$C$17,$C$29,$C$41,$C$53)</f>
        <v>1.4939917630436264</v>
      </c>
      <c r="E53" s="64">
        <f t="shared" si="1"/>
        <v>342.70603939403981</v>
      </c>
      <c r="F53" s="55">
        <v>50</v>
      </c>
      <c r="G53" s="64">
        <f t="shared" si="2"/>
        <v>343.79194221447017</v>
      </c>
      <c r="H53" s="64">
        <f t="shared" si="3"/>
        <v>513.62232986918877</v>
      </c>
      <c r="I53" s="64">
        <f t="shared" si="4"/>
        <v>-1.6223298691887749</v>
      </c>
      <c r="J53" s="64">
        <f t="shared" si="5"/>
        <v>26.745599213847228</v>
      </c>
    </row>
    <row r="54" spans="1:10" x14ac:dyDescent="0.3">
      <c r="A54" s="38">
        <v>37681</v>
      </c>
      <c r="B54" s="39">
        <v>310</v>
      </c>
      <c r="C54" s="64">
        <f t="shared" si="46"/>
        <v>0.91221186856302117</v>
      </c>
      <c r="D54" s="64">
        <f t="shared" ref="D54" si="48">AVERAGE($C$6,$C$18,$C$30,$C$42,$C$54)</f>
        <v>0.96431519453604486</v>
      </c>
      <c r="E54" s="64">
        <f t="shared" si="1"/>
        <v>321.47165341426404</v>
      </c>
      <c r="F54" s="55">
        <v>51</v>
      </c>
      <c r="G54" s="64">
        <f t="shared" si="2"/>
        <v>346.52323149297786</v>
      </c>
      <c r="H54" s="64">
        <f t="shared" si="3"/>
        <v>334.15761738840985</v>
      </c>
      <c r="I54" s="64">
        <f t="shared" si="4"/>
        <v>-24.157617388409847</v>
      </c>
      <c r="J54" s="64">
        <f t="shared" si="5"/>
        <v>26.486801031303489</v>
      </c>
    </row>
    <row r="55" spans="1:10" x14ac:dyDescent="0.3">
      <c r="A55" s="38">
        <v>37712</v>
      </c>
      <c r="B55" s="39">
        <v>346</v>
      </c>
      <c r="C55" s="64">
        <f t="shared" si="46"/>
        <v>1.0181461500735656</v>
      </c>
      <c r="D55" s="64">
        <f t="shared" ref="D55" si="49">AVERAGE($C$7,$C$19,$C$31,$C$43,$C$55)</f>
        <v>0.96811298374310617</v>
      </c>
      <c r="E55" s="64">
        <f t="shared" si="1"/>
        <v>357.39630168188398</v>
      </c>
      <c r="F55" s="55">
        <v>52</v>
      </c>
      <c r="G55" s="64">
        <f t="shared" si="2"/>
        <v>349.25452077148555</v>
      </c>
      <c r="H55" s="64">
        <f t="shared" si="3"/>
        <v>338.11783618985152</v>
      </c>
      <c r="I55" s="64">
        <f t="shared" si="4"/>
        <v>7.8821638101484837</v>
      </c>
      <c r="J55" s="64">
        <f t="shared" si="5"/>
        <v>24.626337309187988</v>
      </c>
    </row>
    <row r="56" spans="1:10" x14ac:dyDescent="0.3">
      <c r="A56" s="38">
        <v>37742</v>
      </c>
      <c r="B56" s="39">
        <v>261</v>
      </c>
      <c r="C56" s="64">
        <f t="shared" si="46"/>
        <v>0.76802354095144687</v>
      </c>
      <c r="D56" s="64">
        <f t="shared" ref="D56" si="50">AVERAGE($C$8,$C$20,$C$32,$C$44,$C$56)</f>
        <v>0.64265623576963338</v>
      </c>
      <c r="E56" s="64">
        <f t="shared" si="1"/>
        <v>406.12692365371851</v>
      </c>
      <c r="F56" s="55">
        <v>53</v>
      </c>
      <c r="G56" s="64">
        <f t="shared" si="2"/>
        <v>351.98581004999323</v>
      </c>
      <c r="H56" s="64">
        <f t="shared" si="3"/>
        <v>226.20587573105385</v>
      </c>
      <c r="I56" s="64">
        <f t="shared" si="4"/>
        <v>34.794124268946149</v>
      </c>
      <c r="J56" s="64">
        <f t="shared" si="5"/>
        <v>25.643116005163805</v>
      </c>
    </row>
    <row r="57" spans="1:10" x14ac:dyDescent="0.3">
      <c r="A57" s="38">
        <v>37773</v>
      </c>
      <c r="B57" s="39">
        <v>296</v>
      </c>
      <c r="C57" s="64">
        <f t="shared" si="46"/>
        <v>0.87101520353114281</v>
      </c>
      <c r="D57" s="64">
        <f t="shared" ref="D57" si="51">AVERAGE($C$9,$C$21,$C$33,$C$45,$C$57)</f>
        <v>0.81909862223443852</v>
      </c>
      <c r="E57" s="64">
        <f t="shared" si="1"/>
        <v>361.37284566849178</v>
      </c>
      <c r="F57" s="55">
        <v>54</v>
      </c>
      <c r="G57" s="64">
        <f t="shared" si="2"/>
        <v>354.71709932850092</v>
      </c>
      <c r="H57" s="64">
        <f t="shared" si="3"/>
        <v>290.54828734297161</v>
      </c>
      <c r="I57" s="64">
        <f t="shared" si="4"/>
        <v>5.4517126570283949</v>
      </c>
      <c r="J57" s="64">
        <f t="shared" si="5"/>
        <v>23.623975670350266</v>
      </c>
    </row>
    <row r="58" spans="1:10" x14ac:dyDescent="0.3">
      <c r="A58" s="38">
        <v>37803</v>
      </c>
      <c r="B58" s="39">
        <v>394</v>
      </c>
      <c r="C58" s="64">
        <f t="shared" si="46"/>
        <v>1.1593918587542913</v>
      </c>
      <c r="D58" s="64">
        <f t="shared" ref="D58" si="52">AVERAGE($C$10,$C$22,$C$34,$C$46,$C$58)</f>
        <v>0.92320967229064621</v>
      </c>
      <c r="E58" s="64">
        <f t="shared" si="1"/>
        <v>426.77195855456802</v>
      </c>
      <c r="F58" s="55">
        <v>55</v>
      </c>
      <c r="G58" s="64">
        <f t="shared" si="2"/>
        <v>357.44838860700861</v>
      </c>
      <c r="H58" s="64">
        <f t="shared" si="3"/>
        <v>329.999809706696</v>
      </c>
      <c r="I58" s="64">
        <f t="shared" si="4"/>
        <v>64.000190293304001</v>
      </c>
      <c r="J58" s="64">
        <f t="shared" si="5"/>
        <v>27.661597132645642</v>
      </c>
    </row>
    <row r="59" spans="1:10" x14ac:dyDescent="0.3">
      <c r="A59" s="38">
        <v>37834</v>
      </c>
      <c r="B59" s="39">
        <v>331</v>
      </c>
      <c r="C59" s="64">
        <f t="shared" si="46"/>
        <v>0.97400686611083875</v>
      </c>
      <c r="D59" s="64">
        <f t="shared" ref="D59" si="53">AVERAGE($C$11,$C$23,$C$35,$C$47,$C$59)</f>
        <v>1.1613799488983791</v>
      </c>
      <c r="E59" s="64">
        <f t="shared" si="1"/>
        <v>285.00578153942496</v>
      </c>
      <c r="F59" s="55">
        <v>56</v>
      </c>
      <c r="G59" s="64">
        <f t="shared" si="2"/>
        <v>360.1796778855163</v>
      </c>
      <c r="H59" s="64">
        <f t="shared" si="3"/>
        <v>418.30545589691559</v>
      </c>
      <c r="I59" s="64">
        <f t="shared" si="4"/>
        <v>-87.305455896915589</v>
      </c>
      <c r="J59" s="64">
        <f t="shared" si="5"/>
        <v>33.625983009072641</v>
      </c>
    </row>
    <row r="60" spans="1:10" x14ac:dyDescent="0.3">
      <c r="A60" s="38">
        <v>37865</v>
      </c>
      <c r="B60" s="39">
        <v>305</v>
      </c>
      <c r="C60" s="64">
        <f t="shared" si="46"/>
        <v>0.89749877390877886</v>
      </c>
      <c r="D60" s="64">
        <f t="shared" ref="D60" si="54">AVERAGE($C$12,$C$24,$C$36,$C$48,$C$60)</f>
        <v>0.96033797423670408</v>
      </c>
      <c r="E60" s="64">
        <f t="shared" si="1"/>
        <v>317.59652141468229</v>
      </c>
      <c r="F60" s="55">
        <v>57</v>
      </c>
      <c r="G60" s="64">
        <f t="shared" si="2"/>
        <v>362.91096716402399</v>
      </c>
      <c r="H60" s="64">
        <f t="shared" si="3"/>
        <v>348.51718303458182</v>
      </c>
      <c r="I60" s="64">
        <f t="shared" si="4"/>
        <v>-43.517183034581819</v>
      </c>
      <c r="J60" s="64">
        <f t="shared" si="5"/>
        <v>34.61510301162356</v>
      </c>
    </row>
    <row r="61" spans="1:10" x14ac:dyDescent="0.3">
      <c r="A61" s="38">
        <v>37895</v>
      </c>
      <c r="B61" s="39">
        <v>305</v>
      </c>
      <c r="C61" s="64">
        <f t="shared" si="46"/>
        <v>0.89749877390877886</v>
      </c>
      <c r="D61" s="64">
        <f t="shared" ref="D61" si="55">AVERAGE($C$13,$C$25,$C$37,$C$49,$C$61)</f>
        <v>0.96146299179540518</v>
      </c>
      <c r="E61" s="64">
        <f t="shared" si="1"/>
        <v>317.22489851684543</v>
      </c>
      <c r="F61" s="55">
        <v>58</v>
      </c>
      <c r="G61" s="64">
        <f t="shared" si="2"/>
        <v>365.64225644253168</v>
      </c>
      <c r="H61" s="64">
        <f t="shared" si="3"/>
        <v>351.55149780605927</v>
      </c>
      <c r="I61" s="64">
        <f t="shared" si="4"/>
        <v>-46.551497806059274</v>
      </c>
      <c r="J61" s="64">
        <f t="shared" si="5"/>
        <v>35.808742491067129</v>
      </c>
    </row>
    <row r="62" spans="1:10" x14ac:dyDescent="0.3">
      <c r="A62" s="38">
        <v>37926</v>
      </c>
      <c r="B62" s="39">
        <v>321</v>
      </c>
      <c r="C62" s="64">
        <f t="shared" si="46"/>
        <v>0.94458067680235414</v>
      </c>
      <c r="D62" s="64">
        <f t="shared" ref="D62" si="56">AVERAGE($C$14,$C$26,$C$38,$C$50,$C$62)</f>
        <v>0.94769858852174038</v>
      </c>
      <c r="E62" s="64">
        <f t="shared" si="1"/>
        <v>338.7152876324414</v>
      </c>
      <c r="F62" s="55">
        <v>59</v>
      </c>
      <c r="G62" s="64">
        <f t="shared" si="2"/>
        <v>368.37354572103936</v>
      </c>
      <c r="H62" s="64">
        <f t="shared" si="3"/>
        <v>349.10708932857779</v>
      </c>
      <c r="I62" s="64">
        <f t="shared" si="4"/>
        <v>-28.107089328577786</v>
      </c>
      <c r="J62" s="64">
        <f t="shared" si="5"/>
        <v>35.038577174818194</v>
      </c>
    </row>
    <row r="63" spans="1:10" x14ac:dyDescent="0.3">
      <c r="A63" s="38">
        <v>37956</v>
      </c>
      <c r="B63" s="39">
        <v>369</v>
      </c>
      <c r="C63" s="64">
        <f t="shared" si="46"/>
        <v>1.0858263854830801</v>
      </c>
      <c r="D63" s="64">
        <f t="shared" ref="D63" si="57">AVERAGE($C$15,$C$27,$C$39,$C$51,$C$63)</f>
        <v>1.1747509433193934</v>
      </c>
      <c r="E63" s="64">
        <f t="shared" si="1"/>
        <v>314.10913274719167</v>
      </c>
      <c r="F63" s="55">
        <v>60</v>
      </c>
      <c r="G63" s="64">
        <f t="shared" si="2"/>
        <v>371.10483499954711</v>
      </c>
      <c r="H63" s="64">
        <f t="shared" si="3"/>
        <v>435.95575498610583</v>
      </c>
      <c r="I63" s="64">
        <f t="shared" si="4"/>
        <v>-66.955754986105831</v>
      </c>
      <c r="J63" s="64">
        <f t="shared" si="5"/>
        <v>38.23029495594696</v>
      </c>
    </row>
    <row r="64" spans="1:10" x14ac:dyDescent="0.3">
      <c r="A64" s="31">
        <v>37987</v>
      </c>
      <c r="B64" s="32">
        <v>342</v>
      </c>
      <c r="C64" s="65"/>
      <c r="D64" s="64">
        <f t="shared" ref="D64" si="58">AVERAGE($C$4,$C$16,$C$28,$C$40,$C$52,)</f>
        <v>0.81915423467573534</v>
      </c>
      <c r="E64" s="64">
        <f t="shared" si="1"/>
        <v>417.50379296443697</v>
      </c>
      <c r="F64" s="55">
        <v>61</v>
      </c>
      <c r="G64" s="64">
        <f t="shared" si="2"/>
        <v>373.8361242780548</v>
      </c>
      <c r="H64" s="64">
        <f t="shared" si="3"/>
        <v>306.22944427713304</v>
      </c>
      <c r="I64" s="64">
        <f t="shared" si="4"/>
        <v>35.770555722866959</v>
      </c>
      <c r="J64" s="64">
        <f t="shared" si="5"/>
        <v>37.98432103263896</v>
      </c>
    </row>
    <row r="65" spans="1:10" x14ac:dyDescent="0.3">
      <c r="A65" s="31">
        <v>38018</v>
      </c>
      <c r="B65" s="32">
        <v>535</v>
      </c>
      <c r="C65" s="65"/>
      <c r="D65" s="64">
        <f t="shared" ref="D65" si="59">AVERAGE($C$5,$C$17,$C$29,$C$41,$C$53)</f>
        <v>1.4939917630436264</v>
      </c>
      <c r="E65" s="64">
        <f t="shared" si="1"/>
        <v>358.10103725744392</v>
      </c>
      <c r="F65" s="55">
        <v>62</v>
      </c>
      <c r="G65" s="64">
        <f t="shared" si="2"/>
        <v>376.56741355656249</v>
      </c>
      <c r="H65" s="64">
        <f t="shared" si="3"/>
        <v>562.58861408414714</v>
      </c>
      <c r="I65" s="64">
        <f t="shared" si="4"/>
        <v>-27.588614084147139</v>
      </c>
      <c r="J65" s="64">
        <f t="shared" si="5"/>
        <v>36.944750337789785</v>
      </c>
    </row>
    <row r="66" spans="1:10" x14ac:dyDescent="0.3">
      <c r="A66" s="31">
        <v>38047</v>
      </c>
      <c r="B66" s="34"/>
      <c r="C66" s="65"/>
      <c r="D66" s="64">
        <f t="shared" ref="D66" si="60">AVERAGE($C$6,$C$18,$C$30,$C$42,$C$54)</f>
        <v>0.96431519453604486</v>
      </c>
      <c r="E66" s="65"/>
      <c r="F66" s="55">
        <v>63</v>
      </c>
      <c r="G66" s="64">
        <f t="shared" si="2"/>
        <v>379.29870283507017</v>
      </c>
      <c r="H66" s="64">
        <f t="shared" si="3"/>
        <v>365.76350241167017</v>
      </c>
      <c r="I66" s="34"/>
    </row>
    <row r="67" spans="1:10" x14ac:dyDescent="0.3">
      <c r="A67" s="31">
        <v>38078</v>
      </c>
      <c r="B67" s="34"/>
      <c r="C67" s="65"/>
      <c r="D67" s="64">
        <f t="shared" ref="D67" si="61">AVERAGE($C$7,$C$19,$C$31,$C$43,$C$55)</f>
        <v>0.96811298374310617</v>
      </c>
      <c r="E67" s="65"/>
      <c r="F67" s="55">
        <v>64</v>
      </c>
      <c r="G67" s="64">
        <f t="shared" si="2"/>
        <v>382.02999211357786</v>
      </c>
      <c r="H67" s="64">
        <f t="shared" si="3"/>
        <v>369.84819554443118</v>
      </c>
      <c r="I67" s="34"/>
    </row>
    <row r="68" spans="1:10" x14ac:dyDescent="0.3">
      <c r="A68" s="31">
        <v>38108</v>
      </c>
      <c r="B68" s="34"/>
      <c r="C68" s="65"/>
      <c r="D68" s="64">
        <f t="shared" ref="D68" si="62">AVERAGE($C$8,$C$20,$C$32,$C$44,$C$56)</f>
        <v>0.64265623576963338</v>
      </c>
      <c r="E68" s="65"/>
      <c r="F68" s="55">
        <v>65</v>
      </c>
      <c r="G68" s="64">
        <f t="shared" si="2"/>
        <v>384.76128139208555</v>
      </c>
      <c r="H68" s="64">
        <f t="shared" si="3"/>
        <v>247.26923676933839</v>
      </c>
      <c r="I68" s="34"/>
    </row>
    <row r="69" spans="1:10" x14ac:dyDescent="0.3">
      <c r="A69" s="31">
        <v>38139</v>
      </c>
      <c r="B69" s="34"/>
      <c r="C69" s="65"/>
      <c r="D69" s="64">
        <f t="shared" ref="D69" si="63">AVERAGE($C$9,$C$21,$C$33,$C$45,$C$57)</f>
        <v>0.81909862223443852</v>
      </c>
      <c r="E69" s="65"/>
      <c r="F69" s="55">
        <v>66</v>
      </c>
      <c r="G69" s="64">
        <f t="shared" ref="G69:G75" si="64">$B$1*F69+$D$1</f>
        <v>387.49257067059324</v>
      </c>
      <c r="H69" s="64">
        <f t="shared" ref="H69:H75" si="65">G69*D69</f>
        <v>317.3946307623637</v>
      </c>
      <c r="I69" s="34"/>
    </row>
    <row r="70" spans="1:10" x14ac:dyDescent="0.3">
      <c r="A70" s="31">
        <v>38169</v>
      </c>
      <c r="B70" s="34"/>
      <c r="C70" s="65"/>
      <c r="D70" s="64">
        <f t="shared" ref="D70" si="66">AVERAGE($C$10,$C$22,$C$34,$C$46,$C$58)</f>
        <v>0.92320967229064621</v>
      </c>
      <c r="E70" s="65"/>
      <c r="F70" s="55">
        <v>67</v>
      </c>
      <c r="G70" s="64">
        <f t="shared" si="64"/>
        <v>390.22385994910093</v>
      </c>
      <c r="H70" s="64">
        <f t="shared" si="65"/>
        <v>360.25844186360047</v>
      </c>
      <c r="I70" s="34"/>
    </row>
    <row r="71" spans="1:10" x14ac:dyDescent="0.3">
      <c r="A71" s="31">
        <v>38200</v>
      </c>
      <c r="B71" s="34"/>
      <c r="C71" s="65"/>
      <c r="D71" s="64">
        <f t="shared" ref="D71" si="67">AVERAGE($C$11,$C$23,$C$35,$C$47,$C$59)</f>
        <v>1.1613799488983791</v>
      </c>
      <c r="E71" s="65"/>
      <c r="F71" s="55">
        <v>68</v>
      </c>
      <c r="G71" s="64">
        <f t="shared" si="64"/>
        <v>392.95514922760862</v>
      </c>
      <c r="H71" s="64">
        <f t="shared" si="65"/>
        <v>456.37023112931502</v>
      </c>
      <c r="I71" s="34"/>
    </row>
    <row r="72" spans="1:10" x14ac:dyDescent="0.3">
      <c r="A72" s="31">
        <v>38231</v>
      </c>
      <c r="B72" s="34"/>
      <c r="C72" s="65"/>
      <c r="D72" s="64">
        <f t="shared" ref="D72" si="68">AVERAGE($C$12,$C$24,$C$36,$C$48,$C$60)</f>
        <v>0.96033797423670408</v>
      </c>
      <c r="E72" s="65"/>
      <c r="F72" s="55">
        <v>69</v>
      </c>
      <c r="G72" s="64">
        <f t="shared" si="64"/>
        <v>395.68643850611636</v>
      </c>
      <c r="H72" s="64">
        <f t="shared" si="65"/>
        <v>379.99271278789996</v>
      </c>
      <c r="I72" s="34"/>
    </row>
    <row r="73" spans="1:10" x14ac:dyDescent="0.3">
      <c r="A73" s="31">
        <v>38261</v>
      </c>
      <c r="B73" s="34"/>
      <c r="C73" s="65"/>
      <c r="D73" s="64">
        <f t="shared" ref="D73" si="69">AVERAGE($C$13,$C$25,$C$37,$C$49,$C$61)</f>
        <v>0.96146299179540518</v>
      </c>
      <c r="E73" s="65"/>
      <c r="F73" s="55">
        <v>70</v>
      </c>
      <c r="G73" s="64">
        <f t="shared" si="64"/>
        <v>398.41772778462405</v>
      </c>
      <c r="H73" s="64">
        <f t="shared" si="65"/>
        <v>383.06390054013195</v>
      </c>
      <c r="I73" s="34"/>
    </row>
    <row r="74" spans="1:10" x14ac:dyDescent="0.3">
      <c r="A74" s="31">
        <v>38292</v>
      </c>
      <c r="B74" s="34"/>
      <c r="C74" s="65"/>
      <c r="D74" s="64">
        <f t="shared" ref="D74" si="70">AVERAGE($C$14,$C$26,$C$38,$C$50,$C$62)</f>
        <v>0.94769858852174038</v>
      </c>
      <c r="E74" s="65"/>
      <c r="F74" s="55">
        <v>71</v>
      </c>
      <c r="G74" s="64">
        <f t="shared" si="64"/>
        <v>401.14901706313174</v>
      </c>
      <c r="H74" s="64">
        <f t="shared" si="65"/>
        <v>380.16835725761348</v>
      </c>
      <c r="I74" s="34"/>
    </row>
    <row r="75" spans="1:10" x14ac:dyDescent="0.3">
      <c r="A75" s="31">
        <v>38322</v>
      </c>
      <c r="B75" s="34"/>
      <c r="C75" s="65"/>
      <c r="D75" s="64">
        <f t="shared" ref="D75" si="71">AVERAGE($C$15,$C$27,$C$39,$C$51,$C$63)</f>
        <v>1.1747509433193934</v>
      </c>
      <c r="E75" s="65"/>
      <c r="F75" s="55">
        <v>72</v>
      </c>
      <c r="G75" s="64">
        <f t="shared" si="64"/>
        <v>403.88030634163943</v>
      </c>
      <c r="H75" s="64">
        <f t="shared" si="65"/>
        <v>474.4587708629665</v>
      </c>
      <c r="I75" s="34"/>
    </row>
  </sheetData>
  <mergeCells count="1">
    <mergeCell ref="L5:O5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data</vt:lpstr>
      <vt:lpstr>Monthly Data</vt:lpstr>
      <vt:lpstr>YearlyRegres.</vt:lpstr>
      <vt:lpstr>YrRegres.GRAPH</vt:lpstr>
      <vt:lpstr>YrTrend</vt:lpstr>
      <vt:lpstr>YrTrendGRAPH</vt:lpstr>
      <vt:lpstr>MonthlyRegres.</vt:lpstr>
      <vt:lpstr>MthRegres.GRAPH</vt:lpstr>
      <vt:lpstr>Decomposition</vt:lpstr>
      <vt:lpstr>Decomp.GRAPH</vt:lpstr>
      <vt:lpstr>BestForecast</vt:lpstr>
      <vt:lpstr>Float</vt:lpstr>
      <vt:lpstr>Float Growth Calculations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Mellie Pullman</dc:creator>
  <cp:lastModifiedBy>Risto Rushford</cp:lastModifiedBy>
  <dcterms:created xsi:type="dcterms:W3CDTF">2009-01-14T00:40:05Z</dcterms:created>
  <dcterms:modified xsi:type="dcterms:W3CDTF">2020-12-21T12:05:48Z</dcterms:modified>
</cp:coreProperties>
</file>