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User\Documents\Student Affairs\Tuition Fees\"/>
    </mc:Choice>
  </mc:AlternateContent>
  <xr:revisionPtr revIDLastSave="0" documentId="13_ncr:1_{5767B613-39F2-4CC7-9721-FD9C061BE842}" xr6:coauthVersionLast="47" xr6:coauthVersionMax="47" xr10:uidLastSave="{00000000-0000-0000-0000-000000000000}"/>
  <bookViews>
    <workbookView xWindow="-108" yWindow="-108" windowWidth="23256" windowHeight="12576" xr2:uid="{2EC587AD-250A-4C29-AD1E-FBF562104198}"/>
  </bookViews>
  <sheets>
    <sheet name="SIMULATOR" sheetId="2" r:id="rId1"/>
    <sheet name="DATA" sheetId="1" r:id="rId2"/>
    <sheet name="Dropdownlists" sheetId="3" r:id="rId3"/>
  </sheets>
  <definedNames>
    <definedName name="DD_Int_MSc_Fin">Dropdownlists!$B$2:$B$8</definedName>
    <definedName name="DD_Int_MSc_Man">Dropdownlists!$C$2:$C$11</definedName>
    <definedName name="DD_MSc_Econ">Dropdownlists!$D$2:$D$6</definedName>
    <definedName name="n.a.">Dropdownlists!$H$2</definedName>
    <definedName name="No">Dropdownlists!$G$2</definedName>
    <definedName name="Programs">Dropdownlists!$A$2:$A$13</definedName>
    <definedName name="Scholarship">Dropdownlists!$F$3:$F$10</definedName>
    <definedName name="Yes_No">Dropdownlists!$E$2:$E$3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5" i="1" l="1"/>
  <c r="E33" i="2" a="1"/>
  <c r="E33" i="2" s="1"/>
  <c r="E31" i="2" a="1"/>
  <c r="E31" i="2" s="1"/>
  <c r="T6" i="1"/>
  <c r="T7" i="1"/>
  <c r="T8" i="1"/>
  <c r="T9" i="1"/>
  <c r="T10" i="1"/>
  <c r="T11" i="1"/>
  <c r="T12" i="1"/>
  <c r="T13" i="1"/>
  <c r="T21" i="1"/>
  <c r="T22" i="1"/>
  <c r="T23" i="1"/>
  <c r="T24" i="1"/>
  <c r="T25" i="1"/>
  <c r="T26" i="1"/>
  <c r="T27" i="1"/>
  <c r="T28" i="1"/>
  <c r="T29" i="1"/>
  <c r="T30" i="1"/>
  <c r="T31" i="1"/>
  <c r="T32" i="1"/>
  <c r="T33" i="1"/>
  <c r="T34" i="1"/>
  <c r="T35" i="1"/>
  <c r="S6" i="1"/>
  <c r="S7" i="1"/>
  <c r="S8" i="1"/>
  <c r="S9" i="1"/>
  <c r="S10" i="1"/>
  <c r="S11" i="1"/>
  <c r="S12" i="1"/>
  <c r="S13" i="1"/>
  <c r="S21" i="1"/>
  <c r="S22" i="1"/>
  <c r="S23" i="1"/>
  <c r="S24" i="1"/>
  <c r="S25" i="1"/>
  <c r="S26" i="1"/>
  <c r="S27" i="1"/>
  <c r="S28" i="1"/>
  <c r="S29" i="1"/>
  <c r="S30" i="1"/>
  <c r="S31" i="1"/>
  <c r="S32" i="1"/>
  <c r="S33" i="1"/>
  <c r="S34" i="1"/>
  <c r="S35" i="1"/>
  <c r="E26" i="2" l="1"/>
  <c r="E23" i="2" a="1"/>
  <c r="E23" i="2" s="1"/>
  <c r="E28" i="2" a="1"/>
  <c r="E28" i="2" s="1"/>
  <c r="E20" i="2" a="1"/>
  <c r="E20" i="2" s="1"/>
  <c r="H6" i="1" l="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E6" i="1"/>
  <c r="E7" i="1"/>
  <c r="E8" i="1"/>
  <c r="E9" i="1"/>
  <c r="E10" i="1"/>
  <c r="E11" i="1"/>
  <c r="E12" i="1"/>
  <c r="E13" i="1"/>
  <c r="E5" i="1"/>
  <c r="R6" i="1" l="1"/>
  <c r="R7" i="1"/>
  <c r="R8" i="1"/>
  <c r="R9" i="1"/>
  <c r="R10" i="1"/>
  <c r="R11" i="1"/>
  <c r="R12" i="1"/>
  <c r="R13" i="1"/>
  <c r="R21" i="1"/>
  <c r="R22" i="1"/>
  <c r="R23" i="1"/>
  <c r="R24" i="1"/>
  <c r="R25" i="1"/>
  <c r="R26" i="1"/>
  <c r="R27" i="1"/>
  <c r="R28" i="1"/>
  <c r="R29" i="1"/>
  <c r="R30" i="1"/>
  <c r="R14" i="1"/>
  <c r="R15" i="1"/>
  <c r="R16" i="1"/>
  <c r="R17" i="1"/>
  <c r="R18" i="1"/>
  <c r="R19" i="1"/>
  <c r="R20" i="1"/>
  <c r="R31" i="1"/>
  <c r="R32" i="1"/>
  <c r="R33" i="1"/>
  <c r="R34" i="1"/>
  <c r="R35" i="1"/>
  <c r="R5" i="1"/>
  <c r="M35" i="1"/>
  <c r="F5" i="1"/>
  <c r="H5" i="1" s="1"/>
  <c r="E17" i="2" s="1"/>
  <c r="K6" i="1"/>
  <c r="K7" i="1"/>
  <c r="K8" i="1"/>
  <c r="K9" i="1"/>
  <c r="K10" i="1"/>
  <c r="K11" i="1"/>
  <c r="K12" i="1"/>
  <c r="K13" i="1"/>
  <c r="K21" i="1"/>
  <c r="K22" i="1"/>
  <c r="K23" i="1"/>
  <c r="K24" i="1"/>
  <c r="K25" i="1"/>
  <c r="K26" i="1"/>
  <c r="K27" i="1"/>
  <c r="K28" i="1"/>
  <c r="K29" i="1"/>
  <c r="K30" i="1"/>
  <c r="K14" i="1"/>
  <c r="K15" i="1"/>
  <c r="K16" i="1"/>
  <c r="K17" i="1"/>
  <c r="K18" i="1"/>
  <c r="K19" i="1"/>
  <c r="K20" i="1"/>
  <c r="K31" i="1"/>
  <c r="K32" i="1"/>
  <c r="K33" i="1"/>
  <c r="K34" i="1"/>
  <c r="K35" i="1"/>
  <c r="S14" i="1" l="1"/>
  <c r="T14" i="1"/>
  <c r="S20" i="1"/>
  <c r="T20" i="1"/>
  <c r="T5" i="1"/>
  <c r="S16" i="1"/>
  <c r="T16" i="1"/>
  <c r="T15" i="1"/>
  <c r="S15" i="1"/>
  <c r="S19" i="1"/>
  <c r="T19" i="1"/>
  <c r="T17" i="1"/>
  <c r="S17" i="1"/>
  <c r="W27" i="1"/>
  <c r="Y27" i="1" s="1"/>
  <c r="X27" i="1"/>
  <c r="W12" i="1"/>
  <c r="Y12" i="1" s="1"/>
  <c r="X12" i="1"/>
  <c r="Z12" i="1" s="1"/>
  <c r="K5" i="1"/>
  <c r="W33" i="1"/>
  <c r="Y33" i="1" s="1"/>
  <c r="X23" i="1"/>
  <c r="W30" i="1"/>
  <c r="Y30" i="1" s="1"/>
  <c r="W22" i="1"/>
  <c r="Y22" i="1" s="1"/>
  <c r="W21" i="1"/>
  <c r="Y21" i="1" s="1"/>
  <c r="W29" i="1"/>
  <c r="Y29" i="1" s="1"/>
  <c r="V5" i="1"/>
  <c r="V9" i="1"/>
  <c r="V8" i="1"/>
  <c r="V10" i="1"/>
  <c r="V13" i="1"/>
  <c r="V12" i="1"/>
  <c r="V7" i="1"/>
  <c r="V11" i="1"/>
  <c r="V21" i="1"/>
  <c r="V22" i="1"/>
  <c r="V23" i="1"/>
  <c r="V24" i="1"/>
  <c r="V25" i="1"/>
  <c r="V26" i="1"/>
  <c r="V27" i="1"/>
  <c r="V28" i="1"/>
  <c r="V29" i="1"/>
  <c r="V30" i="1"/>
  <c r="V14" i="1"/>
  <c r="V15" i="1"/>
  <c r="V16" i="1"/>
  <c r="V17" i="1"/>
  <c r="V18" i="1"/>
  <c r="V19" i="1"/>
  <c r="V20" i="1"/>
  <c r="V31" i="1"/>
  <c r="V32" i="1"/>
  <c r="V33" i="1"/>
  <c r="V34" i="1"/>
  <c r="V35" i="1"/>
  <c r="V6" i="1"/>
  <c r="W14" i="1" l="1"/>
  <c r="Y14" i="1" s="1"/>
  <c r="W17" i="1"/>
  <c r="Y17" i="1" s="1"/>
  <c r="X15" i="1"/>
  <c r="W9" i="1"/>
  <c r="Y9" i="1" s="1"/>
  <c r="W6" i="1"/>
  <c r="Y6" i="1" s="1"/>
  <c r="X29" i="1"/>
  <c r="X5" i="1"/>
  <c r="Z5" i="1" s="1"/>
  <c r="W5" i="1"/>
  <c r="X9" i="1"/>
  <c r="Z9" i="1" s="1"/>
  <c r="W26" i="1"/>
  <c r="Y26" i="1" s="1"/>
  <c r="X26" i="1"/>
  <c r="W19" i="1"/>
  <c r="Y19" i="1" s="1"/>
  <c r="X19" i="1"/>
  <c r="W10" i="1"/>
  <c r="Y10" i="1" s="1"/>
  <c r="X10" i="1"/>
  <c r="Z10" i="1" s="1"/>
  <c r="X33" i="1"/>
  <c r="X17" i="1"/>
  <c r="W11" i="1"/>
  <c r="Y11" i="1" s="1"/>
  <c r="X11" i="1"/>
  <c r="Z11" i="1" s="1"/>
  <c r="W35" i="1"/>
  <c r="Y35" i="1" s="1"/>
  <c r="X35" i="1"/>
  <c r="W16" i="1"/>
  <c r="Y16" i="1" s="1"/>
  <c r="X16" i="1"/>
  <c r="X22" i="1"/>
  <c r="W13" i="1"/>
  <c r="Y13" i="1" s="1"/>
  <c r="X13" i="1"/>
  <c r="Z13" i="1" s="1"/>
  <c r="W20" i="1"/>
  <c r="Y20" i="1" s="1"/>
  <c r="X20" i="1"/>
  <c r="W32" i="1"/>
  <c r="Y32" i="1" s="1"/>
  <c r="X32" i="1"/>
  <c r="W34" i="1"/>
  <c r="Y34" i="1" s="1"/>
  <c r="X34" i="1"/>
  <c r="X30" i="1"/>
  <c r="W31" i="1"/>
  <c r="Y31" i="1" s="1"/>
  <c r="X31" i="1"/>
  <c r="W7" i="1"/>
  <c r="Y7" i="1" s="1"/>
  <c r="X7" i="1"/>
  <c r="Z7" i="1" s="1"/>
  <c r="W24" i="1"/>
  <c r="Y24" i="1" s="1"/>
  <c r="X24" i="1"/>
  <c r="X6" i="1"/>
  <c r="Z6" i="1" s="1"/>
  <c r="X14" i="1"/>
  <c r="W8" i="1"/>
  <c r="Y8" i="1" s="1"/>
  <c r="X8" i="1"/>
  <c r="Z8" i="1" s="1"/>
  <c r="X21" i="1"/>
  <c r="W23" i="1"/>
  <c r="Y23" i="1" s="1"/>
  <c r="W15" i="1"/>
  <c r="Y15" i="1" s="1"/>
  <c r="L18" i="1"/>
  <c r="L25" i="1"/>
  <c r="T18" i="1" l="1"/>
  <c r="S18" i="1"/>
  <c r="W25" i="1"/>
  <c r="Y25" i="1" s="1"/>
  <c r="M28" i="1"/>
  <c r="Y5" i="1"/>
  <c r="E32" i="2" l="1" a="1"/>
  <c r="E32" i="2" s="1"/>
  <c r="E29" i="2" a="1"/>
  <c r="E29" i="2" s="1"/>
  <c r="X18" i="1"/>
  <c r="E24" i="2" a="1"/>
  <c r="E24" i="2" s="1"/>
  <c r="E21" i="2" a="1"/>
  <c r="E21" i="2" s="1"/>
  <c r="X25" i="1"/>
  <c r="W18" i="1"/>
  <c r="Y18" i="1" s="1"/>
  <c r="X28" i="1"/>
  <c r="E34" i="2" l="1" a="1"/>
  <c r="E34" i="2" s="1"/>
  <c r="E36" i="2"/>
  <c r="W28" i="1"/>
  <c r="Y28"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<sst xmlns="http://schemas.openxmlformats.org/spreadsheetml/2006/main" count="255" uniqueCount="92">
  <si>
    <t>Program</t>
  </si>
  <si>
    <t>International MSc in Management</t>
  </si>
  <si>
    <t>International MSc in Finance</t>
  </si>
  <si>
    <t>MSc in Economics</t>
  </si>
  <si>
    <t>MSc in Business Analytics</t>
  </si>
  <si>
    <t>MSc in Finance</t>
  </si>
  <si>
    <t>MSc in Management with specialization in Strategic Marketing</t>
  </si>
  <si>
    <t>MSc in Finance (post experience)</t>
  </si>
  <si>
    <t>Aix-Marseille Université</t>
  </si>
  <si>
    <t>Antai College of Economics and Management</t>
  </si>
  <si>
    <t>Aston Business School</t>
  </si>
  <si>
    <t>BI Norwegian Business School</t>
  </si>
  <si>
    <t>Bocconi University</t>
  </si>
  <si>
    <t>ESCP Business School</t>
  </si>
  <si>
    <t>FGV EBAPE</t>
  </si>
  <si>
    <t>Kozminski University</t>
  </si>
  <si>
    <t>Louvain Universite Catholique</t>
  </si>
  <si>
    <t>Smith School of Business</t>
  </si>
  <si>
    <t>Università degli Studi di Napoli Federico II</t>
  </si>
  <si>
    <t>WHU - Otto Beisheim School of Management</t>
  </si>
  <si>
    <t>WU - Vienna University of Economics and Business</t>
  </si>
  <si>
    <t>Yes</t>
  </si>
  <si>
    <t>No</t>
  </si>
  <si>
    <t>Total Program Cost</t>
  </si>
  <si>
    <t>Enrollment Fee</t>
  </si>
  <si>
    <t>Confirmation Fee</t>
  </si>
  <si>
    <t>Monthly Tuition fees during Y2</t>
  </si>
  <si>
    <t>Double Degree Program (if applicable)</t>
  </si>
  <si>
    <t>Exchange Semester Fee</t>
  </si>
  <si>
    <t>Year 2</t>
  </si>
  <si>
    <t>Year 1</t>
  </si>
  <si>
    <t>Additional fees (when applicable)</t>
  </si>
  <si>
    <t>2024/25</t>
  </si>
  <si>
    <t>[appears by default]</t>
  </si>
  <si>
    <t>Do you have a scholarship?</t>
  </si>
  <si>
    <t>Scholarship (%)</t>
  </si>
  <si>
    <t>SIMULATE</t>
  </si>
  <si>
    <t>Notes for Double Degrees</t>
  </si>
  <si>
    <t>Disclaimer</t>
  </si>
  <si>
    <t>YOUR SIMULATION RESULTS</t>
  </si>
  <si>
    <t>Annual Registration Fee (in July)</t>
  </si>
  <si>
    <t>MSc in Business</t>
  </si>
  <si>
    <t>Academic Year (Intake)</t>
  </si>
  <si>
    <t>International MSc in Management - Double Degree</t>
  </si>
  <si>
    <t>International MSc in Finance - Double Degree</t>
  </si>
  <si>
    <t>MSc in Economics - Double Degree</t>
  </si>
  <si>
    <t>MSc in Management with specialization in Strategy, Entrepreneurship &amp; Impact</t>
  </si>
  <si>
    <t>Annual Registration Fee Y1</t>
  </si>
  <si>
    <t>Annual Registration Fee Y2</t>
  </si>
  <si>
    <t>Prepaid amount of Y1 Tuition Fees included in Enrollment Fee</t>
  </si>
  <si>
    <t>Monthly Fee during Y1</t>
  </si>
  <si>
    <t>Nr of Installments Y1+Y2</t>
  </si>
  <si>
    <t>DD Administrative Costs and other costs paid at CATÓLICA-LISBON in Y1</t>
  </si>
  <si>
    <t>Nr of Installments Y1 S1</t>
  </si>
  <si>
    <t>Nr of Installments Y1 S2</t>
  </si>
  <si>
    <t>Nr of Installments Y2 S1</t>
  </si>
  <si>
    <t>Nr of Installments Y2 S2</t>
  </si>
  <si>
    <t>DD Costs paid at Partner University in Y2</t>
  </si>
  <si>
    <t>Monthly Tuition fees during Exchange Semester</t>
  </si>
  <si>
    <t>Total Program Cost (with DD Costs) as published in Marketing Website without Exchange</t>
  </si>
  <si>
    <t>Total Program Cost (with DD Costs) as published in Marketing Website with Exchange</t>
  </si>
  <si>
    <t>n.a</t>
  </si>
  <si>
    <t>Enrollment + confirmation fee</t>
  </si>
  <si>
    <t>Enrollment Fee + Confirmation Fee</t>
  </si>
  <si>
    <t>Yes/No</t>
  </si>
  <si>
    <t>Semester 1 (Fall)</t>
  </si>
  <si>
    <t>Semester 2 (Spring)</t>
  </si>
  <si>
    <t>Number of payments (from September to January)</t>
  </si>
  <si>
    <t>Amount</t>
  </si>
  <si>
    <t>Number of payments (from February to June)</t>
  </si>
  <si>
    <t>€</t>
  </si>
  <si>
    <t>How to calculate your exact monthly fee?</t>
  </si>
  <si>
    <t>Example 1: International MSc in Finance, No Scholarship
Monthly fee Year 1: (Total Cost - 2*Annual Registration Fee)/15 - (Prepaid Amount included in Enrollment Fee)/10 = (15,900€ - 1,100€)/15 - 1,250€/10 = 862€
Monthly fee Year 2 (Dissertation Semester): (Total Cost - 2*Annual Registration Fee)/15 = (15,900€ - 1,100€)/15 = 987€
Example 2: International MSc in Management, 10% Scholarship
Monthly fee Year 1: (Total Cost - 2*Annual Registration Fee)*(1-Scholarship)/15 - (Prepaid Amount included in Enrollment Fee)/10 = (14,450€ - 1,100€)*0.9/15 - 1,250€/10 = 676€
Monthly fee Year 2 (Dissertation Semester): (Total Cost - 2*Annual Registration Fee)*(1-Scholarship)/15 = (14,450€ - 1,100€)*0.9/15 = 801€
Example 3: MSc in Management with specialization, 20% Scholarship, including Exchange Semester
Monthly fee Year 1: (Total Cost - 2*Annual Registration Fee)*(1-Scholarship)/15 - (Prepaid Amount included in Enrollment Fee)/10 = (13,450€ - 1,100€)*0.8/15 - 1,250€/10 =534€
Monthly fee Year 2 (Exchange Semester): (Exchange Semester)/5 = 2,200€/5 = 440€
Monthly fee Year 2 (Dissertation Semester): (Total Cost - 2*Annual Registration Fee)*(1-Scholarship)/15 = (13,450€ - 1,100€)*0.8/15 = 659€</t>
  </si>
  <si>
    <t>Intake</t>
  </si>
  <si>
    <t>internal validation with table total</t>
  </si>
  <si>
    <t>Programs</t>
  </si>
  <si>
    <t>Scholarship</t>
  </si>
  <si>
    <t>Double-check without Exchange (No scholarship)</t>
  </si>
  <si>
    <t>Double-check with Exchange (No scholarship)</t>
  </si>
  <si>
    <t>n.a.</t>
  </si>
  <si>
    <t>CATÓLICA-LISBON MASTER PROGRAMS FEES SIMULATOR</t>
  </si>
  <si>
    <t>Maastricht University SBE</t>
  </si>
  <si>
    <t>[opção não aplicável a DD nem ao post-experience]</t>
  </si>
  <si>
    <t>The tuition fees simulator is designed to provide estimated calculations based on the inputs provided. It is intended to be only a reference and should not be considered as exact or contractually binding. Users are solely responsible for ensuring the accuracy of the information entered and are encouraged to double-check the results obtained from the simulation. Please note that certain values may be rounded for simplicity. The simulator does not guarantee the actual tuition fees and should not be relied upon as the sole determinant for financial planning or decision-making. All figures generated are subject to change and official confirmation from the institution. The simulator does not include additional costs associated with the program, such as late submission fees for dissertation, enrollment in additional ECTS, penalties for late payments, etc. The simulator does not include additional costs from the Exchange partner university, if any. Using this simulator does not replace consulting the fees list. Please refer to the official fees list for accurate and up-to-date information. By using this simulator, you acknowledge and accept these terms and conditions.</t>
  </si>
  <si>
    <t>For Double Degree programs, the scholarship reduction applies exclusively to tuition fees in the first year of the program at CATÓLICA-LISBON, and it does not apply to second-year tuition fees, or other Double Degree costs (administrative costs, registration fees at the partner University, etc). The Double Degree programs may include additional fees or administrative costs charged either by the home or host Universities and may be subject to annual updates.</t>
  </si>
  <si>
    <t>[only if DD]</t>
  </si>
  <si>
    <t>Select your program:</t>
  </si>
  <si>
    <t>Select your Double Degree program:</t>
  </si>
  <si>
    <t>Do you want to include an Exchange Semester?</t>
  </si>
  <si>
    <t>Incluir total 1º ano e total 2º ano?</t>
  </si>
  <si>
    <t>Payments due every month until the 10th except September in which it is until the 20th.</t>
  </si>
  <si>
    <t>The actual tuition fees are calculated based on the number of ECTS. For that reason, there may be minor rounding differences.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</si>
</sst>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2]\ #,##0;[Red]\-[$€-2]\ #,##0"/>
    <numFmt numFmtId="166" formatCode="[$€-2]\ #,##0.00;[Red]\-[$€-2]\ #,##0.00"/>
  </numFmts>
  <fonts count="16" x14ac:knownFonts="1">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sz val="11"/>
      <name val="Calibri"/>
      <family val="2"/>
      <scheme val="minor"/>
    </font>
    <font>
      <b/>
      <sz val="11"/>
      <name val="Calibri"/>
      <family val="2"/>
      <scheme val="minor"/>
    </font>
    <font>
      <b/>
      <sz val="11"/>
      <color rgb="FF0066FF"/>
      <name val="Calibri"/>
      <family val="2"/>
      <scheme val="minor"/>
    </font>
    <font>
      <i/>
      <sz val="10"/>
      <color theme="1"/>
      <name val="Calibri"/>
      <family val="2"/>
      <scheme val="minor"/>
    </font>
    <font>
      <b/>
      <sz val="18"/>
      <color rgb="FF0066FF"/>
      <name val="Calibri"/>
      <family val="2"/>
      <scheme val="minor"/>
    </font>
    <font>
      <sz val="11"/>
      <color rgb="FF006100"/>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i/>
      <sz val="12"/>
      <name val="Calibri"/>
      <family val="2"/>
      <scheme val="minor"/>
    </font>
    <font>
      <b/>
      <sz val="14"/>
      <color theme="0"/>
      <name val="Calibri"/>
      <family val="2"/>
      <scheme val="minor"/>
    </font>
    <font>
      <b/>
      <sz val="12"/>
      <name val="Calibri"/>
      <family val="2"/>
      <scheme val="minor"/>
    </font>
  </fonts>
  <fills count="11">
    <fill>
      <patternFill patternType="none"/>
    </fill>
    <fill>
      <patternFill patternType="gray125"/>
    </fill>
    <fill>
      <patternFill patternType="solid">
        <fgColor rgb="FF00B0F0"/>
        <bgColor indexed="64"/>
      </patternFill>
    </fill>
    <fill>
      <patternFill patternType="solid">
        <fgColor rgb="FF69D8FF"/>
        <bgColor indexed="64"/>
      </patternFill>
    </fill>
    <fill>
      <patternFill patternType="solid">
        <fgColor theme="5" tint="0.59999389629810485"/>
        <bgColor indexed="64"/>
      </patternFill>
    </fill>
    <fill>
      <patternFill patternType="solid">
        <fgColor theme="8" tint="0.79998168889431442"/>
        <bgColor indexed="64"/>
      </patternFill>
    </fill>
    <fill>
      <patternFill patternType="solid">
        <fgColor rgb="FF0066FF"/>
        <bgColor indexed="64"/>
      </patternFill>
    </fill>
    <fill>
      <patternFill patternType="solid">
        <fgColor rgb="FFC6EFCE"/>
      </patternFill>
    </fill>
    <fill>
      <patternFill patternType="solid">
        <fgColor rgb="FF87DDCF"/>
        <bgColor indexed="64"/>
      </patternFill>
    </fill>
    <fill>
      <patternFill patternType="solid">
        <fgColor rgb="FFDDEBF7"/>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0" fontId="9" fillId="7" borderId="0" applyNumberFormat="0" applyBorder="0" applyAlignment="0" applyProtection="0"/>
  </cellStyleXfs>
  <cellXfs count="58">
    <xf numFmtId="0" fontId="0" fillId="0" borderId="0" xfId="0"/>
    <xf numFmtId="0" fontId="2" fillId="0" borderId="0" xfId="0" applyFont="1"/>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0" xfId="0" applyFont="1" applyAlignment="1">
      <alignment horizontal="center"/>
    </xf>
    <xf numFmtId="0" fontId="4" fillId="0" borderId="1" xfId="0" applyFont="1" applyBorder="1"/>
    <xf numFmtId="164" fontId="4" fillId="0" borderId="1" xfId="0" applyNumberFormat="1" applyFont="1" applyBorder="1" applyAlignment="1">
      <alignment horizontal="center"/>
    </xf>
    <xf numFmtId="0" fontId="0" fillId="0" borderId="1" xfId="0" applyBorder="1"/>
    <xf numFmtId="164" fontId="4" fillId="0" borderId="1" xfId="1" applyNumberFormat="1" applyFont="1" applyFill="1" applyBorder="1" applyAlignment="1">
      <alignment horizontal="center"/>
    </xf>
    <xf numFmtId="0" fontId="2" fillId="0" borderId="1" xfId="0" applyFont="1" applyBorder="1"/>
    <xf numFmtId="0" fontId="0" fillId="0" borderId="0" xfId="0" applyFont="1"/>
    <xf numFmtId="164" fontId="4" fillId="4" borderId="1" xfId="1" applyNumberFormat="1" applyFont="1" applyFill="1" applyBorder="1" applyAlignment="1">
      <alignment horizontal="center"/>
    </xf>
    <xf numFmtId="0" fontId="0" fillId="0" borderId="1" xfId="0" applyBorder="1" applyAlignment="1">
      <alignment horizontal="center"/>
    </xf>
    <xf numFmtId="0" fontId="6" fillId="0" borderId="0" xfId="0" applyFont="1" applyAlignment="1">
      <alignment vertical="center"/>
    </xf>
    <xf numFmtId="0" fontId="0" fillId="0" borderId="0" xfId="0" applyFont="1" applyAlignment="1">
      <alignment horizontal="center"/>
    </xf>
    <xf numFmtId="0" fontId="4" fillId="0" borderId="1" xfId="0" applyFont="1" applyFill="1" applyBorder="1"/>
    <xf numFmtId="0" fontId="0" fillId="0" borderId="1" xfId="0" applyFill="1" applyBorder="1"/>
    <xf numFmtId="0" fontId="8" fillId="0" borderId="0" xfId="0" applyFont="1" applyAlignment="1">
      <alignment vertical="center"/>
    </xf>
    <xf numFmtId="164" fontId="9" fillId="7" borderId="1" xfId="2" applyNumberFormat="1" applyBorder="1" applyAlignment="1">
      <alignment horizontal="center"/>
    </xf>
    <xf numFmtId="0" fontId="0" fillId="3" borderId="1" xfId="0" applyFont="1" applyFill="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Fill="1" applyAlignment="1">
      <alignment horizontal="left" vertical="center"/>
    </xf>
    <xf numFmtId="0" fontId="10" fillId="0" borderId="0" xfId="0" applyFont="1"/>
    <xf numFmtId="0" fontId="11" fillId="0" borderId="2" xfId="0" applyFont="1" applyFill="1" applyBorder="1"/>
    <xf numFmtId="0" fontId="11" fillId="0" borderId="0" xfId="0" applyFont="1" applyFill="1" applyBorder="1"/>
    <xf numFmtId="0" fontId="10" fillId="5" borderId="0" xfId="0" applyFont="1" applyFill="1" applyBorder="1" applyAlignment="1">
      <alignment horizontal="center" vertical="center"/>
    </xf>
    <xf numFmtId="0" fontId="10" fillId="0" borderId="0" xfId="0" applyFont="1" applyFill="1" applyBorder="1"/>
    <xf numFmtId="0" fontId="10" fillId="0" borderId="2" xfId="0" applyFont="1" applyFill="1" applyBorder="1"/>
    <xf numFmtId="0" fontId="12" fillId="0" borderId="0" xfId="0" applyFont="1"/>
    <xf numFmtId="165" fontId="13" fillId="0" borderId="0" xfId="0" applyNumberFormat="1" applyFont="1" applyAlignment="1">
      <alignment horizontal="right" vertical="center"/>
    </xf>
    <xf numFmtId="0" fontId="4" fillId="0" borderId="0" xfId="0" applyFont="1" applyAlignment="1">
      <alignment vertical="top" wrapText="1"/>
    </xf>
    <xf numFmtId="0" fontId="5" fillId="0" borderId="1" xfId="0" applyFont="1" applyBorder="1"/>
    <xf numFmtId="9" fontId="0" fillId="0" borderId="1" xfId="0" applyNumberFormat="1" applyBorder="1"/>
    <xf numFmtId="9" fontId="0" fillId="0" borderId="0" xfId="0" applyNumberFormat="1"/>
    <xf numFmtId="0" fontId="2" fillId="0" borderId="0" xfId="0" applyFont="1" applyFill="1" applyBorder="1" applyAlignment="1">
      <alignment horizontal="right" vertical="center"/>
    </xf>
    <xf numFmtId="0" fontId="3" fillId="0" borderId="0" xfId="0" applyFont="1" applyFill="1" applyAlignment="1">
      <alignment horizontal="right" vertical="center"/>
    </xf>
    <xf numFmtId="0" fontId="2" fillId="0" borderId="0" xfId="0" applyFont="1" applyAlignment="1">
      <alignment horizontal="right" vertical="center"/>
    </xf>
    <xf numFmtId="0" fontId="3" fillId="0" borderId="0" xfId="0" applyFont="1" applyAlignment="1">
      <alignment horizontal="right" vertical="center"/>
    </xf>
    <xf numFmtId="0" fontId="14" fillId="6" borderId="0" xfId="0" applyFont="1" applyFill="1" applyBorder="1" applyAlignment="1">
      <alignment horizontal="center" vertical="center"/>
    </xf>
    <xf numFmtId="0" fontId="2" fillId="8" borderId="0" xfId="0" applyFont="1" applyFill="1" applyAlignment="1">
      <alignment horizontal="center" vertical="center"/>
    </xf>
    <xf numFmtId="0" fontId="2" fillId="8" borderId="0" xfId="0" applyFont="1" applyFill="1" applyBorder="1" applyAlignment="1">
      <alignment horizontal="center" vertical="center" wrapText="1"/>
    </xf>
    <xf numFmtId="0" fontId="2" fillId="8" borderId="0" xfId="0" applyFont="1" applyFill="1" applyBorder="1" applyAlignment="1">
      <alignment horizontal="center" vertical="center"/>
    </xf>
    <xf numFmtId="9" fontId="0" fillId="8" borderId="0" xfId="0" applyNumberFormat="1" applyFont="1" applyFill="1" applyBorder="1" applyAlignment="1">
      <alignment horizontal="center" vertical="center"/>
    </xf>
    <xf numFmtId="0" fontId="10" fillId="8" borderId="0" xfId="0" applyFont="1" applyFill="1" applyBorder="1" applyAlignment="1">
      <alignment horizontal="center" vertical="center"/>
    </xf>
    <xf numFmtId="165" fontId="11" fillId="8" borderId="0" xfId="0" applyNumberFormat="1" applyFont="1" applyFill="1" applyBorder="1" applyAlignment="1">
      <alignment horizontal="center" vertical="center"/>
    </xf>
    <xf numFmtId="165" fontId="10" fillId="8" borderId="2" xfId="0" applyNumberFormat="1" applyFont="1" applyFill="1" applyBorder="1" applyAlignment="1">
      <alignment horizontal="center" vertical="center"/>
    </xf>
    <xf numFmtId="0" fontId="10" fillId="9" borderId="0" xfId="0" applyFont="1" applyFill="1" applyBorder="1" applyAlignment="1">
      <alignment horizontal="center" vertical="center"/>
    </xf>
    <xf numFmtId="0" fontId="15" fillId="9" borderId="0" xfId="0" applyFont="1" applyFill="1" applyAlignment="1">
      <alignment horizontal="center" vertical="center"/>
    </xf>
    <xf numFmtId="0" fontId="7" fillId="0" borderId="0" xfId="0" applyFont="1" applyFill="1" applyAlignment="1">
      <alignment horizontal="left" vertical="center"/>
    </xf>
    <xf numFmtId="43" fontId="5" fillId="0" borderId="1" xfId="1" applyNumberFormat="1" applyFont="1" applyFill="1" applyBorder="1" applyAlignment="1">
      <alignment horizontal="center"/>
    </xf>
    <xf numFmtId="0" fontId="0" fillId="10" borderId="0" xfId="0" applyFont="1" applyFill="1"/>
    <xf numFmtId="43" fontId="2" fillId="0" borderId="1" xfId="0" applyNumberFormat="1" applyFont="1" applyBorder="1" applyAlignment="1">
      <alignment horizontal="center"/>
    </xf>
    <xf numFmtId="166" fontId="11" fillId="8" borderId="0" xfId="0" applyNumberFormat="1" applyFont="1" applyFill="1" applyBorder="1" applyAlignment="1">
      <alignment horizontal="center" vertical="center"/>
    </xf>
    <xf numFmtId="166" fontId="11" fillId="8" borderId="2" xfId="0" applyNumberFormat="1" applyFont="1" applyFill="1" applyBorder="1" applyAlignment="1">
      <alignment horizontal="center" vertical="center"/>
    </xf>
    <xf numFmtId="166" fontId="3" fillId="8" borderId="0" xfId="0" applyNumberFormat="1" applyFont="1" applyFill="1" applyAlignment="1">
      <alignment horizontal="center" vertical="center"/>
    </xf>
    <xf numFmtId="0" fontId="0" fillId="0" borderId="0" xfId="0" applyFont="1" applyAlignment="1">
      <alignment horizontal="left" wrapText="1"/>
    </xf>
    <xf numFmtId="0" fontId="0" fillId="0" borderId="0" xfId="0" applyFont="1" applyAlignment="1">
      <alignment horizontal="left" vertical="center" wrapText="1"/>
    </xf>
  </cellXfs>
  <cellStyles count="3">
    <cellStyle name="Comma" xfId="1" builtinId="3"/>
    <cellStyle name="Good" xfId="2" builtinId="26"/>
    <cellStyle name="Normal" xfId="0" builtinId="0"/>
  </cellStyles>
  <dxfs count="3">
    <dxf>
      <font>
        <color rgb="FF006100"/>
      </font>
      <fill>
        <patternFill>
          <bgColor rgb="FFC6EFCE"/>
        </patternFill>
      </fill>
    </dxf>
    <dxf>
      <font>
        <color rgb="FF006100"/>
      </font>
      <fill>
        <patternFill>
          <bgColor rgb="FFC6EFCE"/>
        </patternFill>
      </fill>
    </dxf>
    <dxf>
      <font>
        <color theme="2" tint="-0.499984740745262"/>
      </font>
      <fill>
        <patternFill>
          <bgColor rgb="FFC7EFE8"/>
        </patternFill>
      </fill>
    </dxf>
  </dxfs>
  <tableStyles count="0" defaultTableStyle="TableStyleMedium2" defaultPivotStyle="PivotStyleLight16"/>
  <colors>
    <mruColors>
      <color rgb="FFC7EFE8"/>
      <color rgb="FF87DDCF"/>
      <color rgb="FF2FA793"/>
      <color rgb="FFDDEBF7"/>
      <color rgb="FF60D1BF"/>
      <color rgb="FF5BD1BD"/>
      <color rgb="FFC9F1FF"/>
      <color rgb="FF69D8FF"/>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26949</xdr:colOff>
      <xdr:row>7</xdr:row>
      <xdr:rowOff>-1</xdr:rowOff>
    </xdr:from>
    <xdr:to>
      <xdr:col>4</xdr:col>
      <xdr:colOff>549167</xdr:colOff>
      <xdr:row>8</xdr:row>
      <xdr:rowOff>3485</xdr:rowOff>
    </xdr:to>
    <xdr:pic>
      <xdr:nvPicPr>
        <xdr:cNvPr id="2" name="Picture 1">
          <a:extLst>
            <a:ext uri="{FF2B5EF4-FFF2-40B4-BE49-F238E27FC236}">
              <a16:creationId xmlns:a16="http://schemas.microsoft.com/office/drawing/2014/main" id="{6390009C-FB45-423B-9DF3-20A8C667E991}"/>
            </a:ext>
          </a:extLst>
        </xdr:cNvPr>
        <xdr:cNvPicPr>
          <a:picLocks noChangeAspect="1"/>
        </xdr:cNvPicPr>
      </xdr:nvPicPr>
      <xdr:blipFill rotWithShape="1">
        <a:blip xmlns:r="http://schemas.openxmlformats.org/officeDocument/2006/relationships" r:embed="rId1"/>
        <a:srcRect r="7679" b="49273"/>
        <a:stretch/>
      </xdr:blipFill>
      <xdr:spPr>
        <a:xfrm>
          <a:off x="8123199" y="1881187"/>
          <a:ext cx="514598" cy="313049"/>
        </a:xfrm>
        <a:prstGeom prst="rect">
          <a:avLst/>
        </a:prstGeom>
      </xdr:spPr>
    </xdr:pic>
    <xdr:clientData/>
  </xdr:twoCellAnchor>
  <xdr:twoCellAnchor editAs="oneCell">
    <xdr:from>
      <xdr:col>4</xdr:col>
      <xdr:colOff>20666</xdr:colOff>
      <xdr:row>9</xdr:row>
      <xdr:rowOff>17330</xdr:rowOff>
    </xdr:from>
    <xdr:to>
      <xdr:col>4</xdr:col>
      <xdr:colOff>567785</xdr:colOff>
      <xdr:row>10</xdr:row>
      <xdr:rowOff>58345</xdr:rowOff>
    </xdr:to>
    <xdr:pic>
      <xdr:nvPicPr>
        <xdr:cNvPr id="3" name="Picture 2">
          <a:extLst>
            <a:ext uri="{FF2B5EF4-FFF2-40B4-BE49-F238E27FC236}">
              <a16:creationId xmlns:a16="http://schemas.microsoft.com/office/drawing/2014/main" id="{0C8459FF-3587-4D03-8016-DDA055B31CB3}"/>
            </a:ext>
          </a:extLst>
        </xdr:cNvPr>
        <xdr:cNvPicPr>
          <a:picLocks noChangeAspect="1"/>
        </xdr:cNvPicPr>
      </xdr:nvPicPr>
      <xdr:blipFill rotWithShape="1">
        <a:blip xmlns:r="http://schemas.openxmlformats.org/officeDocument/2006/relationships" r:embed="rId1"/>
        <a:srcRect l="2844" t="50181" r="-1"/>
        <a:stretch/>
      </xdr:blipFill>
      <xdr:spPr>
        <a:xfrm>
          <a:off x="8116916" y="2386674"/>
          <a:ext cx="547119" cy="3353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C2995-13DF-4D1B-A0D5-15029DBFD09A}">
  <dimension ref="A2:K52"/>
  <sheetViews>
    <sheetView tabSelected="1" zoomScale="80" zoomScaleNormal="80" workbookViewId="0">
      <selection activeCell="F2" sqref="F2"/>
    </sheetView>
  </sheetViews>
  <sheetFormatPr defaultRowHeight="14.4" x14ac:dyDescent="0.3"/>
  <cols>
    <col min="2" max="2" width="8.88671875" style="14" customWidth="1"/>
    <col min="3" max="3" width="50.21875" style="10" bestFit="1" customWidth="1"/>
    <col min="4" max="4" width="50" style="10" customWidth="1"/>
    <col min="5" max="5" width="16.44140625" style="20" customWidth="1"/>
    <col min="6" max="6" width="31.109375" style="10" customWidth="1"/>
    <col min="7" max="7" width="37.5546875" style="10" customWidth="1"/>
    <col min="8" max="8" width="27.6640625" style="10" bestFit="1" customWidth="1"/>
  </cols>
  <sheetData>
    <row r="2" spans="1:8" ht="23.4" x14ac:dyDescent="0.3">
      <c r="D2" s="17" t="s">
        <v>80</v>
      </c>
    </row>
    <row r="4" spans="1:8" ht="24" customHeight="1" x14ac:dyDescent="0.3">
      <c r="C4" s="37" t="s">
        <v>42</v>
      </c>
      <c r="D4" s="40" t="s">
        <v>32</v>
      </c>
      <c r="E4" s="49" t="s">
        <v>33</v>
      </c>
    </row>
    <row r="5" spans="1:8" ht="15" customHeight="1" x14ac:dyDescent="0.3">
      <c r="D5" s="14"/>
      <c r="E5" s="22"/>
    </row>
    <row r="6" spans="1:8" ht="39" customHeight="1" x14ac:dyDescent="0.3">
      <c r="C6" s="35" t="s">
        <v>86</v>
      </c>
      <c r="D6" s="41" t="s">
        <v>41</v>
      </c>
      <c r="E6" s="22"/>
      <c r="F6" s="35" t="s">
        <v>87</v>
      </c>
      <c r="G6" s="42" t="s">
        <v>13</v>
      </c>
      <c r="H6" s="49" t="s">
        <v>85</v>
      </c>
    </row>
    <row r="7" spans="1:8" ht="15.6" customHeight="1" x14ac:dyDescent="0.3">
      <c r="C7" s="36"/>
      <c r="D7" s="14"/>
      <c r="E7" s="22"/>
    </row>
    <row r="8" spans="1:8" ht="24" customHeight="1" x14ac:dyDescent="0.3">
      <c r="C8" s="37" t="s">
        <v>34</v>
      </c>
      <c r="D8" s="42" t="s">
        <v>22</v>
      </c>
      <c r="F8" s="35" t="s">
        <v>35</v>
      </c>
      <c r="G8" s="43">
        <v>0</v>
      </c>
      <c r="H8" s="22"/>
    </row>
    <row r="9" spans="1:8" ht="15.6" customHeight="1" x14ac:dyDescent="0.3">
      <c r="C9" s="38"/>
      <c r="D9" s="14"/>
      <c r="E9" s="22"/>
    </row>
    <row r="10" spans="1:8" ht="24" customHeight="1" x14ac:dyDescent="0.3">
      <c r="C10" s="35" t="s">
        <v>88</v>
      </c>
      <c r="D10" s="42" t="s">
        <v>21</v>
      </c>
      <c r="G10" s="39" t="s">
        <v>36</v>
      </c>
    </row>
    <row r="11" spans="1:8" x14ac:dyDescent="0.3">
      <c r="D11" s="49" t="s">
        <v>82</v>
      </c>
      <c r="E11" s="21"/>
    </row>
    <row r="12" spans="1:8" ht="30" customHeight="1" x14ac:dyDescent="0.3">
      <c r="E12" s="21"/>
    </row>
    <row r="15" spans="1:8" ht="23.4" x14ac:dyDescent="0.3">
      <c r="D15" s="17" t="s">
        <v>39</v>
      </c>
    </row>
    <row r="16" spans="1:8" ht="15.6" x14ac:dyDescent="0.3">
      <c r="A16" s="1"/>
      <c r="D16" s="23"/>
      <c r="E16" s="48" t="s">
        <v>70</v>
      </c>
    </row>
    <row r="17" spans="4:7" ht="15.6" x14ac:dyDescent="0.3">
      <c r="D17" s="24" t="s">
        <v>62</v>
      </c>
      <c r="E17" s="54">
        <f>VLOOKUP(D6,DATA!B:Z,7,FALSE)</f>
        <v>1800</v>
      </c>
    </row>
    <row r="18" spans="4:7" ht="15.6" x14ac:dyDescent="0.3">
      <c r="D18" s="25" t="s">
        <v>30</v>
      </c>
      <c r="E18" s="47"/>
    </row>
    <row r="19" spans="4:7" ht="15.6" x14ac:dyDescent="0.3">
      <c r="D19" s="25" t="s">
        <v>65</v>
      </c>
      <c r="E19" s="26"/>
    </row>
    <row r="20" spans="4:7" ht="15.6" x14ac:dyDescent="0.3">
      <c r="D20" s="27" t="s">
        <v>67</v>
      </c>
      <c r="E20" s="44" cm="1">
        <f t="array" ref="E20">_xlfn.IFS($D$6="International MSc in Finance - Double Degree",VLOOKUP($G$6,DATA!C14:Z20,12,FALSE),$D$6="International MSc in Management - Double Degree",VLOOKUP($G$6,DATA!C21:Z30,12,FALSE),$B$6="MSc in Economics - Double Degree",VLOOKUP($G$6,DATA!C31:Z35,12,FALSE),TRUE,VLOOKUP(D6,DATA!B:Z,13,FALSE))</f>
        <v>5</v>
      </c>
    </row>
    <row r="21" spans="4:7" ht="15.6" x14ac:dyDescent="0.3">
      <c r="D21" s="27" t="s">
        <v>68</v>
      </c>
      <c r="E21" s="53" cm="1">
        <f t="array" ref="E21">_xlfn.IFS($D$6="International MSc in Finance - Double Degree",VLOOKUP($G$6,DATA!C14:Z20,17,FALSE),$D$6="International MSc in Management - Double Degree",VLOOKUP($G$6,DATA!C21:Z30,17,FALSE),$B$6="MSc in Economics - Double Degree",VLOOKUP($G$6,DATA!C31:Z35,17,FALSE),TRUE,VLOOKUP(D6,DATA!B:Z,18,FALSE))</f>
        <v>698.33333333333337</v>
      </c>
    </row>
    <row r="22" spans="4:7" ht="15.6" x14ac:dyDescent="0.3">
      <c r="D22" s="25" t="s">
        <v>66</v>
      </c>
      <c r="E22" s="45"/>
    </row>
    <row r="23" spans="4:7" ht="15.6" x14ac:dyDescent="0.3">
      <c r="D23" s="27" t="s">
        <v>69</v>
      </c>
      <c r="E23" s="44" cm="1">
        <f t="array" ref="E23">_xlfn.IFS($D$6="International MSc in Finance - Double Degree",VLOOKUP($G$6,DATA!C14:Z20,13,FALSE),$D$6="International MSc in Management - Double Degree",VLOOKUP($G$6,DATA!C21:Z30,13,FALSE),$B$6="MSc in Economics - Double Degree",VLOOKUP($G$6,DATA!C31:Z35,13,FALSE),TRUE,VLOOKUP(D6,DATA!B:Z,14,FALSE))</f>
        <v>5</v>
      </c>
    </row>
    <row r="24" spans="4:7" ht="15.6" x14ac:dyDescent="0.3">
      <c r="D24" s="28" t="s">
        <v>68</v>
      </c>
      <c r="E24" s="54" cm="1">
        <f t="array" ref="E24">_xlfn.IFS($D$6="International MSc in Finance - Double Degree",VLOOKUP($G$6,DATA!C14:Z20,17,FALSE),$D$6="International MSc in Management - Double Degree",VLOOKUP($G$6,DATA!C21:Z30,17,FALSE),$B$6="MSc in Economics - Double Degree",VLOOKUP($G$6,DATA!C31:Z35,17,FALSE),TRUE,VLOOKUP(D6,DATA!B:Z,18,FALSE))</f>
        <v>698.33333333333337</v>
      </c>
    </row>
    <row r="25" spans="4:7" ht="15.6" x14ac:dyDescent="0.3">
      <c r="D25" s="25" t="s">
        <v>29</v>
      </c>
      <c r="E25" s="26"/>
      <c r="G25" s="51" t="s">
        <v>89</v>
      </c>
    </row>
    <row r="26" spans="4:7" ht="15.6" x14ac:dyDescent="0.3">
      <c r="D26" s="27" t="s">
        <v>40</v>
      </c>
      <c r="E26" s="53">
        <f>VLOOKUP(D6,DATA!B:Z,9,FALSE)</f>
        <v>550</v>
      </c>
      <c r="G26" s="51" t="s">
        <v>90</v>
      </c>
    </row>
    <row r="27" spans="4:7" ht="15.6" x14ac:dyDescent="0.3">
      <c r="D27" s="25" t="s">
        <v>65</v>
      </c>
      <c r="E27" s="45"/>
    </row>
    <row r="28" spans="4:7" ht="15.6" x14ac:dyDescent="0.3">
      <c r="D28" s="27" t="s">
        <v>67</v>
      </c>
      <c r="E28" s="44" cm="1">
        <f t="array" ref="E28">_xlfn.IFS($D$6="International MSc in Finance - Double Degree",VLOOKUP($G$6,DATA!C14:Z20,14,FALSE),$D$6="International MSc in Management - Double Degree",VLOOKUP($G$6,DATA!C21:Z30,14,FALSE),$B$6="MSc in Economics - Double Degree",VLOOKUP($G$6,DATA!C31:Z35,14,FALSE),TRUE,IF($D$10="Yes",VLOOKUP($D$6, DATA!B:Z, 15, FALSE), VLOOKUP($D$6, DATA!B:Z, 15, FALSE)))</f>
        <v>5</v>
      </c>
    </row>
    <row r="29" spans="4:7" ht="15.6" x14ac:dyDescent="0.3">
      <c r="D29" s="27" t="s">
        <v>68</v>
      </c>
      <c r="E29" s="53" cm="1">
        <f t="array" ref="E29">_xlfn.IFS($D$6="International MSc in Finance - Double Degree",VLOOKUP($G$6,DATA!C14:Z20,18,FALSE),$D$6="International MSc in Management - Double Degree",VLOOKUP($G$6,DATA!C21:Z30,18,FALSE),$B$6="MSc in Economics - Double Degree",VLOOKUP($G$6,DATA!C31:Z35,18,FALSE),TRUE,IF($D$10="Yes",VLOOKUP($D$6, DATA!B:Z, 21, FALSE), VLOOKUP($D$6, DATA!B:Z, 19, FALSE)))</f>
        <v>440</v>
      </c>
    </row>
    <row r="30" spans="4:7" ht="15.6" x14ac:dyDescent="0.3">
      <c r="D30" s="25" t="s">
        <v>66</v>
      </c>
      <c r="E30" s="45"/>
    </row>
    <row r="31" spans="4:7" ht="15.6" x14ac:dyDescent="0.3">
      <c r="D31" s="27" t="s">
        <v>69</v>
      </c>
      <c r="E31" s="44" cm="1">
        <f t="array" ref="E31">_xlfn.IFS($D$6="International MSc in Finance - Double Degree",VLOOKUP($G$6,DATA!C14:Z20,15,FALSE),$D$6="International MSc in Management - Double Degree",VLOOKUP($G$6,DATA!C21:Z30,15,FALSE),$D$6="MSc in Economics - Double Degree",VLOOKUP($G$6,DATA!C31:Z35,15,FALSE),TRUE,IF($D$10="Yes",VLOOKUP($D$6,DATA!B:Z,15,FALSE),"0"))</f>
        <v>5</v>
      </c>
    </row>
    <row r="32" spans="4:7" ht="15.6" x14ac:dyDescent="0.3">
      <c r="D32" s="28" t="s">
        <v>68</v>
      </c>
      <c r="E32" s="54" cm="1">
        <f t="array" ref="E32">_xlfn.IFS($D$6="International MSc in Finance - Double Degree",VLOOKUP($G$6,DATA!C14:Z20,18,FALSE),$D$6="International MSc in Management - Double Degree",VLOOKUP($G$6,DATA!C21:Z30,18,FALSE),$D$6="MSc in Economics - Double Degree",VLOOKUP($G$6,DATA!C31:Z35,18,FALSE),TRUE,IF($D$10="Yes",VLOOKUP($D$6,DATA!B:Z,19,FALSE),"€ 0"))</f>
        <v>823.33333333333337</v>
      </c>
    </row>
    <row r="33" spans="3:11" ht="15.6" x14ac:dyDescent="0.3">
      <c r="D33" s="28" t="s">
        <v>31</v>
      </c>
      <c r="E33" s="46" cm="1">
        <f t="array" ref="E33">_xlfn.IFS($D$6="International MSc in Finance - Double Degree",VLOOKUP($G$6,DATA!C14:Z20,11,FALSE),$D$6="International MSc in Management - Double Degree",VLOOKUP($G$6,DATA!C21:Z30,11,FALSE),$D$6="MSc in Economics - Double Degree",VLOOKUP($G$6,DATA!C31:Z35,11,FALSE),TRUE,IF($D$10="Yes",VLOOKUP($D$6, DATA!B:Z, 11, FALSE), VLOOKUP($D$6, DATA!B:Z, 11, FALSE)))</f>
        <v>0</v>
      </c>
    </row>
    <row r="34" spans="3:11" ht="15.6" x14ac:dyDescent="0.3">
      <c r="D34" s="24" t="s">
        <v>23</v>
      </c>
      <c r="E34" s="54" cm="1">
        <f t="array" ref="E34">_xlfn.IFS($D$6="International MSc in Finance - Double Degree",VLOOKUP($G$6,DATA!C14:Z20,21,FALSE),$D$6="International MSc in Management - Double Degree",VLOOKUP($G$6,DATA!C21:Z30,21,FALSE),$D$6="MSc in Economics - Double Degree",VLOOKUP($G$6,DATA!C31:Z35,21,FALSE),TRUE,IF($D$10="Yes",VLOOKUP($D$6,DATA!B:Z,23,FALSE),VLOOKUP($D$6,DATA!B:Z,22,FALSE)))</f>
        <v>15650</v>
      </c>
    </row>
    <row r="35" spans="3:11" ht="15.6" x14ac:dyDescent="0.3">
      <c r="D35" s="29"/>
    </row>
    <row r="36" spans="3:11" ht="15.6" x14ac:dyDescent="0.3">
      <c r="D36" s="30" t="s">
        <v>74</v>
      </c>
      <c r="E36" s="55">
        <f>E17+E20*E21+E23*E24+E26+E28*E29+E31*E32+E33</f>
        <v>15650</v>
      </c>
    </row>
    <row r="40" spans="3:11" x14ac:dyDescent="0.3">
      <c r="C40" s="13" t="s">
        <v>71</v>
      </c>
    </row>
    <row r="41" spans="3:11" ht="173.4" customHeight="1" x14ac:dyDescent="0.3">
      <c r="C41" s="56" t="s">
        <v>72</v>
      </c>
      <c r="D41" s="56"/>
      <c r="E41" s="56"/>
      <c r="F41" s="56"/>
      <c r="G41" s="56"/>
      <c r="H41" s="56"/>
      <c r="I41" s="56"/>
      <c r="J41" s="56"/>
      <c r="K41" s="56"/>
    </row>
    <row r="43" spans="3:11" x14ac:dyDescent="0.3">
      <c r="C43" s="13" t="s">
        <v>37</v>
      </c>
    </row>
    <row r="44" spans="3:11" x14ac:dyDescent="0.3">
      <c r="C44" s="56" t="s">
        <v>84</v>
      </c>
      <c r="D44" s="56"/>
      <c r="E44" s="56"/>
      <c r="F44" s="56"/>
      <c r="G44" s="56"/>
      <c r="H44" s="56"/>
      <c r="I44" s="56"/>
      <c r="J44" s="56"/>
      <c r="K44" s="56"/>
    </row>
    <row r="45" spans="3:11" ht="15" customHeight="1" x14ac:dyDescent="0.3">
      <c r="C45" s="56"/>
      <c r="D45" s="56"/>
      <c r="E45" s="56"/>
      <c r="F45" s="56"/>
      <c r="G45" s="56"/>
      <c r="H45" s="56"/>
      <c r="I45" s="56"/>
      <c r="J45" s="56"/>
      <c r="K45" s="56"/>
    </row>
    <row r="47" spans="3:11" x14ac:dyDescent="0.3">
      <c r="C47" s="13" t="s">
        <v>38</v>
      </c>
    </row>
    <row r="48" spans="3:11" x14ac:dyDescent="0.3">
      <c r="C48" s="57" t="s">
        <v>83</v>
      </c>
      <c r="D48" s="57"/>
      <c r="E48" s="57"/>
      <c r="F48" s="57"/>
      <c r="G48" s="57"/>
      <c r="H48" s="57"/>
      <c r="I48" s="57"/>
      <c r="J48" s="57"/>
      <c r="K48" s="57"/>
    </row>
    <row r="49" spans="2:11" x14ac:dyDescent="0.3">
      <c r="C49" s="57"/>
      <c r="D49" s="57"/>
      <c r="E49" s="57"/>
      <c r="F49" s="57"/>
      <c r="G49" s="57"/>
      <c r="H49" s="57"/>
      <c r="I49" s="57"/>
      <c r="J49" s="57"/>
      <c r="K49" s="57"/>
    </row>
    <row r="50" spans="2:11" x14ac:dyDescent="0.3">
      <c r="C50" s="57"/>
      <c r="D50" s="57"/>
      <c r="E50" s="57"/>
      <c r="F50" s="57"/>
      <c r="G50" s="57"/>
      <c r="H50" s="57"/>
      <c r="I50" s="57"/>
      <c r="J50" s="57"/>
      <c r="K50" s="57"/>
    </row>
    <row r="51" spans="2:11" ht="39.6" customHeight="1" x14ac:dyDescent="0.3">
      <c r="B51" s="31"/>
      <c r="C51" s="57"/>
      <c r="D51" s="57"/>
      <c r="E51" s="57"/>
      <c r="F51" s="57"/>
      <c r="G51" s="57"/>
      <c r="H51" s="57"/>
      <c r="I51" s="57"/>
      <c r="J51" s="57"/>
      <c r="K51" s="57"/>
    </row>
    <row r="52" spans="2:11" x14ac:dyDescent="0.3">
      <c r="C52" s="51" t="s">
        <v>91</v>
      </c>
    </row>
  </sheetData>
  <mergeCells count="3">
    <mergeCell ref="C41:K41"/>
    <mergeCell ref="C48:K51"/>
    <mergeCell ref="C44:K45"/>
  </mergeCells>
  <conditionalFormatting sqref="E36">
    <cfRule type="cellIs" dxfId="2" priority="1" operator="equal">
      <formula>$E$34</formula>
    </cfRule>
  </conditionalFormatting>
  <dataValidations count="3">
    <dataValidation type="list" allowBlank="1" showInputMessage="1" showErrorMessage="1" sqref="G6" xr:uid="{BA0FA4CE-44C8-4C91-A1A6-997B0B88CB5B}">
      <formula1>IF($D$6="International MSc in Finance - Double Degree", DD_Int_MSc_Fin, IF($D$6="International MSc in Management - Double Degree", DD_Int_MSc_Man, IF($D$6="MSc in Economics - Double Degree", DD_MSc_Econ, "")))</formula1>
    </dataValidation>
    <dataValidation type="list" showInputMessage="1" showErrorMessage="1" sqref="D6" xr:uid="{50DA4CD3-0F00-4117-8467-6FAB8950F8AF}">
      <formula1>Programs</formula1>
    </dataValidation>
    <dataValidation type="list" allowBlank="1" showInputMessage="1" showErrorMessage="1" sqref="D10" xr:uid="{4165D306-E7FA-4641-82EA-CDF772FD2566}">
      <formula1>IF($D$6="International MSc in Finance - Double Degree", No, IF($D$6="International MSc in Management - Double Degree", No, IF($D$6="MSc in Economics - Double Degree", No, Yes_No)))</formula1>
    </dataValidation>
  </dataValidations>
  <pageMargins left="0.7" right="0.7" top="0.75" bottom="0.75" header="0.3" footer="0.3"/>
  <pageSetup paperSize="9"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133A0194-983A-4EA7-9ACA-8B932117F5EF}">
          <x14:formula1>
            <xm:f>Dropdownlists!$E$2:$E$3</xm:f>
          </x14:formula1>
          <xm:sqref>D8</xm:sqref>
        </x14:dataValidation>
        <x14:dataValidation type="list" allowBlank="1" showInputMessage="1" showErrorMessage="1" xr:uid="{4289831A-49E1-4996-83EC-D3ECE161D5E1}">
          <x14:formula1>
            <xm:f>Dropdownlists!$F$2:$F$10</xm:f>
          </x14:formula1>
          <xm:sqref>G8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9971C-59B4-47A5-A5FC-4F5B18BF261A}">
  <dimension ref="A3:Z35"/>
  <sheetViews>
    <sheetView topLeftCell="D1" zoomScale="60" zoomScaleNormal="60" workbookViewId="0">
      <selection activeCell="Y10" sqref="Y10"/>
    </sheetView>
  </sheetViews>
  <sheetFormatPr defaultRowHeight="14.4" x14ac:dyDescent="0.3"/>
  <cols>
    <col min="1" max="1" width="10.109375" bestFit="1" customWidth="1"/>
    <col min="2" max="2" width="52.6640625" customWidth="1"/>
    <col min="3" max="3" width="78.33203125" bestFit="1" customWidth="1"/>
    <col min="4" max="5" width="17.33203125" customWidth="1"/>
    <col min="6" max="6" width="10.44140625" customWidth="1"/>
    <col min="7" max="8" width="10.33203125" customWidth="1"/>
    <col min="9" max="9" width="12.21875" customWidth="1"/>
    <col min="10" max="10" width="13.21875" customWidth="1"/>
    <col min="11" max="11" width="17.21875" customWidth="1"/>
    <col min="12" max="13" width="16.5546875" customWidth="1"/>
    <col min="14" max="22" width="13.21875" customWidth="1"/>
    <col min="23" max="24" width="17.77734375" bestFit="1" customWidth="1"/>
    <col min="25" max="26" width="12.109375" customWidth="1"/>
  </cols>
  <sheetData>
    <row r="3" spans="1:26" x14ac:dyDescent="0.3">
      <c r="C3" s="4"/>
      <c r="D3" s="4"/>
      <c r="E3" s="4"/>
      <c r="F3" s="4"/>
      <c r="G3" s="4"/>
      <c r="H3" s="4"/>
      <c r="I3" s="4"/>
      <c r="J3" s="4"/>
      <c r="K3" s="4"/>
      <c r="L3" s="4"/>
      <c r="M3" s="4"/>
      <c r="N3" s="4"/>
      <c r="O3" s="4"/>
      <c r="P3" s="4"/>
      <c r="Q3" s="4"/>
      <c r="R3" s="4"/>
      <c r="S3" s="4"/>
      <c r="T3" s="4"/>
      <c r="U3" s="4"/>
      <c r="V3" s="4"/>
      <c r="W3" s="4"/>
      <c r="X3" s="4"/>
    </row>
    <row r="4" spans="1:26" ht="98.4" customHeight="1" x14ac:dyDescent="0.3">
      <c r="A4" s="2" t="s">
        <v>73</v>
      </c>
      <c r="B4" s="2" t="s">
        <v>0</v>
      </c>
      <c r="C4" s="2" t="s">
        <v>27</v>
      </c>
      <c r="D4" s="19" t="s">
        <v>59</v>
      </c>
      <c r="E4" s="19" t="s">
        <v>60</v>
      </c>
      <c r="F4" s="19" t="s">
        <v>24</v>
      </c>
      <c r="G4" s="19" t="s">
        <v>25</v>
      </c>
      <c r="H4" s="19" t="s">
        <v>63</v>
      </c>
      <c r="I4" s="19" t="s">
        <v>47</v>
      </c>
      <c r="J4" s="19" t="s">
        <v>48</v>
      </c>
      <c r="K4" s="19" t="s">
        <v>49</v>
      </c>
      <c r="L4" s="19" t="s">
        <v>52</v>
      </c>
      <c r="M4" s="19" t="s">
        <v>57</v>
      </c>
      <c r="N4" s="19" t="s">
        <v>53</v>
      </c>
      <c r="O4" s="19" t="s">
        <v>54</v>
      </c>
      <c r="P4" s="19" t="s">
        <v>55</v>
      </c>
      <c r="Q4" s="19" t="s">
        <v>56</v>
      </c>
      <c r="R4" s="19" t="s">
        <v>51</v>
      </c>
      <c r="S4" s="3" t="s">
        <v>50</v>
      </c>
      <c r="T4" s="3" t="s">
        <v>26</v>
      </c>
      <c r="U4" s="19" t="s">
        <v>28</v>
      </c>
      <c r="V4" s="3" t="s">
        <v>58</v>
      </c>
      <c r="W4" s="19" t="s">
        <v>59</v>
      </c>
      <c r="X4" s="19" t="s">
        <v>60</v>
      </c>
      <c r="Y4" s="19" t="s">
        <v>77</v>
      </c>
      <c r="Z4" s="19" t="s">
        <v>78</v>
      </c>
    </row>
    <row r="5" spans="1:26" x14ac:dyDescent="0.3">
      <c r="A5" s="5" t="s">
        <v>32</v>
      </c>
      <c r="B5" s="5" t="s">
        <v>2</v>
      </c>
      <c r="C5" s="5" t="s">
        <v>2</v>
      </c>
      <c r="D5" s="18">
        <v>15900</v>
      </c>
      <c r="E5" s="18">
        <f>D5+2200</f>
        <v>18100</v>
      </c>
      <c r="F5" s="8">
        <f>1200</f>
        <v>1200</v>
      </c>
      <c r="G5" s="8">
        <v>600</v>
      </c>
      <c r="H5" s="8">
        <f>F5+G5</f>
        <v>1800</v>
      </c>
      <c r="I5" s="8">
        <v>550</v>
      </c>
      <c r="J5" s="8">
        <v>550</v>
      </c>
      <c r="K5" s="8">
        <f>F5+G5-I5</f>
        <v>1250</v>
      </c>
      <c r="L5" s="8">
        <v>0</v>
      </c>
      <c r="M5" s="8">
        <v>0</v>
      </c>
      <c r="N5" s="8">
        <v>5</v>
      </c>
      <c r="O5" s="8">
        <v>5</v>
      </c>
      <c r="P5" s="8">
        <v>5</v>
      </c>
      <c r="Q5" s="8">
        <v>0</v>
      </c>
      <c r="R5" s="8">
        <f>N5+O5+P5+Q5</f>
        <v>15</v>
      </c>
      <c r="S5" s="50">
        <f>(D5-I5-J5-L5-M5)*(1-SIMULATOR!G$8)/(R5)+L5/(N5+O5)-K5/(N5+O5)</f>
        <v>861.66666666666663</v>
      </c>
      <c r="T5" s="52">
        <f>IF(P5=0,0,(D5-I5-J5-L5-M5)*(1-SIMULATOR!G$8)/(R5))</f>
        <v>986.66666666666663</v>
      </c>
      <c r="U5" s="8">
        <v>2200</v>
      </c>
      <c r="V5" s="8">
        <f t="shared" ref="V5:V20" si="0">U5/5</f>
        <v>440</v>
      </c>
      <c r="W5" s="6">
        <f t="shared" ref="W5:W35" si="1">F5+G5+S5*(N5+O5)+J5+T5*(P5+Q5)+M5</f>
        <v>15900</v>
      </c>
      <c r="X5" s="6">
        <f>F5+G5+S5*(N5+O5)+J5+T5*(P5+Q5)+M5+U5</f>
        <v>18100</v>
      </c>
      <c r="Y5" s="12" t="str">
        <f>IF(D5=W5,"OK")</f>
        <v>OK</v>
      </c>
      <c r="Z5" s="12" t="str">
        <f>IF(E5=X5,"OK")</f>
        <v>OK</v>
      </c>
    </row>
    <row r="6" spans="1:26" x14ac:dyDescent="0.3">
      <c r="A6" s="5" t="s">
        <v>32</v>
      </c>
      <c r="B6" s="5" t="s">
        <v>1</v>
      </c>
      <c r="C6" s="5" t="s">
        <v>1</v>
      </c>
      <c r="D6" s="18">
        <v>14450</v>
      </c>
      <c r="E6" s="18">
        <f t="shared" ref="E6:E13" si="2">D6+2200</f>
        <v>16650</v>
      </c>
      <c r="F6" s="8">
        <v>1200</v>
      </c>
      <c r="G6" s="8">
        <v>600</v>
      </c>
      <c r="H6" s="8">
        <f t="shared" ref="H6:H35" si="3">F6+G6</f>
        <v>1800</v>
      </c>
      <c r="I6" s="8">
        <v>550</v>
      </c>
      <c r="J6" s="8">
        <v>550</v>
      </c>
      <c r="K6" s="8">
        <f t="shared" ref="K6:K35" si="4">F6+G6-I6</f>
        <v>1250</v>
      </c>
      <c r="L6" s="8">
        <v>0</v>
      </c>
      <c r="M6" s="8">
        <v>0</v>
      </c>
      <c r="N6" s="8">
        <v>5</v>
      </c>
      <c r="O6" s="8">
        <v>5</v>
      </c>
      <c r="P6" s="8">
        <v>5</v>
      </c>
      <c r="Q6" s="8">
        <v>0</v>
      </c>
      <c r="R6" s="8">
        <f t="shared" ref="R6:R35" si="5">N6+O6+P6+Q6</f>
        <v>15</v>
      </c>
      <c r="S6" s="50">
        <f>(D6-I6-J6-L6-M6)*(1-SIMULATOR!G$8)/(R6)+L6/(N6+O6)-K6/(N6+O6)</f>
        <v>765</v>
      </c>
      <c r="T6" s="52">
        <f>IF(P6=0,0,(D6-I6-J6-L6-M6)*(1-SIMULATOR!G$8)/(R6))</f>
        <v>890</v>
      </c>
      <c r="U6" s="8">
        <v>2200</v>
      </c>
      <c r="V6" s="8">
        <f t="shared" si="0"/>
        <v>440</v>
      </c>
      <c r="W6" s="6">
        <f t="shared" si="1"/>
        <v>14450</v>
      </c>
      <c r="X6" s="6">
        <f t="shared" ref="X6:X35" si="6">F6+G6+S6*(N6+O6)+J6+T6*(P6+Q6)+M6+U6</f>
        <v>16650</v>
      </c>
      <c r="Y6" s="12" t="str">
        <f t="shared" ref="Y6:Y35" si="7">IF(D6=W6,"OK")</f>
        <v>OK</v>
      </c>
      <c r="Z6" s="12" t="str">
        <f t="shared" ref="Z6:Z13" si="8">IF(E6=X6,"OK")</f>
        <v>OK</v>
      </c>
    </row>
    <row r="7" spans="1:26" x14ac:dyDescent="0.3">
      <c r="A7" s="5" t="s">
        <v>32</v>
      </c>
      <c r="B7" s="5" t="s">
        <v>41</v>
      </c>
      <c r="C7" s="5" t="s">
        <v>41</v>
      </c>
      <c r="D7" s="18">
        <v>13450</v>
      </c>
      <c r="E7" s="18">
        <f t="shared" si="2"/>
        <v>15650</v>
      </c>
      <c r="F7" s="8">
        <v>1200</v>
      </c>
      <c r="G7" s="8">
        <v>600</v>
      </c>
      <c r="H7" s="8">
        <f t="shared" si="3"/>
        <v>1800</v>
      </c>
      <c r="I7" s="8">
        <v>550</v>
      </c>
      <c r="J7" s="8">
        <v>550</v>
      </c>
      <c r="K7" s="8">
        <f t="shared" si="4"/>
        <v>1250</v>
      </c>
      <c r="L7" s="8">
        <v>0</v>
      </c>
      <c r="M7" s="8">
        <v>0</v>
      </c>
      <c r="N7" s="8">
        <v>5</v>
      </c>
      <c r="O7" s="8">
        <v>5</v>
      </c>
      <c r="P7" s="8">
        <v>5</v>
      </c>
      <c r="Q7" s="8">
        <v>0</v>
      </c>
      <c r="R7" s="8">
        <f t="shared" si="5"/>
        <v>15</v>
      </c>
      <c r="S7" s="50">
        <f>(D7-I7-J7-L7-M7)*(1-SIMULATOR!G$8)/(R7)+L7/(N7+O7)-K7/(N7+O7)</f>
        <v>698.33333333333337</v>
      </c>
      <c r="T7" s="52">
        <f>IF(P7=0,0,(D7-I7-J7-L7-M7)*(1-SIMULATOR!G$8)/(R7))</f>
        <v>823.33333333333337</v>
      </c>
      <c r="U7" s="8">
        <v>2200</v>
      </c>
      <c r="V7" s="8">
        <f t="shared" si="0"/>
        <v>440</v>
      </c>
      <c r="W7" s="6">
        <f t="shared" si="1"/>
        <v>13450</v>
      </c>
      <c r="X7" s="6">
        <f t="shared" si="6"/>
        <v>15650</v>
      </c>
      <c r="Y7" s="12" t="str">
        <f t="shared" si="7"/>
        <v>OK</v>
      </c>
      <c r="Z7" s="12" t="str">
        <f t="shared" si="8"/>
        <v>OK</v>
      </c>
    </row>
    <row r="8" spans="1:26" x14ac:dyDescent="0.3">
      <c r="A8" s="5" t="s">
        <v>32</v>
      </c>
      <c r="B8" s="5" t="s">
        <v>4</v>
      </c>
      <c r="C8" s="5" t="s">
        <v>4</v>
      </c>
      <c r="D8" s="18">
        <v>13450</v>
      </c>
      <c r="E8" s="18">
        <f t="shared" si="2"/>
        <v>15650</v>
      </c>
      <c r="F8" s="8">
        <v>1200</v>
      </c>
      <c r="G8" s="8">
        <v>600</v>
      </c>
      <c r="H8" s="8">
        <f t="shared" si="3"/>
        <v>1800</v>
      </c>
      <c r="I8" s="8">
        <v>550</v>
      </c>
      <c r="J8" s="8">
        <v>550</v>
      </c>
      <c r="K8" s="8">
        <f t="shared" si="4"/>
        <v>1250</v>
      </c>
      <c r="L8" s="8">
        <v>0</v>
      </c>
      <c r="M8" s="8">
        <v>0</v>
      </c>
      <c r="N8" s="8">
        <v>5</v>
      </c>
      <c r="O8" s="8">
        <v>5</v>
      </c>
      <c r="P8" s="8">
        <v>5</v>
      </c>
      <c r="Q8" s="8">
        <v>0</v>
      </c>
      <c r="R8" s="8">
        <f t="shared" si="5"/>
        <v>15</v>
      </c>
      <c r="S8" s="50">
        <f>(D8-I8-J8-L8-M8)*(1-SIMULATOR!G$8)/(R8)+L8/(N8+O8)-K8/(N8+O8)</f>
        <v>698.33333333333337</v>
      </c>
      <c r="T8" s="52">
        <f>IF(P8=0,0,(D8-I8-J8-L8-M8)*(1-SIMULATOR!G$8)/(R8))</f>
        <v>823.33333333333337</v>
      </c>
      <c r="U8" s="8">
        <v>2200</v>
      </c>
      <c r="V8" s="8">
        <f t="shared" si="0"/>
        <v>440</v>
      </c>
      <c r="W8" s="6">
        <f t="shared" si="1"/>
        <v>13450</v>
      </c>
      <c r="X8" s="6">
        <f t="shared" si="6"/>
        <v>15650</v>
      </c>
      <c r="Y8" s="12" t="str">
        <f t="shared" si="7"/>
        <v>OK</v>
      </c>
      <c r="Z8" s="12" t="str">
        <f t="shared" si="8"/>
        <v>OK</v>
      </c>
    </row>
    <row r="9" spans="1:26" x14ac:dyDescent="0.3">
      <c r="A9" s="5" t="s">
        <v>32</v>
      </c>
      <c r="B9" s="5" t="s">
        <v>3</v>
      </c>
      <c r="C9" s="5" t="s">
        <v>3</v>
      </c>
      <c r="D9" s="18">
        <v>12300</v>
      </c>
      <c r="E9" s="18">
        <f t="shared" si="2"/>
        <v>14500</v>
      </c>
      <c r="F9" s="8">
        <v>1200</v>
      </c>
      <c r="G9" s="8">
        <v>600</v>
      </c>
      <c r="H9" s="8">
        <f t="shared" si="3"/>
        <v>1800</v>
      </c>
      <c r="I9" s="8">
        <v>550</v>
      </c>
      <c r="J9" s="8">
        <v>550</v>
      </c>
      <c r="K9" s="8">
        <f t="shared" si="4"/>
        <v>1250</v>
      </c>
      <c r="L9" s="8">
        <v>0</v>
      </c>
      <c r="M9" s="8">
        <v>0</v>
      </c>
      <c r="N9" s="8">
        <v>5</v>
      </c>
      <c r="O9" s="8">
        <v>5</v>
      </c>
      <c r="P9" s="8">
        <v>5</v>
      </c>
      <c r="Q9" s="8">
        <v>0</v>
      </c>
      <c r="R9" s="8">
        <f t="shared" si="5"/>
        <v>15</v>
      </c>
      <c r="S9" s="50">
        <f>(D9-I9-J9-L9-M9)*(1-SIMULATOR!G$8)/(R9)+L9/(N9+O9)-K9/(N9+O9)</f>
        <v>621.66666666666663</v>
      </c>
      <c r="T9" s="52">
        <f>IF(P9=0,0,(D9-I9-J9-L9-M9)*(1-SIMULATOR!G$8)/(R9))</f>
        <v>746.66666666666663</v>
      </c>
      <c r="U9" s="8">
        <v>2200</v>
      </c>
      <c r="V9" s="8">
        <f t="shared" si="0"/>
        <v>440</v>
      </c>
      <c r="W9" s="6">
        <f t="shared" si="1"/>
        <v>12300</v>
      </c>
      <c r="X9" s="6">
        <f t="shared" si="6"/>
        <v>14500</v>
      </c>
      <c r="Y9" s="12" t="str">
        <f t="shared" si="7"/>
        <v>OK</v>
      </c>
      <c r="Z9" s="12" t="str">
        <f t="shared" si="8"/>
        <v>OK</v>
      </c>
    </row>
    <row r="10" spans="1:26" x14ac:dyDescent="0.3">
      <c r="A10" s="5" t="s">
        <v>32</v>
      </c>
      <c r="B10" s="15" t="s">
        <v>5</v>
      </c>
      <c r="C10" s="15" t="s">
        <v>5</v>
      </c>
      <c r="D10" s="18">
        <v>15650</v>
      </c>
      <c r="E10" s="18">
        <f t="shared" si="2"/>
        <v>17850</v>
      </c>
      <c r="F10" s="8">
        <v>1200</v>
      </c>
      <c r="G10" s="8">
        <v>600</v>
      </c>
      <c r="H10" s="8">
        <f t="shared" si="3"/>
        <v>1800</v>
      </c>
      <c r="I10" s="8">
        <v>550</v>
      </c>
      <c r="J10" s="8">
        <v>550</v>
      </c>
      <c r="K10" s="8">
        <f t="shared" si="4"/>
        <v>1250</v>
      </c>
      <c r="L10" s="8">
        <v>0</v>
      </c>
      <c r="M10" s="8">
        <v>0</v>
      </c>
      <c r="N10" s="8">
        <v>5</v>
      </c>
      <c r="O10" s="8">
        <v>5</v>
      </c>
      <c r="P10" s="8">
        <v>5</v>
      </c>
      <c r="Q10" s="8">
        <v>0</v>
      </c>
      <c r="R10" s="8">
        <f t="shared" si="5"/>
        <v>15</v>
      </c>
      <c r="S10" s="50">
        <f>(D10-I10-J10-L10-M10)*(1-SIMULATOR!G$8)/(R10)+L10/(N10+O10)-K10/(N10+O10)</f>
        <v>845</v>
      </c>
      <c r="T10" s="52">
        <f>IF(P10=0,0,(D10-I10-J10-L10-M10)*(1-SIMULATOR!G$8)/(R10))</f>
        <v>970</v>
      </c>
      <c r="U10" s="8">
        <v>2200</v>
      </c>
      <c r="V10" s="8">
        <f t="shared" si="0"/>
        <v>440</v>
      </c>
      <c r="W10" s="6">
        <f t="shared" si="1"/>
        <v>15650</v>
      </c>
      <c r="X10" s="6">
        <f t="shared" si="6"/>
        <v>17850</v>
      </c>
      <c r="Y10" s="12" t="str">
        <f t="shared" si="7"/>
        <v>OK</v>
      </c>
      <c r="Z10" s="12" t="str">
        <f t="shared" si="8"/>
        <v>OK</v>
      </c>
    </row>
    <row r="11" spans="1:26" x14ac:dyDescent="0.3">
      <c r="A11" s="5" t="s">
        <v>32</v>
      </c>
      <c r="B11" s="5" t="s">
        <v>7</v>
      </c>
      <c r="C11" s="5" t="s">
        <v>7</v>
      </c>
      <c r="D11" s="18">
        <v>16350</v>
      </c>
      <c r="E11" s="18">
        <f t="shared" si="2"/>
        <v>18550</v>
      </c>
      <c r="F11" s="8">
        <v>1200</v>
      </c>
      <c r="G11" s="8">
        <v>600</v>
      </c>
      <c r="H11" s="8">
        <f t="shared" si="3"/>
        <v>1800</v>
      </c>
      <c r="I11" s="8">
        <v>550</v>
      </c>
      <c r="J11" s="11">
        <v>0</v>
      </c>
      <c r="K11" s="8">
        <f t="shared" si="4"/>
        <v>1250</v>
      </c>
      <c r="L11" s="8">
        <v>0</v>
      </c>
      <c r="M11" s="8">
        <v>0</v>
      </c>
      <c r="N11" s="8">
        <v>5</v>
      </c>
      <c r="O11" s="8">
        <v>5</v>
      </c>
      <c r="P11" s="11">
        <v>0</v>
      </c>
      <c r="Q11" s="8">
        <v>0</v>
      </c>
      <c r="R11" s="8">
        <f t="shared" si="5"/>
        <v>10</v>
      </c>
      <c r="S11" s="50">
        <f>(D11-I11-J11-L11-M11)*(1-SIMULATOR!G$8)/(R11)+L11/(N11+O11)-K11/(N11+O11)</f>
        <v>1455</v>
      </c>
      <c r="T11" s="52">
        <f>IF(P11=0,0,(D11-I11-J11-L11-M11)*(1-SIMULATOR!G$8)/(R11))</f>
        <v>0</v>
      </c>
      <c r="U11" s="8">
        <v>2200</v>
      </c>
      <c r="V11" s="8">
        <f t="shared" si="0"/>
        <v>440</v>
      </c>
      <c r="W11" s="6">
        <f t="shared" si="1"/>
        <v>16350</v>
      </c>
      <c r="X11" s="6">
        <f t="shared" si="6"/>
        <v>18550</v>
      </c>
      <c r="Y11" s="12" t="str">
        <f t="shared" si="7"/>
        <v>OK</v>
      </c>
      <c r="Z11" s="12" t="str">
        <f t="shared" si="8"/>
        <v>OK</v>
      </c>
    </row>
    <row r="12" spans="1:26" x14ac:dyDescent="0.3">
      <c r="A12" s="5" t="s">
        <v>32</v>
      </c>
      <c r="B12" s="5" t="s">
        <v>46</v>
      </c>
      <c r="C12" s="5" t="s">
        <v>46</v>
      </c>
      <c r="D12" s="18">
        <v>13450</v>
      </c>
      <c r="E12" s="18">
        <f t="shared" si="2"/>
        <v>15650</v>
      </c>
      <c r="F12" s="8">
        <v>1200</v>
      </c>
      <c r="G12" s="8">
        <v>600</v>
      </c>
      <c r="H12" s="8">
        <f t="shared" si="3"/>
        <v>1800</v>
      </c>
      <c r="I12" s="8">
        <v>550</v>
      </c>
      <c r="J12" s="8">
        <v>550</v>
      </c>
      <c r="K12" s="8">
        <f t="shared" si="4"/>
        <v>1250</v>
      </c>
      <c r="L12" s="8">
        <v>0</v>
      </c>
      <c r="M12" s="8">
        <v>0</v>
      </c>
      <c r="N12" s="8">
        <v>5</v>
      </c>
      <c r="O12" s="8">
        <v>5</v>
      </c>
      <c r="P12" s="8">
        <v>5</v>
      </c>
      <c r="Q12" s="8">
        <v>0</v>
      </c>
      <c r="R12" s="8">
        <f t="shared" si="5"/>
        <v>15</v>
      </c>
      <c r="S12" s="50">
        <f>(D12-I12-J12-L12-M12)*(1-SIMULATOR!G$8)/(R12)+L12/(N12+O12)-K12/(N12+O12)</f>
        <v>698.33333333333337</v>
      </c>
      <c r="T12" s="52">
        <f>IF(P12=0,0,(D12-I12-J12-L12-M12)*(1-SIMULATOR!G$8)/(R12))</f>
        <v>823.33333333333337</v>
      </c>
      <c r="U12" s="8">
        <v>2200</v>
      </c>
      <c r="V12" s="8">
        <f t="shared" si="0"/>
        <v>440</v>
      </c>
      <c r="W12" s="6">
        <f t="shared" si="1"/>
        <v>13450</v>
      </c>
      <c r="X12" s="6">
        <f t="shared" si="6"/>
        <v>15650</v>
      </c>
      <c r="Y12" s="12" t="str">
        <f t="shared" si="7"/>
        <v>OK</v>
      </c>
      <c r="Z12" s="12" t="str">
        <f t="shared" si="8"/>
        <v>OK</v>
      </c>
    </row>
    <row r="13" spans="1:26" x14ac:dyDescent="0.3">
      <c r="A13" s="5" t="s">
        <v>32</v>
      </c>
      <c r="B13" s="5" t="s">
        <v>6</v>
      </c>
      <c r="C13" s="5" t="s">
        <v>6</v>
      </c>
      <c r="D13" s="18">
        <v>13450</v>
      </c>
      <c r="E13" s="18">
        <f t="shared" si="2"/>
        <v>15650</v>
      </c>
      <c r="F13" s="8">
        <v>1200</v>
      </c>
      <c r="G13" s="8">
        <v>600</v>
      </c>
      <c r="H13" s="8">
        <f t="shared" si="3"/>
        <v>1800</v>
      </c>
      <c r="I13" s="8">
        <v>550</v>
      </c>
      <c r="J13" s="8">
        <v>550</v>
      </c>
      <c r="K13" s="8">
        <f t="shared" si="4"/>
        <v>1250</v>
      </c>
      <c r="L13" s="8">
        <v>0</v>
      </c>
      <c r="M13" s="8">
        <v>0</v>
      </c>
      <c r="N13" s="8">
        <v>5</v>
      </c>
      <c r="O13" s="8">
        <v>5</v>
      </c>
      <c r="P13" s="8">
        <v>5</v>
      </c>
      <c r="Q13" s="8">
        <v>0</v>
      </c>
      <c r="R13" s="8">
        <f t="shared" si="5"/>
        <v>15</v>
      </c>
      <c r="S13" s="50">
        <f>(D13-I13-J13-L13-M13)*(1-SIMULATOR!G$8)/(R13)+L13/(N13+O13)-K13/(N13+O13)</f>
        <v>698.33333333333337</v>
      </c>
      <c r="T13" s="52">
        <f>IF(P13=0,0,(D13-I13-J13-L13-M13)*(1-SIMULATOR!G$8)/(R13))</f>
        <v>823.33333333333337</v>
      </c>
      <c r="U13" s="8">
        <v>2200</v>
      </c>
      <c r="V13" s="8">
        <f t="shared" si="0"/>
        <v>440</v>
      </c>
      <c r="W13" s="6">
        <f t="shared" si="1"/>
        <v>13450</v>
      </c>
      <c r="X13" s="6">
        <f t="shared" si="6"/>
        <v>15650</v>
      </c>
      <c r="Y13" s="12" t="str">
        <f t="shared" si="7"/>
        <v>OK</v>
      </c>
      <c r="Z13" s="12" t="str">
        <f t="shared" si="8"/>
        <v>OK</v>
      </c>
    </row>
    <row r="14" spans="1:26" x14ac:dyDescent="0.3">
      <c r="A14" s="5" t="s">
        <v>32</v>
      </c>
      <c r="B14" s="5" t="s">
        <v>44</v>
      </c>
      <c r="C14" s="7" t="s">
        <v>9</v>
      </c>
      <c r="D14" s="18">
        <v>20008</v>
      </c>
      <c r="E14" s="18" t="s">
        <v>61</v>
      </c>
      <c r="F14" s="11">
        <v>2200</v>
      </c>
      <c r="G14" s="8">
        <v>600</v>
      </c>
      <c r="H14" s="8">
        <f t="shared" si="3"/>
        <v>2800</v>
      </c>
      <c r="I14" s="8">
        <v>550</v>
      </c>
      <c r="J14" s="8">
        <v>550</v>
      </c>
      <c r="K14" s="8">
        <f t="shared" ref="K14:K20" si="9">F14+G14-I14</f>
        <v>2250</v>
      </c>
      <c r="L14" s="8">
        <v>0</v>
      </c>
      <c r="M14" s="11">
        <v>108</v>
      </c>
      <c r="N14" s="8">
        <v>5</v>
      </c>
      <c r="O14" s="8">
        <v>5</v>
      </c>
      <c r="P14" s="8">
        <v>5</v>
      </c>
      <c r="Q14" s="8">
        <v>5</v>
      </c>
      <c r="R14" s="8">
        <f t="shared" ref="R14:R20" si="10">N14+O14+P14+Q14</f>
        <v>20</v>
      </c>
      <c r="S14" s="50">
        <f>(D14-I14-J14-L14-M14)*(1-SIMULATOR!G$8)/(R14)+L14/(N14+O14)-K14/(N14+O14)</f>
        <v>715</v>
      </c>
      <c r="T14" s="52">
        <f>IF(P14=0,0,(D14-I14-J14-L14-M14)*(1-SIMULATOR!G$8)/(R14))</f>
        <v>940</v>
      </c>
      <c r="U14" s="8">
        <v>0</v>
      </c>
      <c r="V14" s="8">
        <f t="shared" si="0"/>
        <v>0</v>
      </c>
      <c r="W14" s="6">
        <f t="shared" si="1"/>
        <v>20008</v>
      </c>
      <c r="X14" s="6">
        <f t="shared" si="6"/>
        <v>20008</v>
      </c>
      <c r="Y14" s="12" t="str">
        <f t="shared" si="7"/>
        <v>OK</v>
      </c>
      <c r="Z14" s="18" t="s">
        <v>61</v>
      </c>
    </row>
    <row r="15" spans="1:26" x14ac:dyDescent="0.3">
      <c r="A15" s="5" t="s">
        <v>32</v>
      </c>
      <c r="B15" s="5" t="s">
        <v>44</v>
      </c>
      <c r="C15" s="7" t="s">
        <v>10</v>
      </c>
      <c r="D15" s="18">
        <v>19900</v>
      </c>
      <c r="E15" s="18" t="s">
        <v>61</v>
      </c>
      <c r="F15" s="11">
        <v>2200</v>
      </c>
      <c r="G15" s="8">
        <v>600</v>
      </c>
      <c r="H15" s="8">
        <f t="shared" si="3"/>
        <v>2800</v>
      </c>
      <c r="I15" s="8">
        <v>550</v>
      </c>
      <c r="J15" s="8">
        <v>550</v>
      </c>
      <c r="K15" s="8">
        <f t="shared" si="9"/>
        <v>2250</v>
      </c>
      <c r="L15" s="8">
        <v>0</v>
      </c>
      <c r="M15" s="8">
        <v>0</v>
      </c>
      <c r="N15" s="8">
        <v>5</v>
      </c>
      <c r="O15" s="8">
        <v>5</v>
      </c>
      <c r="P15" s="8">
        <v>5</v>
      </c>
      <c r="Q15" s="8">
        <v>5</v>
      </c>
      <c r="R15" s="8">
        <f t="shared" si="10"/>
        <v>20</v>
      </c>
      <c r="S15" s="50">
        <f>(D15-I15-J15-L15-M15)*(1-SIMULATOR!G$8)/(R15)+L15/(N15+O15)-K15/(N15+O15)</f>
        <v>715</v>
      </c>
      <c r="T15" s="52">
        <f>IF(P15=0,0,(D15-I15-J15-L15-M15)*(1-SIMULATOR!G$8)/(R15))</f>
        <v>940</v>
      </c>
      <c r="U15" s="8">
        <v>0</v>
      </c>
      <c r="V15" s="8">
        <f t="shared" si="0"/>
        <v>0</v>
      </c>
      <c r="W15" s="6">
        <f t="shared" si="1"/>
        <v>19900</v>
      </c>
      <c r="X15" s="6">
        <f t="shared" si="6"/>
        <v>19900</v>
      </c>
      <c r="Y15" s="12" t="str">
        <f t="shared" si="7"/>
        <v>OK</v>
      </c>
      <c r="Z15" s="18" t="s">
        <v>61</v>
      </c>
    </row>
    <row r="16" spans="1:26" x14ac:dyDescent="0.3">
      <c r="A16" s="5" t="s">
        <v>32</v>
      </c>
      <c r="B16" s="5" t="s">
        <v>44</v>
      </c>
      <c r="C16" s="16" t="s">
        <v>11</v>
      </c>
      <c r="D16" s="18">
        <v>19900</v>
      </c>
      <c r="E16" s="18" t="s">
        <v>61</v>
      </c>
      <c r="F16" s="11">
        <v>2200</v>
      </c>
      <c r="G16" s="8">
        <v>600</v>
      </c>
      <c r="H16" s="8">
        <f t="shared" si="3"/>
        <v>2800</v>
      </c>
      <c r="I16" s="8">
        <v>550</v>
      </c>
      <c r="J16" s="8">
        <v>550</v>
      </c>
      <c r="K16" s="8">
        <f t="shared" si="9"/>
        <v>2250</v>
      </c>
      <c r="L16" s="8">
        <v>0</v>
      </c>
      <c r="M16" s="8">
        <v>0</v>
      </c>
      <c r="N16" s="8">
        <v>5</v>
      </c>
      <c r="O16" s="8">
        <v>5</v>
      </c>
      <c r="P16" s="8">
        <v>5</v>
      </c>
      <c r="Q16" s="8">
        <v>5</v>
      </c>
      <c r="R16" s="8">
        <f t="shared" si="10"/>
        <v>20</v>
      </c>
      <c r="S16" s="50">
        <f>(D16-I16-J16-L16-M16)*(1-SIMULATOR!G$8)/(R16)+L16/(N16+O16)-K16/(N16+O16)</f>
        <v>715</v>
      </c>
      <c r="T16" s="52">
        <f>IF(P16=0,0,(D16-I16-J16-L16-M16)*(1-SIMULATOR!G$8)/(R16))</f>
        <v>940</v>
      </c>
      <c r="U16" s="8">
        <v>0</v>
      </c>
      <c r="V16" s="8">
        <f t="shared" si="0"/>
        <v>0</v>
      </c>
      <c r="W16" s="6">
        <f t="shared" si="1"/>
        <v>19900</v>
      </c>
      <c r="X16" s="6">
        <f t="shared" si="6"/>
        <v>19900</v>
      </c>
      <c r="Y16" s="12" t="str">
        <f t="shared" si="7"/>
        <v>OK</v>
      </c>
      <c r="Z16" s="18" t="s">
        <v>61</v>
      </c>
    </row>
    <row r="17" spans="1:26" x14ac:dyDescent="0.3">
      <c r="A17" s="5" t="s">
        <v>32</v>
      </c>
      <c r="B17" s="5" t="s">
        <v>44</v>
      </c>
      <c r="C17" s="7" t="s">
        <v>12</v>
      </c>
      <c r="D17" s="18">
        <v>24265</v>
      </c>
      <c r="E17" s="18" t="s">
        <v>61</v>
      </c>
      <c r="F17" s="11">
        <v>2200</v>
      </c>
      <c r="G17" s="8">
        <v>600</v>
      </c>
      <c r="H17" s="8">
        <f t="shared" si="3"/>
        <v>2800</v>
      </c>
      <c r="I17" s="8">
        <v>550</v>
      </c>
      <c r="J17" s="8">
        <v>550</v>
      </c>
      <c r="K17" s="8">
        <f t="shared" si="9"/>
        <v>2250</v>
      </c>
      <c r="L17" s="11">
        <v>4000</v>
      </c>
      <c r="M17" s="11">
        <v>365</v>
      </c>
      <c r="N17" s="8">
        <v>5</v>
      </c>
      <c r="O17" s="8">
        <v>5</v>
      </c>
      <c r="P17" s="8">
        <v>5</v>
      </c>
      <c r="Q17" s="8">
        <v>5</v>
      </c>
      <c r="R17" s="8">
        <f t="shared" si="10"/>
        <v>20</v>
      </c>
      <c r="S17" s="50">
        <f>(D17-I17-J17-L17-M17)*(1-SIMULATOR!G$8)/(R17)+L17/(N17+O17)-K17/(N17+O17)</f>
        <v>1115</v>
      </c>
      <c r="T17" s="52">
        <f>IF(P17=0,0,(D17-I17-J17-L17-M17)*(1-SIMULATOR!G$8)/(R17))</f>
        <v>940</v>
      </c>
      <c r="U17" s="8">
        <v>0</v>
      </c>
      <c r="V17" s="8">
        <f t="shared" si="0"/>
        <v>0</v>
      </c>
      <c r="W17" s="6">
        <f t="shared" si="1"/>
        <v>24265</v>
      </c>
      <c r="X17" s="6">
        <f t="shared" si="6"/>
        <v>24265</v>
      </c>
      <c r="Y17" s="12" t="str">
        <f t="shared" si="7"/>
        <v>OK</v>
      </c>
      <c r="Z17" s="18" t="s">
        <v>61</v>
      </c>
    </row>
    <row r="18" spans="1:26" x14ac:dyDescent="0.3">
      <c r="A18" s="5" t="s">
        <v>32</v>
      </c>
      <c r="B18" s="5" t="s">
        <v>44</v>
      </c>
      <c r="C18" s="7" t="s">
        <v>13</v>
      </c>
      <c r="D18" s="18">
        <v>26810</v>
      </c>
      <c r="E18" s="18" t="s">
        <v>61</v>
      </c>
      <c r="F18" s="11">
        <v>2200</v>
      </c>
      <c r="G18" s="8">
        <v>600</v>
      </c>
      <c r="H18" s="8">
        <f t="shared" si="3"/>
        <v>2800</v>
      </c>
      <c r="I18" s="8">
        <v>550</v>
      </c>
      <c r="J18" s="8">
        <v>550</v>
      </c>
      <c r="K18" s="8">
        <f t="shared" si="9"/>
        <v>2250</v>
      </c>
      <c r="L18" s="11">
        <f>4000+970*2</f>
        <v>5940</v>
      </c>
      <c r="M18" s="11">
        <v>970</v>
      </c>
      <c r="N18" s="8">
        <v>5</v>
      </c>
      <c r="O18" s="8">
        <v>5</v>
      </c>
      <c r="P18" s="8">
        <v>5</v>
      </c>
      <c r="Q18" s="8">
        <v>5</v>
      </c>
      <c r="R18" s="8">
        <f t="shared" si="10"/>
        <v>20</v>
      </c>
      <c r="S18" s="50">
        <f>(D18-I18-J18-L18-M18)*(1-SIMULATOR!G$8)/(R18)+L18/(N18+O18)-K18/(N18+O18)</f>
        <v>1309</v>
      </c>
      <c r="T18" s="52">
        <f>IF(P18=0,0,(D18-I18-J18-L18-M18)*(1-SIMULATOR!G$8)/(R18))</f>
        <v>940</v>
      </c>
      <c r="U18" s="8">
        <v>0</v>
      </c>
      <c r="V18" s="8">
        <f t="shared" si="0"/>
        <v>0</v>
      </c>
      <c r="W18" s="6">
        <f t="shared" si="1"/>
        <v>26810</v>
      </c>
      <c r="X18" s="6">
        <f t="shared" si="6"/>
        <v>26810</v>
      </c>
      <c r="Y18" s="12" t="str">
        <f t="shared" si="7"/>
        <v>OK</v>
      </c>
      <c r="Z18" s="18" t="s">
        <v>61</v>
      </c>
    </row>
    <row r="19" spans="1:26" x14ac:dyDescent="0.3">
      <c r="A19" s="5" t="s">
        <v>32</v>
      </c>
      <c r="B19" s="5" t="s">
        <v>44</v>
      </c>
      <c r="C19" s="7" t="s">
        <v>81</v>
      </c>
      <c r="D19" s="18">
        <v>19900</v>
      </c>
      <c r="E19" s="18" t="s">
        <v>61</v>
      </c>
      <c r="F19" s="11">
        <v>2200</v>
      </c>
      <c r="G19" s="8">
        <v>600</v>
      </c>
      <c r="H19" s="8">
        <f t="shared" si="3"/>
        <v>2800</v>
      </c>
      <c r="I19" s="8">
        <v>550</v>
      </c>
      <c r="J19" s="8">
        <v>550</v>
      </c>
      <c r="K19" s="8">
        <f t="shared" si="9"/>
        <v>2250</v>
      </c>
      <c r="L19" s="8">
        <v>0</v>
      </c>
      <c r="M19" s="8">
        <v>0</v>
      </c>
      <c r="N19" s="8">
        <v>5</v>
      </c>
      <c r="O19" s="8">
        <v>5</v>
      </c>
      <c r="P19" s="8">
        <v>5</v>
      </c>
      <c r="Q19" s="8">
        <v>5</v>
      </c>
      <c r="R19" s="8">
        <f t="shared" si="10"/>
        <v>20</v>
      </c>
      <c r="S19" s="50">
        <f>(D19-I19-J19-L19-M19)*(1-SIMULATOR!G$8)/(R19)+L19/(N19+O19)-K19/(N19+O19)</f>
        <v>715</v>
      </c>
      <c r="T19" s="52">
        <f>IF(P19=0,0,(D19-I19-J19-L19-M19)*(1-SIMULATOR!G$8)/(R19))</f>
        <v>940</v>
      </c>
      <c r="U19" s="8">
        <v>0</v>
      </c>
      <c r="V19" s="8">
        <f t="shared" si="0"/>
        <v>0</v>
      </c>
      <c r="W19" s="6">
        <f t="shared" si="1"/>
        <v>19900</v>
      </c>
      <c r="X19" s="6">
        <f t="shared" si="6"/>
        <v>19900</v>
      </c>
      <c r="Y19" s="12" t="str">
        <f t="shared" si="7"/>
        <v>OK</v>
      </c>
      <c r="Z19" s="18" t="s">
        <v>61</v>
      </c>
    </row>
    <row r="20" spans="1:26" x14ac:dyDescent="0.3">
      <c r="A20" s="5" t="s">
        <v>32</v>
      </c>
      <c r="B20" s="5" t="s">
        <v>44</v>
      </c>
      <c r="C20" s="7" t="s">
        <v>19</v>
      </c>
      <c r="D20" s="18">
        <v>23900</v>
      </c>
      <c r="E20" s="18" t="s">
        <v>61</v>
      </c>
      <c r="F20" s="11">
        <v>2200</v>
      </c>
      <c r="G20" s="8">
        <v>600</v>
      </c>
      <c r="H20" s="8">
        <f t="shared" si="3"/>
        <v>2800</v>
      </c>
      <c r="I20" s="8">
        <v>550</v>
      </c>
      <c r="J20" s="8">
        <v>550</v>
      </c>
      <c r="K20" s="8">
        <f t="shared" si="9"/>
        <v>2250</v>
      </c>
      <c r="L20" s="11">
        <v>4000</v>
      </c>
      <c r="M20" s="8">
        <v>0</v>
      </c>
      <c r="N20" s="8">
        <v>5</v>
      </c>
      <c r="O20" s="8">
        <v>5</v>
      </c>
      <c r="P20" s="8">
        <v>5</v>
      </c>
      <c r="Q20" s="8">
        <v>5</v>
      </c>
      <c r="R20" s="8">
        <f t="shared" si="10"/>
        <v>20</v>
      </c>
      <c r="S20" s="50">
        <f>(D20-I20-J20-L20-M20)*(1-SIMULATOR!G$8)/(R20)+L20/(N20+O20)-K20/(N20+O20)</f>
        <v>1115</v>
      </c>
      <c r="T20" s="52">
        <f>IF(P20=0,0,(D20-I20-J20-L20-M20)*(1-SIMULATOR!G$8)/(R20))</f>
        <v>940</v>
      </c>
      <c r="U20" s="8">
        <v>0</v>
      </c>
      <c r="V20" s="8">
        <f t="shared" si="0"/>
        <v>0</v>
      </c>
      <c r="W20" s="6">
        <f t="shared" si="1"/>
        <v>23900</v>
      </c>
      <c r="X20" s="6">
        <f t="shared" si="6"/>
        <v>23900</v>
      </c>
      <c r="Y20" s="12" t="str">
        <f t="shared" si="7"/>
        <v>OK</v>
      </c>
      <c r="Z20" s="18" t="s">
        <v>61</v>
      </c>
    </row>
    <row r="21" spans="1:26" x14ac:dyDescent="0.3">
      <c r="A21" s="5" t="s">
        <v>32</v>
      </c>
      <c r="B21" s="5" t="s">
        <v>43</v>
      </c>
      <c r="C21" s="7" t="s">
        <v>9</v>
      </c>
      <c r="D21" s="18">
        <v>18858</v>
      </c>
      <c r="E21" s="18" t="s">
        <v>61</v>
      </c>
      <c r="F21" s="11">
        <v>2200</v>
      </c>
      <c r="G21" s="8">
        <v>600</v>
      </c>
      <c r="H21" s="8">
        <f t="shared" si="3"/>
        <v>2800</v>
      </c>
      <c r="I21" s="8">
        <v>550</v>
      </c>
      <c r="J21" s="8">
        <v>550</v>
      </c>
      <c r="K21" s="8">
        <f t="shared" si="4"/>
        <v>2250</v>
      </c>
      <c r="L21" s="8">
        <v>0</v>
      </c>
      <c r="M21" s="11">
        <v>108</v>
      </c>
      <c r="N21" s="8">
        <v>5</v>
      </c>
      <c r="O21" s="8">
        <v>5</v>
      </c>
      <c r="P21" s="8">
        <v>5</v>
      </c>
      <c r="Q21" s="8">
        <v>5</v>
      </c>
      <c r="R21" s="8">
        <f t="shared" si="5"/>
        <v>20</v>
      </c>
      <c r="S21" s="50">
        <f>(D21-I21-J21-L21-M21)*(1-SIMULATOR!G$8)/(R21)+L21/(N21+O21)-K21/(N21+O21)</f>
        <v>657.5</v>
      </c>
      <c r="T21" s="52">
        <f>IF(P21=0,0,(D21-I21-J21-L21-M21)*(1-SIMULATOR!G$8)/(R21))</f>
        <v>882.5</v>
      </c>
      <c r="U21" s="8">
        <v>0</v>
      </c>
      <c r="V21" s="8">
        <f t="shared" ref="V21:V35" si="11">U21/5</f>
        <v>0</v>
      </c>
      <c r="W21" s="6">
        <f t="shared" si="1"/>
        <v>18858</v>
      </c>
      <c r="X21" s="6">
        <f t="shared" si="6"/>
        <v>18858</v>
      </c>
      <c r="Y21" s="12" t="str">
        <f t="shared" si="7"/>
        <v>OK</v>
      </c>
      <c r="Z21" s="18" t="s">
        <v>61</v>
      </c>
    </row>
    <row r="22" spans="1:26" x14ac:dyDescent="0.3">
      <c r="A22" s="5" t="s">
        <v>32</v>
      </c>
      <c r="B22" s="5" t="s">
        <v>43</v>
      </c>
      <c r="C22" s="7" t="s">
        <v>10</v>
      </c>
      <c r="D22" s="18">
        <v>18750</v>
      </c>
      <c r="E22" s="18" t="s">
        <v>61</v>
      </c>
      <c r="F22" s="11">
        <v>2200</v>
      </c>
      <c r="G22" s="8">
        <v>600</v>
      </c>
      <c r="H22" s="8">
        <f t="shared" si="3"/>
        <v>2800</v>
      </c>
      <c r="I22" s="8">
        <v>550</v>
      </c>
      <c r="J22" s="8">
        <v>550</v>
      </c>
      <c r="K22" s="8">
        <f t="shared" si="4"/>
        <v>2250</v>
      </c>
      <c r="L22" s="8">
        <v>0</v>
      </c>
      <c r="M22" s="8">
        <v>0</v>
      </c>
      <c r="N22" s="8">
        <v>5</v>
      </c>
      <c r="O22" s="8">
        <v>5</v>
      </c>
      <c r="P22" s="8">
        <v>5</v>
      </c>
      <c r="Q22" s="8">
        <v>5</v>
      </c>
      <c r="R22" s="8">
        <f t="shared" si="5"/>
        <v>20</v>
      </c>
      <c r="S22" s="50">
        <f>(D22-I22-J22-L22-M22)*(1-SIMULATOR!G$8)/(R22)+L22/(N22+O22)-K22/(N22+O22)</f>
        <v>657.5</v>
      </c>
      <c r="T22" s="52">
        <f>IF(P22=0,0,(D22-I22-J22-L22-M22)*(1-SIMULATOR!G$8)/(R22))</f>
        <v>882.5</v>
      </c>
      <c r="U22" s="8">
        <v>0</v>
      </c>
      <c r="V22" s="8">
        <f t="shared" si="11"/>
        <v>0</v>
      </c>
      <c r="W22" s="6">
        <f t="shared" si="1"/>
        <v>18750</v>
      </c>
      <c r="X22" s="6">
        <f t="shared" si="6"/>
        <v>18750</v>
      </c>
      <c r="Y22" s="12" t="str">
        <f t="shared" si="7"/>
        <v>OK</v>
      </c>
      <c r="Z22" s="18" t="s">
        <v>61</v>
      </c>
    </row>
    <row r="23" spans="1:26" x14ac:dyDescent="0.3">
      <c r="A23" s="5" t="s">
        <v>32</v>
      </c>
      <c r="B23" s="5" t="s">
        <v>43</v>
      </c>
      <c r="C23" s="7" t="s">
        <v>11</v>
      </c>
      <c r="D23" s="18">
        <v>18750</v>
      </c>
      <c r="E23" s="18" t="s">
        <v>61</v>
      </c>
      <c r="F23" s="11">
        <v>2200</v>
      </c>
      <c r="G23" s="8">
        <v>600</v>
      </c>
      <c r="H23" s="8">
        <f t="shared" si="3"/>
        <v>2800</v>
      </c>
      <c r="I23" s="8">
        <v>550</v>
      </c>
      <c r="J23" s="8">
        <v>550</v>
      </c>
      <c r="K23" s="8">
        <f t="shared" si="4"/>
        <v>2250</v>
      </c>
      <c r="L23" s="8">
        <v>0</v>
      </c>
      <c r="M23" s="8">
        <v>0</v>
      </c>
      <c r="N23" s="8">
        <v>5</v>
      </c>
      <c r="O23" s="8">
        <v>5</v>
      </c>
      <c r="P23" s="8">
        <v>5</v>
      </c>
      <c r="Q23" s="8">
        <v>5</v>
      </c>
      <c r="R23" s="8">
        <f t="shared" si="5"/>
        <v>20</v>
      </c>
      <c r="S23" s="50">
        <f>(D23-I23-J23-L23-M23)*(1-SIMULATOR!G$8)/(R23)+L23/(N23+O23)-K23/(N23+O23)</f>
        <v>657.5</v>
      </c>
      <c r="T23" s="52">
        <f>IF(P23=0,0,(D23-I23-J23-L23-M23)*(1-SIMULATOR!G$8)/(R23))</f>
        <v>882.5</v>
      </c>
      <c r="U23" s="8">
        <v>0</v>
      </c>
      <c r="V23" s="8">
        <f t="shared" si="11"/>
        <v>0</v>
      </c>
      <c r="W23" s="6">
        <f t="shared" si="1"/>
        <v>18750</v>
      </c>
      <c r="X23" s="6">
        <f t="shared" si="6"/>
        <v>18750</v>
      </c>
      <c r="Y23" s="12" t="str">
        <f t="shared" si="7"/>
        <v>OK</v>
      </c>
      <c r="Z23" s="18" t="s">
        <v>61</v>
      </c>
    </row>
    <row r="24" spans="1:26" x14ac:dyDescent="0.3">
      <c r="A24" s="5" t="s">
        <v>32</v>
      </c>
      <c r="B24" s="5" t="s">
        <v>43</v>
      </c>
      <c r="C24" s="7" t="s">
        <v>12</v>
      </c>
      <c r="D24" s="18">
        <v>23115</v>
      </c>
      <c r="E24" s="18" t="s">
        <v>61</v>
      </c>
      <c r="F24" s="11">
        <v>2200</v>
      </c>
      <c r="G24" s="8">
        <v>600</v>
      </c>
      <c r="H24" s="8">
        <f t="shared" si="3"/>
        <v>2800</v>
      </c>
      <c r="I24" s="8">
        <v>550</v>
      </c>
      <c r="J24" s="8">
        <v>550</v>
      </c>
      <c r="K24" s="8">
        <f t="shared" si="4"/>
        <v>2250</v>
      </c>
      <c r="L24" s="11">
        <v>4000</v>
      </c>
      <c r="M24" s="11">
        <v>365</v>
      </c>
      <c r="N24" s="8">
        <v>5</v>
      </c>
      <c r="O24" s="8">
        <v>5</v>
      </c>
      <c r="P24" s="8">
        <v>5</v>
      </c>
      <c r="Q24" s="8">
        <v>5</v>
      </c>
      <c r="R24" s="8">
        <f t="shared" si="5"/>
        <v>20</v>
      </c>
      <c r="S24" s="50">
        <f>(D24-I24-J24-L24-M24)*(1-SIMULATOR!G$8)/(R24)+L24/(N24+O24)-K24/(N24+O24)</f>
        <v>1057.5</v>
      </c>
      <c r="T24" s="52">
        <f>IF(P24=0,0,(D24-I24-J24-L24-M24)*(1-SIMULATOR!G$8)/(R24))</f>
        <v>882.5</v>
      </c>
      <c r="U24" s="8">
        <v>0</v>
      </c>
      <c r="V24" s="8">
        <f t="shared" si="11"/>
        <v>0</v>
      </c>
      <c r="W24" s="6">
        <f t="shared" si="1"/>
        <v>23115</v>
      </c>
      <c r="X24" s="6">
        <f t="shared" si="6"/>
        <v>23115</v>
      </c>
      <c r="Y24" s="12" t="str">
        <f t="shared" si="7"/>
        <v>OK</v>
      </c>
      <c r="Z24" s="18" t="s">
        <v>61</v>
      </c>
    </row>
    <row r="25" spans="1:26" x14ac:dyDescent="0.3">
      <c r="A25" s="5" t="s">
        <v>32</v>
      </c>
      <c r="B25" s="5" t="s">
        <v>43</v>
      </c>
      <c r="C25" s="7" t="s">
        <v>13</v>
      </c>
      <c r="D25" s="18">
        <v>25660</v>
      </c>
      <c r="E25" s="18" t="s">
        <v>61</v>
      </c>
      <c r="F25" s="11">
        <v>2200</v>
      </c>
      <c r="G25" s="8">
        <v>600</v>
      </c>
      <c r="H25" s="8">
        <f t="shared" si="3"/>
        <v>2800</v>
      </c>
      <c r="I25" s="8">
        <v>550</v>
      </c>
      <c r="J25" s="8">
        <v>550</v>
      </c>
      <c r="K25" s="8">
        <f t="shared" si="4"/>
        <v>2250</v>
      </c>
      <c r="L25" s="11">
        <f>4000+970*2</f>
        <v>5940</v>
      </c>
      <c r="M25" s="11">
        <v>970</v>
      </c>
      <c r="N25" s="8">
        <v>5</v>
      </c>
      <c r="O25" s="8">
        <v>5</v>
      </c>
      <c r="P25" s="8">
        <v>5</v>
      </c>
      <c r="Q25" s="8">
        <v>5</v>
      </c>
      <c r="R25" s="8">
        <f t="shared" si="5"/>
        <v>20</v>
      </c>
      <c r="S25" s="50">
        <f>(D25-I25-J25-L25-M25)*(1-SIMULATOR!G$8)/(R25)+L25/(N25+O25)-K25/(N25+O25)</f>
        <v>1251.5</v>
      </c>
      <c r="T25" s="52">
        <f>IF(P25=0,0,(D25-I25-J25-L25-M25)*(1-SIMULATOR!G$8)/(R25))</f>
        <v>882.5</v>
      </c>
      <c r="U25" s="8">
        <v>0</v>
      </c>
      <c r="V25" s="8">
        <f t="shared" si="11"/>
        <v>0</v>
      </c>
      <c r="W25" s="6">
        <f t="shared" si="1"/>
        <v>25660</v>
      </c>
      <c r="X25" s="6">
        <f t="shared" si="6"/>
        <v>25660</v>
      </c>
      <c r="Y25" s="12" t="str">
        <f t="shared" si="7"/>
        <v>OK</v>
      </c>
      <c r="Z25" s="18" t="s">
        <v>61</v>
      </c>
    </row>
    <row r="26" spans="1:26" x14ac:dyDescent="0.3">
      <c r="A26" s="5" t="s">
        <v>32</v>
      </c>
      <c r="B26" s="5" t="s">
        <v>43</v>
      </c>
      <c r="C26" s="7" t="s">
        <v>14</v>
      </c>
      <c r="D26" s="18">
        <v>18750</v>
      </c>
      <c r="E26" s="18" t="s">
        <v>61</v>
      </c>
      <c r="F26" s="11">
        <v>2200</v>
      </c>
      <c r="G26" s="8">
        <v>600</v>
      </c>
      <c r="H26" s="8">
        <f t="shared" si="3"/>
        <v>2800</v>
      </c>
      <c r="I26" s="8">
        <v>550</v>
      </c>
      <c r="J26" s="8">
        <v>550</v>
      </c>
      <c r="K26" s="8">
        <f t="shared" si="4"/>
        <v>2250</v>
      </c>
      <c r="L26" s="8">
        <v>0</v>
      </c>
      <c r="M26" s="8">
        <v>0</v>
      </c>
      <c r="N26" s="8">
        <v>5</v>
      </c>
      <c r="O26" s="8">
        <v>5</v>
      </c>
      <c r="P26" s="8">
        <v>5</v>
      </c>
      <c r="Q26" s="11">
        <v>0</v>
      </c>
      <c r="R26" s="8">
        <f t="shared" si="5"/>
        <v>15</v>
      </c>
      <c r="S26" s="50">
        <f>(D26-I26-J26-L26-M26)*(1-SIMULATOR!G$8)/(R26)+L26/(N26+O26)-K26/(N26+O26)</f>
        <v>951.66666666666674</v>
      </c>
      <c r="T26" s="52">
        <f>IF(P26=0,0,(D26-I26-J26-L26-M26)*(1-SIMULATOR!G$8)/(R26))</f>
        <v>1176.6666666666667</v>
      </c>
      <c r="U26" s="8">
        <v>0</v>
      </c>
      <c r="V26" s="8">
        <f t="shared" si="11"/>
        <v>0</v>
      </c>
      <c r="W26" s="6">
        <f t="shared" si="1"/>
        <v>18750</v>
      </c>
      <c r="X26" s="6">
        <f t="shared" si="6"/>
        <v>18750</v>
      </c>
      <c r="Y26" s="12" t="str">
        <f t="shared" si="7"/>
        <v>OK</v>
      </c>
      <c r="Z26" s="18" t="s">
        <v>61</v>
      </c>
    </row>
    <row r="27" spans="1:26" x14ac:dyDescent="0.3">
      <c r="A27" s="5" t="s">
        <v>32</v>
      </c>
      <c r="B27" s="5" t="s">
        <v>43</v>
      </c>
      <c r="C27" s="7" t="s">
        <v>15</v>
      </c>
      <c r="D27" s="18">
        <v>18750</v>
      </c>
      <c r="E27" s="18" t="s">
        <v>61</v>
      </c>
      <c r="F27" s="11">
        <v>2200</v>
      </c>
      <c r="G27" s="8">
        <v>600</v>
      </c>
      <c r="H27" s="8">
        <f t="shared" si="3"/>
        <v>2800</v>
      </c>
      <c r="I27" s="8">
        <v>550</v>
      </c>
      <c r="J27" s="8">
        <v>550</v>
      </c>
      <c r="K27" s="8">
        <f t="shared" si="4"/>
        <v>2250</v>
      </c>
      <c r="L27" s="8">
        <v>0</v>
      </c>
      <c r="M27" s="8">
        <v>0</v>
      </c>
      <c r="N27" s="8">
        <v>5</v>
      </c>
      <c r="O27" s="8">
        <v>5</v>
      </c>
      <c r="P27" s="8">
        <v>5</v>
      </c>
      <c r="Q27" s="8">
        <v>5</v>
      </c>
      <c r="R27" s="8">
        <f t="shared" si="5"/>
        <v>20</v>
      </c>
      <c r="S27" s="50">
        <f>(D27-I27-J27-L27-M27)*(1-SIMULATOR!G$8)/(R27)+L27/(N27+O27)-K27/(N27+O27)</f>
        <v>657.5</v>
      </c>
      <c r="T27" s="52">
        <f>IF(P27=0,0,(D27-I27-J27-L27-M27)*(1-SIMULATOR!G$8)/(R27))</f>
        <v>882.5</v>
      </c>
      <c r="U27" s="8">
        <v>0</v>
      </c>
      <c r="V27" s="8">
        <f t="shared" si="11"/>
        <v>0</v>
      </c>
      <c r="W27" s="6">
        <f t="shared" si="1"/>
        <v>18750</v>
      </c>
      <c r="X27" s="6">
        <f t="shared" si="6"/>
        <v>18750</v>
      </c>
      <c r="Y27" s="12" t="str">
        <f t="shared" si="7"/>
        <v>OK</v>
      </c>
      <c r="Z27" s="18" t="s">
        <v>61</v>
      </c>
    </row>
    <row r="28" spans="1:26" x14ac:dyDescent="0.3">
      <c r="A28" s="5" t="s">
        <v>32</v>
      </c>
      <c r="B28" s="5" t="s">
        <v>43</v>
      </c>
      <c r="C28" s="7" t="s">
        <v>17</v>
      </c>
      <c r="D28" s="18">
        <v>19907</v>
      </c>
      <c r="E28" s="18" t="s">
        <v>61</v>
      </c>
      <c r="F28" s="11">
        <v>2200</v>
      </c>
      <c r="G28" s="8">
        <v>600</v>
      </c>
      <c r="H28" s="8">
        <f t="shared" si="3"/>
        <v>2800</v>
      </c>
      <c r="I28" s="8">
        <v>550</v>
      </c>
      <c r="J28" s="8">
        <v>550</v>
      </c>
      <c r="K28" s="8">
        <f t="shared" si="4"/>
        <v>2250</v>
      </c>
      <c r="L28" s="8">
        <v>0</v>
      </c>
      <c r="M28" s="11">
        <f>815+342</f>
        <v>1157</v>
      </c>
      <c r="N28" s="8">
        <v>5</v>
      </c>
      <c r="O28" s="8">
        <v>5</v>
      </c>
      <c r="P28" s="8">
        <v>5</v>
      </c>
      <c r="Q28" s="8">
        <v>5</v>
      </c>
      <c r="R28" s="8">
        <f t="shared" si="5"/>
        <v>20</v>
      </c>
      <c r="S28" s="50">
        <f>(D28-I28-J28-L28-M28)*(1-SIMULATOR!G$8)/(R28)+L28/(N28+O28)-K28/(N28+O28)</f>
        <v>657.5</v>
      </c>
      <c r="T28" s="52">
        <f>IF(P28=0,0,(D28-I28-J28-L28-M28)*(1-SIMULATOR!G$8)/(R28))</f>
        <v>882.5</v>
      </c>
      <c r="U28" s="8">
        <v>0</v>
      </c>
      <c r="V28" s="8">
        <f t="shared" si="11"/>
        <v>0</v>
      </c>
      <c r="W28" s="6">
        <f t="shared" si="1"/>
        <v>19907</v>
      </c>
      <c r="X28" s="6">
        <f t="shared" si="6"/>
        <v>19907</v>
      </c>
      <c r="Y28" s="12" t="str">
        <f t="shared" si="7"/>
        <v>OK</v>
      </c>
      <c r="Z28" s="18" t="s">
        <v>61</v>
      </c>
    </row>
    <row r="29" spans="1:26" x14ac:dyDescent="0.3">
      <c r="A29" s="5" t="s">
        <v>32</v>
      </c>
      <c r="B29" s="5" t="s">
        <v>43</v>
      </c>
      <c r="C29" s="7" t="s">
        <v>19</v>
      </c>
      <c r="D29" s="18">
        <v>22750</v>
      </c>
      <c r="E29" s="18" t="s">
        <v>61</v>
      </c>
      <c r="F29" s="11">
        <v>2200</v>
      </c>
      <c r="G29" s="8">
        <v>600</v>
      </c>
      <c r="H29" s="8">
        <f t="shared" si="3"/>
        <v>2800</v>
      </c>
      <c r="I29" s="8">
        <v>550</v>
      </c>
      <c r="J29" s="8">
        <v>550</v>
      </c>
      <c r="K29" s="8">
        <f t="shared" si="4"/>
        <v>2250</v>
      </c>
      <c r="L29" s="11">
        <v>4000</v>
      </c>
      <c r="M29" s="8">
        <v>0</v>
      </c>
      <c r="N29" s="8">
        <v>5</v>
      </c>
      <c r="O29" s="8">
        <v>5</v>
      </c>
      <c r="P29" s="8">
        <v>5</v>
      </c>
      <c r="Q29" s="8">
        <v>5</v>
      </c>
      <c r="R29" s="8">
        <f t="shared" si="5"/>
        <v>20</v>
      </c>
      <c r="S29" s="50">
        <f>(D29-I29-J29-L29-M29)*(1-SIMULATOR!G$8)/(R29)+L29/(N29+O29)-K29/(N29+O29)</f>
        <v>1057.5</v>
      </c>
      <c r="T29" s="52">
        <f>IF(P29=0,0,(D29-I29-J29-L29-M29)*(1-SIMULATOR!G$8)/(R29))</f>
        <v>882.5</v>
      </c>
      <c r="U29" s="8">
        <v>0</v>
      </c>
      <c r="V29" s="8">
        <f t="shared" si="11"/>
        <v>0</v>
      </c>
      <c r="W29" s="6">
        <f t="shared" si="1"/>
        <v>22750</v>
      </c>
      <c r="X29" s="6">
        <f t="shared" si="6"/>
        <v>22750</v>
      </c>
      <c r="Y29" s="12" t="str">
        <f t="shared" si="7"/>
        <v>OK</v>
      </c>
      <c r="Z29" s="18" t="s">
        <v>61</v>
      </c>
    </row>
    <row r="30" spans="1:26" x14ac:dyDescent="0.3">
      <c r="A30" s="5" t="s">
        <v>32</v>
      </c>
      <c r="B30" s="5" t="s">
        <v>43</v>
      </c>
      <c r="C30" s="7" t="s">
        <v>20</v>
      </c>
      <c r="D30" s="18">
        <v>18772.7</v>
      </c>
      <c r="E30" s="18" t="s">
        <v>61</v>
      </c>
      <c r="F30" s="11">
        <v>2200</v>
      </c>
      <c r="G30" s="8">
        <v>600</v>
      </c>
      <c r="H30" s="8">
        <f t="shared" si="3"/>
        <v>2800</v>
      </c>
      <c r="I30" s="8">
        <v>550</v>
      </c>
      <c r="J30" s="8">
        <v>550</v>
      </c>
      <c r="K30" s="8">
        <f t="shared" si="4"/>
        <v>2250</v>
      </c>
      <c r="L30" s="8">
        <v>0</v>
      </c>
      <c r="M30" s="11">
        <v>22.7</v>
      </c>
      <c r="N30" s="8">
        <v>5</v>
      </c>
      <c r="O30" s="8">
        <v>5</v>
      </c>
      <c r="P30" s="8">
        <v>5</v>
      </c>
      <c r="Q30" s="8">
        <v>5</v>
      </c>
      <c r="R30" s="8">
        <f t="shared" si="5"/>
        <v>20</v>
      </c>
      <c r="S30" s="50">
        <f>(D30-I30-J30-L30-M30)*(1-SIMULATOR!G$8)/(R30)+L30/(N30+O30)-K30/(N30+O30)</f>
        <v>657.5</v>
      </c>
      <c r="T30" s="52">
        <f>IF(P30=0,0,(D30-I30-J30-L30-M30)*(1-SIMULATOR!G$8)/(R30))</f>
        <v>882.5</v>
      </c>
      <c r="U30" s="8">
        <v>0</v>
      </c>
      <c r="V30" s="8">
        <f t="shared" si="11"/>
        <v>0</v>
      </c>
      <c r="W30" s="6">
        <f t="shared" si="1"/>
        <v>18772.7</v>
      </c>
      <c r="X30" s="6">
        <f t="shared" si="6"/>
        <v>18772.7</v>
      </c>
      <c r="Y30" s="12" t="str">
        <f t="shared" si="7"/>
        <v>OK</v>
      </c>
      <c r="Z30" s="18" t="s">
        <v>61</v>
      </c>
    </row>
    <row r="31" spans="1:26" x14ac:dyDescent="0.3">
      <c r="A31" s="5" t="s">
        <v>32</v>
      </c>
      <c r="B31" s="5" t="s">
        <v>45</v>
      </c>
      <c r="C31" s="5" t="s">
        <v>8</v>
      </c>
      <c r="D31" s="18">
        <v>17417</v>
      </c>
      <c r="E31" s="18" t="s">
        <v>61</v>
      </c>
      <c r="F31" s="11">
        <v>2200</v>
      </c>
      <c r="G31" s="8">
        <v>600</v>
      </c>
      <c r="H31" s="8">
        <f t="shared" si="3"/>
        <v>2800</v>
      </c>
      <c r="I31" s="8">
        <v>550</v>
      </c>
      <c r="J31" s="8">
        <v>550</v>
      </c>
      <c r="K31" s="8">
        <f t="shared" si="4"/>
        <v>2250</v>
      </c>
      <c r="L31" s="8"/>
      <c r="M31" s="11">
        <v>92</v>
      </c>
      <c r="N31" s="8">
        <v>5</v>
      </c>
      <c r="O31" s="8">
        <v>5</v>
      </c>
      <c r="P31" s="8">
        <v>5</v>
      </c>
      <c r="Q31" s="8">
        <v>5</v>
      </c>
      <c r="R31" s="8">
        <f t="shared" si="5"/>
        <v>20</v>
      </c>
      <c r="S31" s="50">
        <f>(D31-I31-J31-L31-M31)*(1-SIMULATOR!G$8)/(R31)+L31/(N31+O31)-K31/(N31+O31)</f>
        <v>586.25</v>
      </c>
      <c r="T31" s="52">
        <f>IF(P31=0,0,(D31-I31-J31-L31-M31)*(1-SIMULATOR!G$8)/(R31))</f>
        <v>811.25</v>
      </c>
      <c r="U31" s="8">
        <v>0</v>
      </c>
      <c r="V31" s="8">
        <f t="shared" si="11"/>
        <v>0</v>
      </c>
      <c r="W31" s="6">
        <f t="shared" si="1"/>
        <v>17417</v>
      </c>
      <c r="X31" s="6">
        <f t="shared" si="6"/>
        <v>17417</v>
      </c>
      <c r="Y31" s="12" t="str">
        <f t="shared" si="7"/>
        <v>OK</v>
      </c>
      <c r="Z31" s="18" t="s">
        <v>61</v>
      </c>
    </row>
    <row r="32" spans="1:26" x14ac:dyDescent="0.3">
      <c r="A32" s="5" t="s">
        <v>32</v>
      </c>
      <c r="B32" s="5" t="s">
        <v>45</v>
      </c>
      <c r="C32" s="5" t="s">
        <v>10</v>
      </c>
      <c r="D32" s="18">
        <v>17325</v>
      </c>
      <c r="E32" s="18" t="s">
        <v>61</v>
      </c>
      <c r="F32" s="11">
        <v>2200</v>
      </c>
      <c r="G32" s="8">
        <v>600</v>
      </c>
      <c r="H32" s="8">
        <f t="shared" si="3"/>
        <v>2800</v>
      </c>
      <c r="I32" s="8">
        <v>550</v>
      </c>
      <c r="J32" s="8">
        <v>550</v>
      </c>
      <c r="K32" s="8">
        <f t="shared" si="4"/>
        <v>2250</v>
      </c>
      <c r="L32" s="8"/>
      <c r="M32" s="8">
        <v>0</v>
      </c>
      <c r="N32" s="8">
        <v>5</v>
      </c>
      <c r="O32" s="8">
        <v>5</v>
      </c>
      <c r="P32" s="8">
        <v>5</v>
      </c>
      <c r="Q32" s="8">
        <v>5</v>
      </c>
      <c r="R32" s="8">
        <f t="shared" si="5"/>
        <v>20</v>
      </c>
      <c r="S32" s="50">
        <f>(D32-I32-J32-L32-M32)*(1-SIMULATOR!G$8)/(R32)+L32/(N32+O32)-K32/(N32+O32)</f>
        <v>586.25</v>
      </c>
      <c r="T32" s="52">
        <f>IF(P32=0,0,(D32-I32-J32-L32-M32)*(1-SIMULATOR!G$8)/(R32))</f>
        <v>811.25</v>
      </c>
      <c r="U32" s="8">
        <v>0</v>
      </c>
      <c r="V32" s="8">
        <f t="shared" si="11"/>
        <v>0</v>
      </c>
      <c r="W32" s="6">
        <f t="shared" si="1"/>
        <v>17325</v>
      </c>
      <c r="X32" s="6">
        <f t="shared" si="6"/>
        <v>17325</v>
      </c>
      <c r="Y32" s="12" t="str">
        <f t="shared" si="7"/>
        <v>OK</v>
      </c>
      <c r="Z32" s="18" t="s">
        <v>61</v>
      </c>
    </row>
    <row r="33" spans="1:26" x14ac:dyDescent="0.3">
      <c r="A33" s="5" t="s">
        <v>32</v>
      </c>
      <c r="B33" s="5" t="s">
        <v>45</v>
      </c>
      <c r="C33" s="5" t="s">
        <v>11</v>
      </c>
      <c r="D33" s="18">
        <v>17325</v>
      </c>
      <c r="E33" s="18" t="s">
        <v>61</v>
      </c>
      <c r="F33" s="11">
        <v>2200</v>
      </c>
      <c r="G33" s="8">
        <v>600</v>
      </c>
      <c r="H33" s="8">
        <f t="shared" si="3"/>
        <v>2800</v>
      </c>
      <c r="I33" s="8">
        <v>550</v>
      </c>
      <c r="J33" s="8">
        <v>550</v>
      </c>
      <c r="K33" s="8">
        <f t="shared" si="4"/>
        <v>2250</v>
      </c>
      <c r="L33" s="8"/>
      <c r="M33" s="8">
        <v>0</v>
      </c>
      <c r="N33" s="8">
        <v>5</v>
      </c>
      <c r="O33" s="8">
        <v>5</v>
      </c>
      <c r="P33" s="8">
        <v>5</v>
      </c>
      <c r="Q33" s="8">
        <v>5</v>
      </c>
      <c r="R33" s="8">
        <f t="shared" si="5"/>
        <v>20</v>
      </c>
      <c r="S33" s="50">
        <f>(D33-I33-J33-L33-M33)*(1-SIMULATOR!G$8)/(R33)+L33/(N33+O33)-K33/(N33+O33)</f>
        <v>586.25</v>
      </c>
      <c r="T33" s="52">
        <f>IF(P33=0,0,(D33-I33-J33-L33-M33)*(1-SIMULATOR!G$8)/(R33))</f>
        <v>811.25</v>
      </c>
      <c r="U33" s="8">
        <v>0</v>
      </c>
      <c r="V33" s="8">
        <f t="shared" si="11"/>
        <v>0</v>
      </c>
      <c r="W33" s="6">
        <f t="shared" si="1"/>
        <v>17325</v>
      </c>
      <c r="X33" s="6">
        <f t="shared" si="6"/>
        <v>17325</v>
      </c>
      <c r="Y33" s="12" t="str">
        <f t="shared" si="7"/>
        <v>OK</v>
      </c>
      <c r="Z33" s="18" t="s">
        <v>61</v>
      </c>
    </row>
    <row r="34" spans="1:26" x14ac:dyDescent="0.3">
      <c r="A34" s="5" t="s">
        <v>32</v>
      </c>
      <c r="B34" s="5" t="s">
        <v>45</v>
      </c>
      <c r="C34" s="7" t="s">
        <v>16</v>
      </c>
      <c r="D34" s="18">
        <v>17391</v>
      </c>
      <c r="E34" s="18" t="s">
        <v>61</v>
      </c>
      <c r="F34" s="11">
        <v>2200</v>
      </c>
      <c r="G34" s="8">
        <v>600</v>
      </c>
      <c r="H34" s="8">
        <f t="shared" si="3"/>
        <v>2800</v>
      </c>
      <c r="I34" s="8">
        <v>550</v>
      </c>
      <c r="J34" s="8">
        <v>550</v>
      </c>
      <c r="K34" s="8">
        <f t="shared" si="4"/>
        <v>2250</v>
      </c>
      <c r="L34" s="8"/>
      <c r="M34" s="11">
        <v>66</v>
      </c>
      <c r="N34" s="8">
        <v>5</v>
      </c>
      <c r="O34" s="8">
        <v>5</v>
      </c>
      <c r="P34" s="8">
        <v>5</v>
      </c>
      <c r="Q34" s="8">
        <v>5</v>
      </c>
      <c r="R34" s="8">
        <f t="shared" si="5"/>
        <v>20</v>
      </c>
      <c r="S34" s="50">
        <f>(D34-I34-J34-L34-M34)*(1-SIMULATOR!G$8)/(R34)+L34/(N34+O34)-K34/(N34+O34)</f>
        <v>586.25</v>
      </c>
      <c r="T34" s="52">
        <f>IF(P34=0,0,(D34-I34-J34-L34-M34)*(1-SIMULATOR!G$8)/(R34))</f>
        <v>811.25</v>
      </c>
      <c r="U34" s="8">
        <v>0</v>
      </c>
      <c r="V34" s="8">
        <f t="shared" si="11"/>
        <v>0</v>
      </c>
      <c r="W34" s="6">
        <f t="shared" si="1"/>
        <v>17391</v>
      </c>
      <c r="X34" s="6">
        <f t="shared" si="6"/>
        <v>17391</v>
      </c>
      <c r="Y34" s="12" t="str">
        <f t="shared" si="7"/>
        <v>OK</v>
      </c>
      <c r="Z34" s="18" t="s">
        <v>61</v>
      </c>
    </row>
    <row r="35" spans="1:26" x14ac:dyDescent="0.3">
      <c r="A35" s="5" t="s">
        <v>32</v>
      </c>
      <c r="B35" s="5" t="s">
        <v>45</v>
      </c>
      <c r="C35" s="7" t="s">
        <v>18</v>
      </c>
      <c r="D35" s="18">
        <v>17665</v>
      </c>
      <c r="E35" s="18" t="s">
        <v>61</v>
      </c>
      <c r="F35" s="11">
        <v>2200</v>
      </c>
      <c r="G35" s="8">
        <v>600</v>
      </c>
      <c r="H35" s="8">
        <f t="shared" si="3"/>
        <v>2800</v>
      </c>
      <c r="I35" s="8">
        <v>550</v>
      </c>
      <c r="J35" s="8">
        <v>550</v>
      </c>
      <c r="K35" s="8">
        <f t="shared" si="4"/>
        <v>2250</v>
      </c>
      <c r="L35" s="8"/>
      <c r="M35" s="11">
        <f>200+140</f>
        <v>340</v>
      </c>
      <c r="N35" s="8">
        <v>5</v>
      </c>
      <c r="O35" s="8">
        <v>5</v>
      </c>
      <c r="P35" s="8">
        <v>5</v>
      </c>
      <c r="Q35" s="8">
        <v>5</v>
      </c>
      <c r="R35" s="8">
        <f t="shared" si="5"/>
        <v>20</v>
      </c>
      <c r="S35" s="50">
        <f>(D35-I35-J35-L35-M35)*(1-SIMULATOR!G$8)/(R35)+L35/(N35+O35)-K35/(N35+O35)</f>
        <v>586.25</v>
      </c>
      <c r="T35" s="52">
        <f>IF(P35=0,0,(D35-I35-J35-L35-M35)*(1-SIMULATOR!G$8)/(R35))</f>
        <v>811.25</v>
      </c>
      <c r="U35" s="8">
        <v>0</v>
      </c>
      <c r="V35" s="8">
        <f t="shared" si="11"/>
        <v>0</v>
      </c>
      <c r="W35" s="6">
        <f t="shared" si="1"/>
        <v>17665</v>
      </c>
      <c r="X35" s="6">
        <f t="shared" si="6"/>
        <v>17665</v>
      </c>
      <c r="Y35" s="12" t="str">
        <f t="shared" si="7"/>
        <v>OK</v>
      </c>
      <c r="Z35" s="18" t="s">
        <v>61</v>
      </c>
    </row>
  </sheetData>
  <sortState xmlns:xlrd2="http://schemas.microsoft.com/office/spreadsheetml/2017/richdata2" ref="B7:Y13">
    <sortCondition ref="B7:B13"/>
  </sortState>
  <conditionalFormatting sqref="Y5:Y35">
    <cfRule type="cellIs" dxfId="1" priority="2" operator="equal">
      <formula>"OK"</formula>
    </cfRule>
  </conditionalFormatting>
  <conditionalFormatting sqref="Z5:Z13">
    <cfRule type="cellIs" dxfId="0" priority="1" operator="equal">
      <formula>"OK"</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71FEE-5ED5-4207-AB7B-D1039E19F35E}">
  <dimension ref="A1:H13"/>
  <sheetViews>
    <sheetView workbookViewId="0">
      <selection activeCell="F2" sqref="F2:F10"/>
    </sheetView>
  </sheetViews>
  <sheetFormatPr defaultRowHeight="14.4" x14ac:dyDescent="0.3"/>
  <cols>
    <col min="1" max="1" width="67.6640625" bestFit="1" customWidth="1"/>
    <col min="2" max="2" width="47.44140625" bestFit="1" customWidth="1"/>
    <col min="3" max="3" width="43" bestFit="1" customWidth="1"/>
    <col min="4" max="4" width="35.21875" bestFit="1" customWidth="1"/>
    <col min="6" max="6" width="10.6640625" bestFit="1" customWidth="1"/>
  </cols>
  <sheetData>
    <row r="1" spans="1:8" x14ac:dyDescent="0.3">
      <c r="A1" s="9" t="s">
        <v>75</v>
      </c>
      <c r="B1" s="32" t="s">
        <v>44</v>
      </c>
      <c r="C1" s="32" t="s">
        <v>43</v>
      </c>
      <c r="D1" s="32" t="s">
        <v>45</v>
      </c>
      <c r="E1" s="9" t="s">
        <v>64</v>
      </c>
      <c r="F1" s="9" t="s">
        <v>76</v>
      </c>
      <c r="G1" s="9" t="s">
        <v>22</v>
      </c>
      <c r="H1" s="9" t="s">
        <v>61</v>
      </c>
    </row>
    <row r="2" spans="1:8" x14ac:dyDescent="0.3">
      <c r="A2" s="5" t="s">
        <v>2</v>
      </c>
      <c r="B2" s="7" t="s">
        <v>9</v>
      </c>
      <c r="C2" s="7" t="s">
        <v>9</v>
      </c>
      <c r="D2" s="5" t="s">
        <v>8</v>
      </c>
      <c r="E2" s="7" t="s">
        <v>21</v>
      </c>
      <c r="F2" s="34">
        <v>0</v>
      </c>
      <c r="G2" s="7" t="s">
        <v>22</v>
      </c>
      <c r="H2" s="7" t="s">
        <v>79</v>
      </c>
    </row>
    <row r="3" spans="1:8" x14ac:dyDescent="0.3">
      <c r="A3" s="5" t="s">
        <v>44</v>
      </c>
      <c r="B3" s="7" t="s">
        <v>10</v>
      </c>
      <c r="C3" s="7" t="s">
        <v>10</v>
      </c>
      <c r="D3" s="5" t="s">
        <v>10</v>
      </c>
      <c r="E3" s="7" t="s">
        <v>22</v>
      </c>
      <c r="F3" s="33">
        <v>0.1</v>
      </c>
    </row>
    <row r="4" spans="1:8" x14ac:dyDescent="0.3">
      <c r="A4" s="5" t="s">
        <v>1</v>
      </c>
      <c r="B4" s="16" t="s">
        <v>11</v>
      </c>
      <c r="C4" s="7" t="s">
        <v>11</v>
      </c>
      <c r="D4" s="5" t="s">
        <v>11</v>
      </c>
      <c r="F4" s="33">
        <v>0.2</v>
      </c>
    </row>
    <row r="5" spans="1:8" x14ac:dyDescent="0.3">
      <c r="A5" s="5" t="s">
        <v>43</v>
      </c>
      <c r="B5" s="7" t="s">
        <v>12</v>
      </c>
      <c r="C5" s="7" t="s">
        <v>12</v>
      </c>
      <c r="D5" s="7" t="s">
        <v>16</v>
      </c>
      <c r="F5" s="33">
        <v>0.3</v>
      </c>
    </row>
    <row r="6" spans="1:8" x14ac:dyDescent="0.3">
      <c r="A6" s="5" t="s">
        <v>41</v>
      </c>
      <c r="B6" s="7" t="s">
        <v>13</v>
      </c>
      <c r="C6" s="7" t="s">
        <v>13</v>
      </c>
      <c r="D6" s="7" t="s">
        <v>18</v>
      </c>
      <c r="F6" s="33">
        <v>0.4</v>
      </c>
    </row>
    <row r="7" spans="1:8" x14ac:dyDescent="0.3">
      <c r="A7" s="5" t="s">
        <v>4</v>
      </c>
      <c r="B7" s="7" t="s">
        <v>81</v>
      </c>
      <c r="C7" s="7" t="s">
        <v>14</v>
      </c>
      <c r="F7" s="33">
        <v>0.5</v>
      </c>
    </row>
    <row r="8" spans="1:8" x14ac:dyDescent="0.3">
      <c r="A8" s="5" t="s">
        <v>3</v>
      </c>
      <c r="B8" s="7" t="s">
        <v>19</v>
      </c>
      <c r="C8" s="7" t="s">
        <v>15</v>
      </c>
      <c r="F8" s="33">
        <v>0.6</v>
      </c>
    </row>
    <row r="9" spans="1:8" x14ac:dyDescent="0.3">
      <c r="A9" s="5" t="s">
        <v>45</v>
      </c>
      <c r="C9" s="7" t="s">
        <v>17</v>
      </c>
      <c r="F9" s="33">
        <v>0.7</v>
      </c>
    </row>
    <row r="10" spans="1:8" x14ac:dyDescent="0.3">
      <c r="A10" s="15" t="s">
        <v>5</v>
      </c>
      <c r="C10" s="7" t="s">
        <v>19</v>
      </c>
      <c r="F10" s="33">
        <v>0.8</v>
      </c>
    </row>
    <row r="11" spans="1:8" x14ac:dyDescent="0.3">
      <c r="A11" s="5" t="s">
        <v>7</v>
      </c>
      <c r="C11" s="7" t="s">
        <v>20</v>
      </c>
    </row>
    <row r="12" spans="1:8" x14ac:dyDescent="0.3">
      <c r="A12" s="5" t="s">
        <v>6</v>
      </c>
    </row>
    <row r="13" spans="1:8" x14ac:dyDescent="0.3">
      <c r="A13" s="5" t="s">
        <v>46</v>
      </c>
    </row>
  </sheetData>
  <sortState xmlns:xlrd2="http://schemas.microsoft.com/office/spreadsheetml/2017/richdata2" ref="A2:A13">
    <sortCondition ref="A2:A13"/>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8</vt:i4>
      </vt:variant>
    </vt:vector>
  </HeadingPairs>
  <TitlesOfParts>
    <vt:vector size="11" baseType="lpstr">
      <vt:lpstr>SIMULATOR</vt:lpstr>
      <vt:lpstr>DATA</vt:lpstr>
      <vt:lpstr>Dropdownlists</vt:lpstr>
      <vt:lpstr>DD_Int_MSc_Fin</vt:lpstr>
      <vt:lpstr>DD_Int_MSc_Man</vt:lpstr>
      <vt:lpstr>DD_MSc_Econ</vt:lpstr>
      <vt:lpstr>n.a.</vt:lpstr>
      <vt:lpstr>No</vt:lpstr>
      <vt:lpstr>Programs</vt:lpstr>
      <vt:lpstr>Scholarship</vt:lpstr>
      <vt:lpstr>Yes_No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2023-11-29T15:51:49Z</dcterms:created>
  <dcterms:modified xsi:type="dcterms:W3CDTF">2024-05-08T13:04:06Z</dcterms:modified>
  <cp:category/>
  <cp:contentStatus/>
</cp:coreProperties>
</file>