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ngnie/Desktop/Capstone/Updated data/"/>
    </mc:Choice>
  </mc:AlternateContent>
  <xr:revisionPtr revIDLastSave="0" documentId="13_ncr:1_{E16F0B0A-5250-4C48-9DD6-0EB8623BAA62}" xr6:coauthVersionLast="47" xr6:coauthVersionMax="47" xr10:uidLastSave="{00000000-0000-0000-0000-000000000000}"/>
  <bookViews>
    <workbookView xWindow="10400" yWindow="500" windowWidth="14860" windowHeight="12740" xr2:uid="{00000000-000D-0000-FFFF-FFFF00000000}"/>
  </bookViews>
  <sheets>
    <sheet name="Workshee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1" i="2" l="1"/>
  <c r="E241" i="2"/>
  <c r="D241" i="2"/>
  <c r="C241" i="2"/>
  <c r="B241" i="2"/>
  <c r="F240" i="2"/>
  <c r="E240" i="2"/>
  <c r="D240" i="2"/>
  <c r="C240" i="2"/>
  <c r="B240" i="2"/>
  <c r="F239" i="2"/>
  <c r="E239" i="2"/>
  <c r="D239" i="2"/>
  <c r="C239" i="2"/>
  <c r="B239" i="2"/>
  <c r="F238" i="2"/>
  <c r="E238" i="2"/>
  <c r="D238" i="2"/>
  <c r="C238" i="2"/>
  <c r="B238" i="2"/>
  <c r="F237" i="2"/>
  <c r="E237" i="2"/>
  <c r="D237" i="2"/>
  <c r="C237" i="2"/>
  <c r="B237" i="2"/>
  <c r="F236" i="2"/>
  <c r="E236" i="2"/>
  <c r="D236" i="2"/>
  <c r="C236" i="2"/>
  <c r="B236" i="2"/>
  <c r="F235" i="2"/>
  <c r="E235" i="2"/>
  <c r="D235" i="2"/>
  <c r="C235" i="2"/>
  <c r="B235" i="2"/>
  <c r="F234" i="2"/>
  <c r="E234" i="2"/>
  <c r="D234" i="2"/>
  <c r="C234" i="2"/>
  <c r="B234" i="2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F229" i="2"/>
  <c r="E229" i="2"/>
  <c r="D229" i="2"/>
  <c r="C229" i="2"/>
  <c r="B229" i="2"/>
  <c r="F228" i="2"/>
  <c r="E228" i="2"/>
  <c r="D228" i="2"/>
  <c r="C228" i="2"/>
  <c r="B228" i="2"/>
  <c r="F227" i="2"/>
  <c r="E227" i="2"/>
  <c r="D227" i="2"/>
  <c r="C227" i="2"/>
  <c r="B227" i="2"/>
  <c r="F226" i="2"/>
  <c r="E226" i="2"/>
  <c r="D226" i="2"/>
  <c r="C226" i="2"/>
  <c r="B226" i="2"/>
  <c r="F225" i="2"/>
  <c r="E225" i="2"/>
  <c r="D225" i="2"/>
  <c r="C225" i="2"/>
  <c r="B225" i="2"/>
  <c r="F224" i="2"/>
  <c r="E224" i="2"/>
  <c r="D224" i="2"/>
  <c r="C224" i="2"/>
  <c r="B224" i="2"/>
  <c r="F223" i="2"/>
  <c r="E223" i="2"/>
  <c r="D223" i="2"/>
  <c r="C223" i="2"/>
  <c r="B223" i="2"/>
  <c r="F222" i="2"/>
  <c r="E222" i="2"/>
  <c r="D222" i="2"/>
  <c r="C222" i="2"/>
  <c r="B222" i="2"/>
  <c r="F221" i="2"/>
  <c r="E221" i="2"/>
  <c r="D221" i="2"/>
  <c r="C221" i="2"/>
  <c r="B221" i="2"/>
  <c r="F220" i="2"/>
  <c r="E220" i="2"/>
  <c r="D220" i="2"/>
  <c r="C220" i="2"/>
  <c r="B220" i="2"/>
  <c r="F219" i="2"/>
  <c r="E219" i="2"/>
  <c r="D219" i="2"/>
  <c r="C219" i="2"/>
  <c r="B219" i="2"/>
  <c r="F218" i="2"/>
  <c r="E218" i="2"/>
  <c r="D218" i="2"/>
  <c r="C218" i="2"/>
  <c r="B218" i="2"/>
  <c r="F217" i="2"/>
  <c r="E217" i="2"/>
  <c r="D217" i="2"/>
  <c r="C217" i="2"/>
  <c r="B217" i="2"/>
  <c r="F216" i="2"/>
  <c r="E216" i="2"/>
  <c r="D216" i="2"/>
  <c r="C216" i="2"/>
  <c r="B216" i="2"/>
  <c r="F215" i="2"/>
  <c r="E215" i="2"/>
  <c r="D215" i="2"/>
  <c r="C215" i="2"/>
  <c r="B215" i="2"/>
  <c r="F214" i="2"/>
  <c r="E214" i="2"/>
  <c r="D214" i="2"/>
  <c r="C214" i="2"/>
  <c r="B214" i="2"/>
  <c r="F213" i="2"/>
  <c r="E213" i="2"/>
  <c r="D213" i="2"/>
  <c r="C213" i="2"/>
  <c r="B213" i="2"/>
  <c r="F212" i="2"/>
  <c r="E212" i="2"/>
  <c r="D212" i="2"/>
  <c r="C212" i="2"/>
  <c r="B212" i="2"/>
  <c r="F211" i="2"/>
  <c r="E211" i="2"/>
  <c r="D211" i="2"/>
  <c r="C211" i="2"/>
  <c r="B211" i="2"/>
  <c r="F210" i="2"/>
  <c r="E210" i="2"/>
  <c r="D210" i="2"/>
  <c r="C210" i="2"/>
  <c r="B210" i="2"/>
  <c r="F209" i="2"/>
  <c r="E209" i="2"/>
  <c r="D209" i="2"/>
  <c r="C209" i="2"/>
  <c r="B209" i="2"/>
  <c r="F208" i="2"/>
  <c r="E208" i="2"/>
  <c r="D208" i="2"/>
  <c r="C208" i="2"/>
  <c r="B208" i="2"/>
  <c r="F207" i="2"/>
  <c r="E207" i="2"/>
  <c r="D207" i="2"/>
  <c r="C207" i="2"/>
  <c r="B207" i="2"/>
  <c r="F206" i="2"/>
  <c r="E206" i="2"/>
  <c r="D206" i="2"/>
  <c r="C206" i="2"/>
  <c r="B206" i="2"/>
  <c r="F205" i="2"/>
  <c r="E205" i="2"/>
  <c r="D205" i="2"/>
  <c r="C205" i="2"/>
  <c r="B205" i="2"/>
  <c r="F204" i="2"/>
  <c r="E204" i="2"/>
  <c r="D204" i="2"/>
  <c r="C204" i="2"/>
  <c r="B204" i="2"/>
  <c r="F203" i="2"/>
  <c r="E203" i="2"/>
  <c r="D203" i="2"/>
  <c r="C203" i="2"/>
  <c r="B203" i="2"/>
  <c r="F202" i="2"/>
  <c r="E202" i="2"/>
  <c r="D202" i="2"/>
  <c r="C202" i="2"/>
  <c r="B202" i="2"/>
  <c r="F201" i="2"/>
  <c r="E201" i="2"/>
  <c r="D201" i="2"/>
  <c r="C201" i="2"/>
  <c r="B201" i="2"/>
  <c r="F200" i="2"/>
  <c r="E200" i="2"/>
  <c r="D200" i="2"/>
  <c r="C200" i="2"/>
  <c r="B200" i="2"/>
  <c r="F199" i="2"/>
  <c r="E199" i="2"/>
  <c r="D199" i="2"/>
  <c r="C199" i="2"/>
  <c r="B199" i="2"/>
  <c r="F198" i="2"/>
  <c r="E198" i="2"/>
  <c r="D198" i="2"/>
  <c r="C198" i="2"/>
  <c r="B198" i="2"/>
  <c r="F197" i="2"/>
  <c r="E197" i="2"/>
  <c r="D197" i="2"/>
  <c r="C197" i="2"/>
  <c r="B197" i="2"/>
  <c r="F196" i="2"/>
  <c r="E196" i="2"/>
  <c r="D196" i="2"/>
  <c r="C196" i="2"/>
  <c r="B196" i="2"/>
  <c r="F195" i="2"/>
  <c r="E195" i="2"/>
  <c r="D195" i="2"/>
  <c r="C195" i="2"/>
  <c r="B195" i="2"/>
  <c r="F194" i="2"/>
  <c r="E194" i="2"/>
  <c r="D194" i="2"/>
  <c r="C194" i="2"/>
  <c r="B194" i="2"/>
  <c r="F193" i="2"/>
  <c r="E193" i="2"/>
  <c r="D193" i="2"/>
  <c r="C193" i="2"/>
  <c r="B193" i="2"/>
  <c r="F192" i="2"/>
  <c r="E192" i="2"/>
  <c r="D192" i="2"/>
  <c r="C192" i="2"/>
  <c r="B192" i="2"/>
  <c r="F191" i="2"/>
  <c r="E191" i="2"/>
  <c r="D191" i="2"/>
  <c r="C191" i="2"/>
  <c r="B191" i="2"/>
  <c r="F190" i="2"/>
  <c r="E190" i="2"/>
  <c r="D190" i="2"/>
  <c r="C190" i="2"/>
  <c r="B190" i="2"/>
  <c r="F189" i="2"/>
  <c r="E189" i="2"/>
  <c r="D189" i="2"/>
  <c r="C189" i="2"/>
  <c r="B189" i="2"/>
  <c r="F188" i="2"/>
  <c r="E188" i="2"/>
  <c r="D188" i="2"/>
  <c r="C188" i="2"/>
  <c r="B188" i="2"/>
  <c r="F187" i="2"/>
  <c r="E187" i="2"/>
  <c r="D187" i="2"/>
  <c r="C187" i="2"/>
  <c r="B187" i="2"/>
  <c r="F186" i="2"/>
  <c r="E186" i="2"/>
  <c r="D186" i="2"/>
  <c r="C186" i="2"/>
  <c r="B186" i="2"/>
  <c r="F185" i="2"/>
  <c r="E185" i="2"/>
  <c r="D185" i="2"/>
  <c r="C185" i="2"/>
  <c r="B185" i="2"/>
  <c r="F184" i="2"/>
  <c r="E184" i="2"/>
  <c r="D184" i="2"/>
  <c r="C184" i="2"/>
  <c r="B184" i="2"/>
  <c r="F183" i="2"/>
  <c r="E183" i="2"/>
  <c r="D183" i="2"/>
  <c r="C183" i="2"/>
  <c r="B183" i="2"/>
  <c r="F182" i="2"/>
  <c r="E182" i="2"/>
  <c r="D182" i="2"/>
  <c r="C182" i="2"/>
  <c r="B182" i="2"/>
  <c r="F181" i="2"/>
  <c r="E181" i="2"/>
  <c r="D181" i="2"/>
  <c r="C181" i="2"/>
  <c r="B181" i="2"/>
  <c r="F180" i="2"/>
  <c r="E180" i="2"/>
  <c r="D180" i="2"/>
  <c r="C180" i="2"/>
  <c r="B180" i="2"/>
  <c r="F179" i="2"/>
  <c r="E179" i="2"/>
  <c r="D179" i="2"/>
  <c r="C179" i="2"/>
  <c r="B179" i="2"/>
  <c r="F178" i="2"/>
  <c r="E178" i="2"/>
  <c r="D178" i="2"/>
  <c r="C178" i="2"/>
  <c r="B178" i="2"/>
  <c r="F177" i="2"/>
  <c r="E177" i="2"/>
  <c r="D177" i="2"/>
  <c r="C177" i="2"/>
  <c r="B177" i="2"/>
  <c r="F176" i="2"/>
  <c r="E176" i="2"/>
  <c r="D176" i="2"/>
  <c r="C176" i="2"/>
  <c r="B176" i="2"/>
  <c r="F175" i="2"/>
  <c r="E175" i="2"/>
  <c r="D175" i="2"/>
  <c r="C175" i="2"/>
  <c r="B175" i="2"/>
  <c r="F174" i="2"/>
  <c r="E174" i="2"/>
  <c r="D174" i="2"/>
  <c r="C174" i="2"/>
  <c r="B174" i="2"/>
  <c r="F173" i="2"/>
  <c r="E173" i="2"/>
  <c r="D173" i="2"/>
  <c r="C173" i="2"/>
  <c r="B173" i="2"/>
  <c r="F172" i="2"/>
  <c r="E172" i="2"/>
  <c r="D172" i="2"/>
  <c r="C172" i="2"/>
  <c r="B172" i="2"/>
  <c r="F171" i="2"/>
  <c r="E171" i="2"/>
  <c r="D171" i="2"/>
  <c r="C171" i="2"/>
  <c r="B171" i="2"/>
  <c r="F170" i="2"/>
  <c r="E170" i="2"/>
  <c r="D170" i="2"/>
  <c r="C170" i="2"/>
  <c r="B170" i="2"/>
  <c r="F169" i="2"/>
  <c r="E169" i="2"/>
  <c r="D169" i="2"/>
  <c r="C169" i="2"/>
  <c r="B169" i="2"/>
  <c r="F168" i="2"/>
  <c r="E168" i="2"/>
  <c r="D168" i="2"/>
  <c r="C168" i="2"/>
  <c r="B168" i="2"/>
  <c r="F167" i="2"/>
  <c r="E167" i="2"/>
  <c r="D167" i="2"/>
  <c r="C167" i="2"/>
  <c r="B167" i="2"/>
  <c r="F166" i="2"/>
  <c r="E166" i="2"/>
  <c r="D166" i="2"/>
  <c r="C166" i="2"/>
  <c r="B166" i="2"/>
  <c r="F165" i="2"/>
  <c r="E165" i="2"/>
  <c r="D165" i="2"/>
  <c r="C165" i="2"/>
  <c r="B165" i="2"/>
  <c r="F164" i="2"/>
  <c r="E164" i="2"/>
  <c r="D164" i="2"/>
  <c r="C164" i="2"/>
  <c r="B164" i="2"/>
  <c r="F163" i="2"/>
  <c r="E163" i="2"/>
  <c r="D163" i="2"/>
  <c r="C163" i="2"/>
  <c r="B163" i="2"/>
  <c r="F162" i="2"/>
  <c r="E162" i="2"/>
  <c r="D162" i="2"/>
  <c r="C162" i="2"/>
  <c r="B162" i="2"/>
  <c r="F161" i="2"/>
  <c r="E161" i="2"/>
  <c r="D161" i="2"/>
  <c r="C161" i="2"/>
  <c r="B161" i="2"/>
  <c r="F160" i="2"/>
  <c r="E160" i="2"/>
  <c r="D160" i="2"/>
  <c r="C160" i="2"/>
  <c r="B160" i="2"/>
  <c r="F159" i="2"/>
  <c r="E159" i="2"/>
  <c r="D159" i="2"/>
  <c r="C159" i="2"/>
  <c r="B159" i="2"/>
  <c r="F158" i="2"/>
  <c r="E158" i="2"/>
  <c r="D158" i="2"/>
  <c r="C158" i="2"/>
  <c r="B158" i="2"/>
  <c r="F157" i="2"/>
  <c r="E157" i="2"/>
  <c r="D157" i="2"/>
  <c r="C157" i="2"/>
  <c r="B157" i="2"/>
  <c r="F156" i="2"/>
  <c r="E156" i="2"/>
  <c r="D156" i="2"/>
  <c r="C156" i="2"/>
  <c r="B156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F150" i="2"/>
  <c r="E150" i="2"/>
  <c r="D150" i="2"/>
  <c r="C150" i="2"/>
  <c r="B150" i="2"/>
  <c r="F149" i="2"/>
  <c r="E149" i="2"/>
  <c r="D149" i="2"/>
  <c r="C149" i="2"/>
  <c r="B149" i="2"/>
  <c r="F148" i="2"/>
  <c r="E148" i="2"/>
  <c r="D148" i="2"/>
  <c r="C148" i="2"/>
  <c r="B148" i="2"/>
  <c r="F147" i="2"/>
  <c r="E147" i="2"/>
  <c r="D147" i="2"/>
  <c r="C147" i="2"/>
  <c r="B147" i="2"/>
  <c r="F146" i="2"/>
  <c r="E146" i="2"/>
  <c r="D146" i="2"/>
  <c r="C146" i="2"/>
  <c r="B146" i="2"/>
  <c r="F145" i="2"/>
  <c r="E145" i="2"/>
  <c r="D145" i="2"/>
  <c r="C145" i="2"/>
  <c r="B145" i="2"/>
  <c r="F144" i="2"/>
  <c r="E144" i="2"/>
  <c r="D144" i="2"/>
  <c r="C144" i="2"/>
  <c r="B144" i="2"/>
  <c r="F143" i="2"/>
  <c r="E143" i="2"/>
  <c r="D143" i="2"/>
  <c r="C143" i="2"/>
  <c r="B143" i="2"/>
  <c r="F142" i="2"/>
  <c r="E142" i="2"/>
  <c r="D142" i="2"/>
  <c r="C142" i="2"/>
  <c r="B142" i="2"/>
  <c r="F141" i="2"/>
  <c r="E141" i="2"/>
  <c r="D141" i="2"/>
  <c r="C141" i="2"/>
  <c r="B141" i="2"/>
  <c r="F140" i="2"/>
  <c r="E140" i="2"/>
  <c r="D140" i="2"/>
  <c r="C140" i="2"/>
  <c r="B140" i="2"/>
  <c r="F139" i="2"/>
  <c r="E139" i="2"/>
  <c r="D139" i="2"/>
  <c r="C139" i="2"/>
  <c r="B139" i="2"/>
  <c r="F138" i="2"/>
  <c r="E138" i="2"/>
  <c r="D138" i="2"/>
  <c r="C138" i="2"/>
  <c r="B138" i="2"/>
  <c r="F137" i="2"/>
  <c r="E137" i="2"/>
  <c r="D137" i="2"/>
  <c r="C137" i="2"/>
  <c r="B137" i="2"/>
  <c r="F136" i="2"/>
  <c r="E136" i="2"/>
  <c r="D136" i="2"/>
  <c r="C136" i="2"/>
  <c r="B136" i="2"/>
  <c r="F135" i="2"/>
  <c r="E135" i="2"/>
  <c r="D135" i="2"/>
  <c r="C135" i="2"/>
  <c r="B135" i="2"/>
  <c r="F134" i="2"/>
  <c r="E134" i="2"/>
  <c r="D134" i="2"/>
  <c r="C134" i="2"/>
  <c r="B134" i="2"/>
  <c r="F133" i="2"/>
  <c r="E133" i="2"/>
  <c r="D133" i="2"/>
  <c r="C133" i="2"/>
  <c r="B133" i="2"/>
  <c r="F132" i="2"/>
  <c r="E132" i="2"/>
  <c r="D132" i="2"/>
  <c r="C132" i="2"/>
  <c r="B132" i="2"/>
  <c r="F131" i="2"/>
  <c r="E131" i="2"/>
  <c r="D131" i="2"/>
  <c r="C131" i="2"/>
  <c r="B131" i="2"/>
  <c r="F130" i="2"/>
  <c r="E130" i="2"/>
  <c r="D130" i="2"/>
  <c r="C130" i="2"/>
  <c r="B130" i="2"/>
  <c r="F129" i="2"/>
  <c r="E129" i="2"/>
  <c r="D129" i="2"/>
  <c r="C129" i="2"/>
  <c r="B129" i="2"/>
  <c r="F128" i="2"/>
  <c r="E128" i="2"/>
  <c r="D128" i="2"/>
  <c r="C128" i="2"/>
  <c r="B128" i="2"/>
  <c r="F127" i="2"/>
  <c r="E127" i="2"/>
  <c r="D127" i="2"/>
  <c r="C127" i="2"/>
  <c r="B127" i="2"/>
  <c r="F126" i="2"/>
  <c r="E126" i="2"/>
  <c r="D126" i="2"/>
  <c r="C126" i="2"/>
  <c r="B126" i="2"/>
  <c r="F125" i="2"/>
  <c r="E125" i="2"/>
  <c r="D125" i="2"/>
  <c r="C125" i="2"/>
  <c r="B125" i="2"/>
  <c r="F124" i="2"/>
  <c r="E124" i="2"/>
  <c r="D124" i="2"/>
  <c r="C124" i="2"/>
  <c r="B124" i="2"/>
  <c r="F123" i="2"/>
  <c r="E123" i="2"/>
  <c r="D123" i="2"/>
  <c r="C123" i="2"/>
  <c r="B123" i="2"/>
  <c r="F122" i="2"/>
  <c r="E122" i="2"/>
  <c r="D122" i="2"/>
  <c r="C122" i="2"/>
  <c r="B122" i="2"/>
  <c r="F121" i="2"/>
  <c r="E121" i="2"/>
  <c r="D121" i="2"/>
  <c r="C121" i="2"/>
  <c r="B121" i="2"/>
  <c r="F120" i="2"/>
  <c r="E120" i="2"/>
  <c r="D120" i="2"/>
  <c r="C120" i="2"/>
  <c r="B120" i="2"/>
  <c r="F119" i="2"/>
  <c r="E119" i="2"/>
  <c r="D119" i="2"/>
  <c r="C119" i="2"/>
  <c r="B119" i="2"/>
  <c r="F118" i="2"/>
  <c r="E118" i="2"/>
  <c r="D118" i="2"/>
  <c r="C118" i="2"/>
  <c r="B118" i="2"/>
  <c r="F117" i="2"/>
  <c r="E117" i="2"/>
  <c r="D117" i="2"/>
  <c r="C117" i="2"/>
  <c r="B117" i="2"/>
  <c r="F116" i="2"/>
  <c r="E116" i="2"/>
  <c r="D116" i="2"/>
  <c r="C116" i="2"/>
  <c r="B116" i="2"/>
  <c r="F115" i="2"/>
  <c r="E115" i="2"/>
  <c r="D115" i="2"/>
  <c r="C115" i="2"/>
  <c r="B115" i="2"/>
  <c r="F114" i="2"/>
  <c r="E114" i="2"/>
  <c r="D114" i="2"/>
  <c r="C114" i="2"/>
  <c r="B114" i="2"/>
  <c r="F113" i="2"/>
  <c r="E113" i="2"/>
  <c r="D113" i="2"/>
  <c r="C113" i="2"/>
  <c r="B113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3" i="2"/>
  <c r="E103" i="2"/>
  <c r="D103" i="2"/>
  <c r="C103" i="2"/>
  <c r="B103" i="2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5" i="2"/>
  <c r="E85" i="2"/>
  <c r="D85" i="2"/>
  <c r="C85" i="2"/>
  <c r="B85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8" i="2"/>
  <c r="E78" i="2"/>
  <c r="D78" i="2"/>
  <c r="C78" i="2"/>
  <c r="B78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<sst xmlns="http://schemas.openxmlformats.org/spreadsheetml/2006/main" count="6" uniqueCount="6">
  <si>
    <t>Real GDP (qoq %, saar)</t>
  </si>
  <si>
    <t>US Manufacturing &amp; Trade Sales in Nominal Dollars SA</t>
  </si>
  <si>
    <t>US Industrial Production MOM SA</t>
  </si>
  <si>
    <t>ISM Manufacturing Report on Business New Orders SA</t>
  </si>
  <si>
    <t>ISM Manufacturing PMI SA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</si>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</sst>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/>
    <xf numFmtId="0" fontId="0" fillId="0" borderId="0" xfId="0" applyAlignment="1">
      <alignment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1"/>
  <sheetViews>
    <sheetView tabSelected="1" workbookViewId="0"/>
  </sheetViews>
  <sheetFormatPr baseColWidth="10" defaultColWidth="8.83203125" defaultRowHeight="15" x14ac:dyDescent="0.2"/>
  <cols>
    <col min="1" max="1" width="16" bestFit="1" customWidth="1"/>
    <col min="2" max="6" width="9.1640625" bestFit="1" customWidth="1"/>
  </cols>
  <sheetData>
    <row r="1" spans="1:6" s="2" customFormat="1" ht="112" x14ac:dyDescent="0.2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1">
        <v>45412</v>
      </c>
      <c r="B2" t="e">
        <f>NA()</f>
        <v>#N/A</v>
      </c>
      <c r="C2" t="e">
        <f>NA()</f>
        <v>#N/A</v>
      </c>
      <c r="D2">
        <f>0</f>
        <v>0</v>
      </c>
      <c r="E2">
        <f>49.1</f>
        <v>49.1</v>
      </c>
      <c r="F2">
        <f>49.2</f>
        <v>49.2</v>
      </c>
    </row>
    <row r="3" spans="1:6" x14ac:dyDescent="0.2">
      <c r="A3" s="1">
        <v>45382</v>
      </c>
      <c r="B3">
        <f>1.6</f>
        <v>1.6</v>
      </c>
      <c r="C3">
        <f>1858</f>
        <v>1858</v>
      </c>
      <c r="D3">
        <f>0.1</f>
        <v>0.1</v>
      </c>
      <c r="E3">
        <f>51.4</f>
        <v>51.4</v>
      </c>
      <c r="F3">
        <f>50.3</f>
        <v>50.3</v>
      </c>
    </row>
    <row r="4" spans="1:6" x14ac:dyDescent="0.2">
      <c r="A4" s="1">
        <v>45351</v>
      </c>
      <c r="B4" t="e">
        <f>NA()</f>
        <v>#N/A</v>
      </c>
      <c r="C4">
        <f>1860.1</f>
        <v>1860.1</v>
      </c>
      <c r="D4">
        <f>0.8</f>
        <v>0.8</v>
      </c>
      <c r="E4">
        <f>49.2</f>
        <v>49.2</v>
      </c>
      <c r="F4">
        <f>47.8</f>
        <v>47.8</v>
      </c>
    </row>
    <row r="5" spans="1:6" x14ac:dyDescent="0.2">
      <c r="A5" s="1">
        <v>45322</v>
      </c>
      <c r="B5" t="e">
        <f>NA()</f>
        <v>#N/A</v>
      </c>
      <c r="C5">
        <f>1834.8</f>
        <v>1834.8</v>
      </c>
      <c r="D5">
        <f>-0.8</f>
        <v>-0.8</v>
      </c>
      <c r="E5">
        <f>52.5</f>
        <v>52.5</v>
      </c>
      <c r="F5">
        <f>49.1</f>
        <v>49.1</v>
      </c>
    </row>
    <row r="6" spans="1:6" x14ac:dyDescent="0.2">
      <c r="A6" s="1">
        <v>45291</v>
      </c>
      <c r="B6">
        <f>3.4</f>
        <v>3.4</v>
      </c>
      <c r="C6">
        <f>1855.3</f>
        <v>1855.3</v>
      </c>
      <c r="D6">
        <f>-0.3</f>
        <v>-0.3</v>
      </c>
      <c r="E6">
        <f>47</f>
        <v>47</v>
      </c>
      <c r="F6">
        <f>47.1</f>
        <v>47.1</v>
      </c>
    </row>
    <row r="7" spans="1:6" x14ac:dyDescent="0.2">
      <c r="A7" s="1">
        <v>45260</v>
      </c>
      <c r="B7" t="e">
        <f>NA()</f>
        <v>#N/A</v>
      </c>
      <c r="C7">
        <f>1849.4</f>
        <v>1849.4</v>
      </c>
      <c r="D7">
        <f>0.3</f>
        <v>0.3</v>
      </c>
      <c r="E7">
        <f>47.8</f>
        <v>47.8</v>
      </c>
      <c r="F7">
        <f>46.6</f>
        <v>46.6</v>
      </c>
    </row>
    <row r="8" spans="1:6" x14ac:dyDescent="0.2">
      <c r="A8" s="1">
        <v>45230</v>
      </c>
      <c r="B8" t="e">
        <f>NA()</f>
        <v>#N/A</v>
      </c>
      <c r="C8">
        <f>1850.8</f>
        <v>1850.8</v>
      </c>
      <c r="D8">
        <f>-0.7</f>
        <v>-0.7</v>
      </c>
      <c r="E8">
        <f>46.2</f>
        <v>46.2</v>
      </c>
      <c r="F8">
        <f>46.9</f>
        <v>46.9</v>
      </c>
    </row>
    <row r="9" spans="1:6" x14ac:dyDescent="0.2">
      <c r="A9" s="1">
        <v>45199</v>
      </c>
      <c r="B9">
        <f>4.9</f>
        <v>4.9000000000000004</v>
      </c>
      <c r="C9">
        <f>1870.8</f>
        <v>1870.8</v>
      </c>
      <c r="D9">
        <f>0.2</f>
        <v>0.2</v>
      </c>
      <c r="E9">
        <f>48.6</f>
        <v>48.6</v>
      </c>
      <c r="F9">
        <f>48.6</f>
        <v>48.6</v>
      </c>
    </row>
    <row r="10" spans="1:6" x14ac:dyDescent="0.2">
      <c r="A10" s="1">
        <v>45169</v>
      </c>
      <c r="B10" t="e">
        <f>NA()</f>
        <v>#N/A</v>
      </c>
      <c r="C10">
        <f>1851.8</f>
        <v>1851.8</v>
      </c>
      <c r="D10">
        <f>-0.1</f>
        <v>-0.1</v>
      </c>
      <c r="E10">
        <f>46.4</f>
        <v>46.4</v>
      </c>
      <c r="F10">
        <f>47.6</f>
        <v>47.6</v>
      </c>
    </row>
    <row r="11" spans="1:6" x14ac:dyDescent="0.2">
      <c r="A11" s="1">
        <v>45138</v>
      </c>
      <c r="B11" t="e">
        <f>NA()</f>
        <v>#N/A</v>
      </c>
      <c r="C11">
        <f>1828</f>
        <v>1828</v>
      </c>
      <c r="D11">
        <f>0.9</f>
        <v>0.9</v>
      </c>
      <c r="E11">
        <f>47</f>
        <v>47</v>
      </c>
      <c r="F11">
        <f>46.5</f>
        <v>46.5</v>
      </c>
    </row>
    <row r="12" spans="1:6" x14ac:dyDescent="0.2">
      <c r="A12" s="1">
        <v>45107</v>
      </c>
      <c r="B12">
        <f>2.1</f>
        <v>2.1</v>
      </c>
      <c r="C12">
        <f>1814.8</f>
        <v>1814.8</v>
      </c>
      <c r="D12">
        <f>-0.6</f>
        <v>-0.6</v>
      </c>
      <c r="E12">
        <f>45.7</f>
        <v>45.7</v>
      </c>
      <c r="F12">
        <f>46.4</f>
        <v>46.4</v>
      </c>
    </row>
    <row r="13" spans="1:6" x14ac:dyDescent="0.2">
      <c r="A13" s="1">
        <v>45077</v>
      </c>
      <c r="B13" t="e">
        <f>NA()</f>
        <v>#N/A</v>
      </c>
      <c r="C13">
        <f>1822.8</f>
        <v>1822.8</v>
      </c>
      <c r="D13">
        <f>-0.2</f>
        <v>-0.2</v>
      </c>
      <c r="E13">
        <f>42.9</f>
        <v>42.9</v>
      </c>
      <c r="F13">
        <f>46.6</f>
        <v>46.6</v>
      </c>
    </row>
    <row r="14" spans="1:6" x14ac:dyDescent="0.2">
      <c r="A14" s="1">
        <v>45046</v>
      </c>
      <c r="B14" t="e">
        <f>NA()</f>
        <v>#N/A</v>
      </c>
      <c r="C14">
        <f>1822.4</f>
        <v>1822.4</v>
      </c>
      <c r="D14">
        <f>0.5</f>
        <v>0.5</v>
      </c>
      <c r="E14">
        <f>45.5</f>
        <v>45.5</v>
      </c>
      <c r="F14">
        <f>47</f>
        <v>47</v>
      </c>
    </row>
    <row r="15" spans="1:6" x14ac:dyDescent="0.2">
      <c r="A15" s="1">
        <v>45016</v>
      </c>
      <c r="B15">
        <f>2.2</f>
        <v>2.2000000000000002</v>
      </c>
      <c r="C15">
        <f>1819.1</f>
        <v>1819.1</v>
      </c>
      <c r="D15">
        <f>0.1</f>
        <v>0.1</v>
      </c>
      <c r="E15">
        <f>44.6</f>
        <v>44.6</v>
      </c>
      <c r="F15">
        <f>46.5</f>
        <v>46.5</v>
      </c>
    </row>
    <row r="16" spans="1:6" x14ac:dyDescent="0.2">
      <c r="A16" s="1">
        <v>44985</v>
      </c>
      <c r="B16" t="e">
        <f>NA()</f>
        <v>#N/A</v>
      </c>
      <c r="C16">
        <f>1844.7</f>
        <v>1844.7</v>
      </c>
      <c r="D16">
        <f>0</f>
        <v>0</v>
      </c>
      <c r="E16">
        <f>47</f>
        <v>47</v>
      </c>
      <c r="F16">
        <f>47.7</f>
        <v>47.7</v>
      </c>
    </row>
    <row r="17" spans="1:6" x14ac:dyDescent="0.2">
      <c r="A17" s="1">
        <v>44957</v>
      </c>
      <c r="B17" t="e">
        <f>NA()</f>
        <v>#N/A</v>
      </c>
      <c r="C17">
        <f>1857.9</f>
        <v>1857.9</v>
      </c>
      <c r="D17">
        <f>1</f>
        <v>1</v>
      </c>
      <c r="E17">
        <f>42.8</f>
        <v>42.8</v>
      </c>
      <c r="F17">
        <f>47.4</f>
        <v>47.4</v>
      </c>
    </row>
    <row r="18" spans="1:6" x14ac:dyDescent="0.2">
      <c r="A18" s="1">
        <v>44926</v>
      </c>
      <c r="B18">
        <f>2.6</f>
        <v>2.6</v>
      </c>
      <c r="C18">
        <f>1818.7</f>
        <v>1818.7</v>
      </c>
      <c r="D18">
        <f>-1.5</f>
        <v>-1.5</v>
      </c>
      <c r="E18">
        <f>44.9</f>
        <v>44.9</v>
      </c>
      <c r="F18">
        <f>48.1</f>
        <v>48.1</v>
      </c>
    </row>
    <row r="19" spans="1:6" x14ac:dyDescent="0.2">
      <c r="A19" s="1">
        <v>44895</v>
      </c>
      <c r="B19" t="e">
        <f>NA()</f>
        <v>#N/A</v>
      </c>
      <c r="C19">
        <f>1833.5</f>
        <v>1833.5</v>
      </c>
      <c r="D19">
        <f>-0.3</f>
        <v>-0.3</v>
      </c>
      <c r="E19">
        <f>46.4</f>
        <v>46.4</v>
      </c>
      <c r="F19">
        <f>48.9</f>
        <v>48.9</v>
      </c>
    </row>
    <row r="20" spans="1:6" x14ac:dyDescent="0.2">
      <c r="A20" s="1">
        <v>44865</v>
      </c>
      <c r="B20" t="e">
        <f>NA()</f>
        <v>#N/A</v>
      </c>
      <c r="C20">
        <f>1852.9</f>
        <v>1852.9</v>
      </c>
      <c r="D20">
        <f>-0.1</f>
        <v>-0.1</v>
      </c>
      <c r="E20">
        <f>48.7</f>
        <v>48.7</v>
      </c>
      <c r="F20">
        <f>50</f>
        <v>50</v>
      </c>
    </row>
    <row r="21" spans="1:6" x14ac:dyDescent="0.2">
      <c r="A21" s="1">
        <v>44834</v>
      </c>
      <c r="B21">
        <f>2.7</f>
        <v>2.7</v>
      </c>
      <c r="C21">
        <f>1842.2</f>
        <v>1842.2</v>
      </c>
      <c r="D21">
        <f>0.3</f>
        <v>0.3</v>
      </c>
      <c r="E21">
        <f>46.9</f>
        <v>46.9</v>
      </c>
      <c r="F21">
        <f>50.8</f>
        <v>50.8</v>
      </c>
    </row>
    <row r="22" spans="1:6" x14ac:dyDescent="0.2">
      <c r="A22" s="1">
        <v>44804</v>
      </c>
      <c r="B22" t="e">
        <f>NA()</f>
        <v>#N/A</v>
      </c>
      <c r="C22">
        <f>1846.2</f>
        <v>1846.2</v>
      </c>
      <c r="D22">
        <f>0.1</f>
        <v>0.1</v>
      </c>
      <c r="E22">
        <f>50.1</f>
        <v>50.1</v>
      </c>
      <c r="F22">
        <f>52.8</f>
        <v>52.8</v>
      </c>
    </row>
    <row r="23" spans="1:6" x14ac:dyDescent="0.2">
      <c r="A23" s="1">
        <v>44773</v>
      </c>
      <c r="B23" t="e">
        <f>NA()</f>
        <v>#N/A</v>
      </c>
      <c r="C23">
        <f>1850.2</f>
        <v>1850.2</v>
      </c>
      <c r="D23">
        <f>0.4</f>
        <v>0.4</v>
      </c>
      <c r="E23">
        <f>48.4</f>
        <v>48.4</v>
      </c>
      <c r="F23">
        <f>52.8</f>
        <v>52.8</v>
      </c>
    </row>
    <row r="24" spans="1:6" x14ac:dyDescent="0.2">
      <c r="A24" s="1">
        <v>44742</v>
      </c>
      <c r="B24">
        <f>-0.6</f>
        <v>-0.6</v>
      </c>
      <c r="C24">
        <f>1877.4</f>
        <v>1877.4</v>
      </c>
      <c r="D24">
        <f>-0.1</f>
        <v>-0.1</v>
      </c>
      <c r="E24">
        <f>50</f>
        <v>50</v>
      </c>
      <c r="F24">
        <f>53.4</f>
        <v>53.4</v>
      </c>
    </row>
    <row r="25" spans="1:6" x14ac:dyDescent="0.2">
      <c r="A25" s="1">
        <v>44712</v>
      </c>
      <c r="B25" t="e">
        <f>NA()</f>
        <v>#N/A</v>
      </c>
      <c r="C25">
        <f>1852.6</f>
        <v>1852.6</v>
      </c>
      <c r="D25">
        <f>0</f>
        <v>0</v>
      </c>
      <c r="E25">
        <f>55.3</f>
        <v>55.3</v>
      </c>
      <c r="F25">
        <f>56.1</f>
        <v>56.1</v>
      </c>
    </row>
    <row r="26" spans="1:6" x14ac:dyDescent="0.2">
      <c r="A26" s="1">
        <v>44681</v>
      </c>
      <c r="B26" t="e">
        <f>NA()</f>
        <v>#N/A</v>
      </c>
      <c r="C26">
        <f>1846.7</f>
        <v>1846.7</v>
      </c>
      <c r="D26">
        <f>0.3</f>
        <v>0.3</v>
      </c>
      <c r="E26">
        <f>53.7</f>
        <v>53.7</v>
      </c>
      <c r="F26">
        <f>55.6</f>
        <v>55.6</v>
      </c>
    </row>
    <row r="27" spans="1:6" x14ac:dyDescent="0.2">
      <c r="A27" s="1">
        <v>44651</v>
      </c>
      <c r="B27">
        <f>-2</f>
        <v>-2</v>
      </c>
      <c r="C27">
        <f>1836.2</f>
        <v>1836.2</v>
      </c>
      <c r="D27">
        <f>0.8</f>
        <v>0.8</v>
      </c>
      <c r="E27">
        <f>54.5</f>
        <v>54.5</v>
      </c>
      <c r="F27">
        <f>57.3</f>
        <v>57.3</v>
      </c>
    </row>
    <row r="28" spans="1:6" x14ac:dyDescent="0.2">
      <c r="A28" s="1">
        <v>44620</v>
      </c>
      <c r="B28" t="e">
        <f>NA()</f>
        <v>#N/A</v>
      </c>
      <c r="C28">
        <f>1792.8</f>
        <v>1792.8</v>
      </c>
      <c r="D28">
        <f>0.6</f>
        <v>0.6</v>
      </c>
      <c r="E28">
        <f>61.3</f>
        <v>61.3</v>
      </c>
      <c r="F28">
        <f>58.3</f>
        <v>58.3</v>
      </c>
    </row>
    <row r="29" spans="1:6" x14ac:dyDescent="0.2">
      <c r="A29" s="1">
        <v>44592</v>
      </c>
      <c r="B29" t="e">
        <f>NA()</f>
        <v>#N/A</v>
      </c>
      <c r="C29">
        <f>1775.4</f>
        <v>1775.4</v>
      </c>
      <c r="D29">
        <f>0.1</f>
        <v>0.1</v>
      </c>
      <c r="E29">
        <f>58.7</f>
        <v>58.7</v>
      </c>
      <c r="F29">
        <f>57.4</f>
        <v>57.4</v>
      </c>
    </row>
    <row r="30" spans="1:6" x14ac:dyDescent="0.2">
      <c r="A30" s="1">
        <v>44561</v>
      </c>
      <c r="B30">
        <f>7</f>
        <v>7</v>
      </c>
      <c r="C30">
        <f>1727.9</f>
        <v>1727.9</v>
      </c>
      <c r="D30">
        <f>-0.3</f>
        <v>-0.3</v>
      </c>
      <c r="E30">
        <f>60.6</f>
        <v>60.6</v>
      </c>
      <c r="F30">
        <f>58.3</f>
        <v>58.3</v>
      </c>
    </row>
    <row r="31" spans="1:6" x14ac:dyDescent="0.2">
      <c r="A31" s="1">
        <v>44530</v>
      </c>
      <c r="B31" t="e">
        <f>NA()</f>
        <v>#N/A</v>
      </c>
      <c r="C31">
        <f>1723.4</f>
        <v>1723.4</v>
      </c>
      <c r="D31">
        <f>0.9</f>
        <v>0.9</v>
      </c>
      <c r="E31">
        <f>60.7</f>
        <v>60.7</v>
      </c>
      <c r="F31">
        <f>60.7</f>
        <v>60.7</v>
      </c>
    </row>
    <row r="32" spans="1:6" x14ac:dyDescent="0.2">
      <c r="A32" s="1">
        <v>44500</v>
      </c>
      <c r="B32" t="e">
        <f>NA()</f>
        <v>#N/A</v>
      </c>
      <c r="C32">
        <f>1696.1</f>
        <v>1696.1</v>
      </c>
      <c r="D32">
        <f>1.3</f>
        <v>1.3</v>
      </c>
      <c r="E32">
        <f>60.2</f>
        <v>60.2</v>
      </c>
      <c r="F32">
        <f>60.5</f>
        <v>60.5</v>
      </c>
    </row>
    <row r="33" spans="1:6" x14ac:dyDescent="0.2">
      <c r="A33" s="1">
        <v>44469</v>
      </c>
      <c r="B33">
        <f>3.3</f>
        <v>3.3</v>
      </c>
      <c r="C33">
        <f>1661.6</f>
        <v>1661.6</v>
      </c>
      <c r="D33">
        <f>-1.1</f>
        <v>-1.1000000000000001</v>
      </c>
      <c r="E33">
        <f>64.2</f>
        <v>64.2</v>
      </c>
      <c r="F33">
        <f>60.5</f>
        <v>60.5</v>
      </c>
    </row>
    <row r="34" spans="1:6" x14ac:dyDescent="0.2">
      <c r="A34" s="1">
        <v>44439</v>
      </c>
      <c r="B34" t="e">
        <f>NA()</f>
        <v>#N/A</v>
      </c>
      <c r="C34">
        <f>1644.8</f>
        <v>1644.8</v>
      </c>
      <c r="D34">
        <f>0</f>
        <v>0</v>
      </c>
      <c r="E34">
        <f>63.8</f>
        <v>63.8</v>
      </c>
      <c r="F34">
        <f>59.6</f>
        <v>59.6</v>
      </c>
    </row>
    <row r="35" spans="1:6" x14ac:dyDescent="0.2">
      <c r="A35" s="1">
        <v>44408</v>
      </c>
      <c r="B35" t="e">
        <f>NA()</f>
        <v>#N/A</v>
      </c>
      <c r="C35">
        <f>1648.4</f>
        <v>1648.4</v>
      </c>
      <c r="D35">
        <f>0.6</f>
        <v>0.6</v>
      </c>
      <c r="E35">
        <f>65.5</f>
        <v>65.5</v>
      </c>
      <c r="F35">
        <f>60</f>
        <v>60</v>
      </c>
    </row>
    <row r="36" spans="1:6" x14ac:dyDescent="0.2">
      <c r="A36" s="1">
        <v>44377</v>
      </c>
      <c r="B36">
        <f>6.2</f>
        <v>6.2</v>
      </c>
      <c r="C36">
        <f>1633</f>
        <v>1633</v>
      </c>
      <c r="D36">
        <f>0.4</f>
        <v>0.4</v>
      </c>
      <c r="E36">
        <f>67.2</f>
        <v>67.2</v>
      </c>
      <c r="F36">
        <f>61.4</f>
        <v>61.4</v>
      </c>
    </row>
    <row r="37" spans="1:6" x14ac:dyDescent="0.2">
      <c r="A37" s="1">
        <v>44347</v>
      </c>
      <c r="B37" t="e">
        <f>NA()</f>
        <v>#N/A</v>
      </c>
      <c r="C37">
        <f>1609.5</f>
        <v>1609.5</v>
      </c>
      <c r="D37">
        <f>0.9</f>
        <v>0.9</v>
      </c>
      <c r="E37">
        <f>66.4</f>
        <v>66.400000000000006</v>
      </c>
      <c r="F37">
        <f>61.7</f>
        <v>61.7</v>
      </c>
    </row>
    <row r="38" spans="1:6" x14ac:dyDescent="0.2">
      <c r="A38" s="1">
        <v>44316</v>
      </c>
      <c r="B38" t="e">
        <f>NA()</f>
        <v>#N/A</v>
      </c>
      <c r="C38">
        <f>1611.1</f>
        <v>1611.1</v>
      </c>
      <c r="D38">
        <f>0.2</f>
        <v>0.2</v>
      </c>
      <c r="E38">
        <f>64.8</f>
        <v>64.8</v>
      </c>
      <c r="F38">
        <f>60.9</f>
        <v>60.9</v>
      </c>
    </row>
    <row r="39" spans="1:6" x14ac:dyDescent="0.2">
      <c r="A39" s="1">
        <v>44286</v>
      </c>
      <c r="B39">
        <f>5.2</f>
        <v>5.2</v>
      </c>
      <c r="C39">
        <f>1590.6</f>
        <v>1590.6</v>
      </c>
      <c r="D39">
        <f>2.9</f>
        <v>2.9</v>
      </c>
      <c r="E39">
        <f>67.4</f>
        <v>67.400000000000006</v>
      </c>
      <c r="F39">
        <f>64</f>
        <v>64</v>
      </c>
    </row>
    <row r="40" spans="1:6" x14ac:dyDescent="0.2">
      <c r="A40" s="1">
        <v>44255</v>
      </c>
      <c r="B40" t="e">
        <f>NA()</f>
        <v>#N/A</v>
      </c>
      <c r="C40">
        <f>1507.4</f>
        <v>1507.4</v>
      </c>
      <c r="D40">
        <f>-3.5</f>
        <v>-3.5</v>
      </c>
      <c r="E40">
        <f>66.1</f>
        <v>66.099999999999994</v>
      </c>
      <c r="F40">
        <f>60.7</f>
        <v>60.7</v>
      </c>
    </row>
    <row r="41" spans="1:6" x14ac:dyDescent="0.2">
      <c r="A41" s="1">
        <v>44227</v>
      </c>
      <c r="B41" t="e">
        <f>NA()</f>
        <v>#N/A</v>
      </c>
      <c r="C41">
        <f>1533.3</f>
        <v>1533.3</v>
      </c>
      <c r="D41">
        <f>0.8</f>
        <v>0.8</v>
      </c>
      <c r="E41">
        <f>64.4</f>
        <v>64.400000000000006</v>
      </c>
      <c r="F41">
        <f>59.2</f>
        <v>59.2</v>
      </c>
    </row>
    <row r="42" spans="1:6" x14ac:dyDescent="0.2">
      <c r="A42" s="1">
        <v>44196</v>
      </c>
      <c r="B42">
        <f>4.2</f>
        <v>4.2</v>
      </c>
      <c r="C42">
        <f>1482.6</f>
        <v>1482.6</v>
      </c>
      <c r="D42">
        <f>1.2</f>
        <v>1.2</v>
      </c>
      <c r="E42">
        <f>67.2</f>
        <v>67.2</v>
      </c>
      <c r="F42">
        <f>60.2</f>
        <v>60.2</v>
      </c>
    </row>
    <row r="43" spans="1:6" x14ac:dyDescent="0.2">
      <c r="A43" s="1">
        <v>44165</v>
      </c>
      <c r="B43" t="e">
        <f>NA()</f>
        <v>#N/A</v>
      </c>
      <c r="C43">
        <f>1451.1</f>
        <v>1451.1</v>
      </c>
      <c r="D43">
        <f>0.4</f>
        <v>0.4</v>
      </c>
      <c r="E43">
        <f>64.8</f>
        <v>64.8</v>
      </c>
      <c r="F43">
        <f>57.3</f>
        <v>57.3</v>
      </c>
    </row>
    <row r="44" spans="1:6" x14ac:dyDescent="0.2">
      <c r="A44" s="1">
        <v>44135</v>
      </c>
      <c r="B44" t="e">
        <f>NA()</f>
        <v>#N/A</v>
      </c>
      <c r="C44">
        <f>1446.3</f>
        <v>1446.3</v>
      </c>
      <c r="D44">
        <f>0.6</f>
        <v>0.6</v>
      </c>
      <c r="E44">
        <f>66.6</f>
        <v>66.599999999999994</v>
      </c>
      <c r="F44">
        <f>58.7</f>
        <v>58.7</v>
      </c>
    </row>
    <row r="45" spans="1:6" x14ac:dyDescent="0.2">
      <c r="A45" s="1">
        <v>44104</v>
      </c>
      <c r="B45">
        <f>34.8</f>
        <v>34.799999999999997</v>
      </c>
      <c r="C45">
        <f>1430.6</f>
        <v>1430.6</v>
      </c>
      <c r="D45">
        <f>0</f>
        <v>0</v>
      </c>
      <c r="E45">
        <f>59.9</f>
        <v>59.9</v>
      </c>
      <c r="F45">
        <f>55.5</f>
        <v>55.5</v>
      </c>
    </row>
    <row r="46" spans="1:6" x14ac:dyDescent="0.2">
      <c r="A46" s="1">
        <v>44074</v>
      </c>
      <c r="B46" t="e">
        <f>NA()</f>
        <v>#N/A</v>
      </c>
      <c r="C46">
        <f>1417.6</f>
        <v>1417.6</v>
      </c>
      <c r="D46">
        <f>0.9</f>
        <v>0.9</v>
      </c>
      <c r="E46">
        <f>64.4</f>
        <v>64.400000000000006</v>
      </c>
      <c r="F46">
        <f>55.4</f>
        <v>55.4</v>
      </c>
    </row>
    <row r="47" spans="1:6" x14ac:dyDescent="0.2">
      <c r="A47" s="1">
        <v>44043</v>
      </c>
      <c r="B47" t="e">
        <f>NA()</f>
        <v>#N/A</v>
      </c>
      <c r="C47">
        <f>1405.3</f>
        <v>1405.3</v>
      </c>
      <c r="D47">
        <f>3.8</f>
        <v>3.8</v>
      </c>
      <c r="E47">
        <f>60.9</f>
        <v>60.9</v>
      </c>
      <c r="F47">
        <f>53.8</f>
        <v>53.8</v>
      </c>
    </row>
    <row r="48" spans="1:6" x14ac:dyDescent="0.2">
      <c r="A48" s="1">
        <v>44012</v>
      </c>
      <c r="B48">
        <f>-28</f>
        <v>-28</v>
      </c>
      <c r="C48">
        <f>1353.3</f>
        <v>1353.3</v>
      </c>
      <c r="D48">
        <f>6.5</f>
        <v>6.5</v>
      </c>
      <c r="E48">
        <f>57.1</f>
        <v>57.1</v>
      </c>
      <c r="F48">
        <f>52.6</f>
        <v>52.6</v>
      </c>
    </row>
    <row r="49" spans="1:6" x14ac:dyDescent="0.2">
      <c r="A49" s="1">
        <v>43982</v>
      </c>
      <c r="B49" t="e">
        <f>NA()</f>
        <v>#N/A</v>
      </c>
      <c r="C49">
        <f>1242.8</f>
        <v>1242.8</v>
      </c>
      <c r="D49">
        <f>1.6</f>
        <v>1.6</v>
      </c>
      <c r="E49">
        <f>32.3</f>
        <v>32.299999999999997</v>
      </c>
      <c r="F49">
        <f>43.5</f>
        <v>43.5</v>
      </c>
    </row>
    <row r="50" spans="1:6" x14ac:dyDescent="0.2">
      <c r="A50" s="1">
        <v>43951</v>
      </c>
      <c r="B50" t="e">
        <f>NA()</f>
        <v>#N/A</v>
      </c>
      <c r="C50">
        <f>1143.7</f>
        <v>1143.7</v>
      </c>
      <c r="D50">
        <f>-13.4</f>
        <v>-13.4</v>
      </c>
      <c r="E50">
        <f>27.3</f>
        <v>27.3</v>
      </c>
      <c r="F50">
        <f>41.8</f>
        <v>41.8</v>
      </c>
    </row>
    <row r="51" spans="1:6" x14ac:dyDescent="0.2">
      <c r="A51" s="1">
        <v>43921</v>
      </c>
      <c r="B51">
        <f>-5.3</f>
        <v>-5.3</v>
      </c>
      <c r="C51">
        <f>1338.6</f>
        <v>1338.6</v>
      </c>
      <c r="D51">
        <f>-3.9</f>
        <v>-3.9</v>
      </c>
      <c r="E51">
        <f>42.4</f>
        <v>42.4</v>
      </c>
      <c r="F51">
        <f>49</f>
        <v>49</v>
      </c>
    </row>
    <row r="52" spans="1:6" x14ac:dyDescent="0.2">
      <c r="A52" s="1">
        <v>43890</v>
      </c>
      <c r="B52" t="e">
        <f>NA()</f>
        <v>#N/A</v>
      </c>
      <c r="C52">
        <f>1419.9</f>
        <v>1419.9</v>
      </c>
      <c r="D52">
        <f>0.3</f>
        <v>0.3</v>
      </c>
      <c r="E52">
        <f>50.8</f>
        <v>50.8</v>
      </c>
      <c r="F52">
        <f>50.1</f>
        <v>50.1</v>
      </c>
    </row>
    <row r="53" spans="1:6" x14ac:dyDescent="0.2">
      <c r="A53" s="1">
        <v>43861</v>
      </c>
      <c r="B53" t="e">
        <f>NA()</f>
        <v>#N/A</v>
      </c>
      <c r="C53">
        <f>1425.5</f>
        <v>1425.5</v>
      </c>
      <c r="D53">
        <f>-0.5</f>
        <v>-0.5</v>
      </c>
      <c r="E53">
        <f>53.6</f>
        <v>53.6</v>
      </c>
      <c r="F53">
        <f>51.4</f>
        <v>51.4</v>
      </c>
    </row>
    <row r="54" spans="1:6" x14ac:dyDescent="0.2">
      <c r="A54" s="1">
        <v>43830</v>
      </c>
      <c r="B54">
        <f>2.6</f>
        <v>2.6</v>
      </c>
      <c r="C54">
        <f>1428.6</f>
        <v>1428.6</v>
      </c>
      <c r="D54">
        <f>-0.3</f>
        <v>-0.3</v>
      </c>
      <c r="E54">
        <f>47.6</f>
        <v>47.6</v>
      </c>
      <c r="F54">
        <f>47.9</f>
        <v>47.9</v>
      </c>
    </row>
    <row r="55" spans="1:6" x14ac:dyDescent="0.2">
      <c r="A55" s="1">
        <v>43799</v>
      </c>
      <c r="B55" t="e">
        <f>NA()</f>
        <v>#N/A</v>
      </c>
      <c r="C55">
        <f>1429.7</f>
        <v>1429.7</v>
      </c>
      <c r="D55">
        <f>0.5</f>
        <v>0.5</v>
      </c>
      <c r="E55">
        <f>47.8</f>
        <v>47.8</v>
      </c>
      <c r="F55">
        <f>48.1</f>
        <v>48.1</v>
      </c>
    </row>
    <row r="56" spans="1:6" x14ac:dyDescent="0.2">
      <c r="A56" s="1">
        <v>43769</v>
      </c>
      <c r="B56" t="e">
        <f>NA()</f>
        <v>#N/A</v>
      </c>
      <c r="C56">
        <f>1422.2</f>
        <v>1422.2</v>
      </c>
      <c r="D56">
        <f>-0.9</f>
        <v>-0.9</v>
      </c>
      <c r="E56">
        <f>48.1</f>
        <v>48.1</v>
      </c>
      <c r="F56">
        <f>48.1</f>
        <v>48.1</v>
      </c>
    </row>
    <row r="57" spans="1:6" x14ac:dyDescent="0.2">
      <c r="A57" s="1">
        <v>43738</v>
      </c>
      <c r="B57">
        <f>4.6</f>
        <v>4.5999999999999996</v>
      </c>
      <c r="C57">
        <f>1431.5</f>
        <v>1431.5</v>
      </c>
      <c r="D57">
        <f>-0.2</f>
        <v>-0.2</v>
      </c>
      <c r="E57">
        <f>47.5</f>
        <v>47.5</v>
      </c>
      <c r="F57">
        <f>48.1</f>
        <v>48.1</v>
      </c>
    </row>
    <row r="58" spans="1:6" x14ac:dyDescent="0.2">
      <c r="A58" s="1">
        <v>43708</v>
      </c>
      <c r="B58" t="e">
        <f>NA()</f>
        <v>#N/A</v>
      </c>
      <c r="C58">
        <f>1439.6</f>
        <v>1439.6</v>
      </c>
      <c r="D58">
        <f>0.7</f>
        <v>0.7</v>
      </c>
      <c r="E58">
        <f>46.4</f>
        <v>46.4</v>
      </c>
      <c r="F58">
        <f>48.5</f>
        <v>48.5</v>
      </c>
    </row>
    <row r="59" spans="1:6" x14ac:dyDescent="0.2">
      <c r="A59" s="1">
        <v>43677</v>
      </c>
      <c r="B59" t="e">
        <f>NA()</f>
        <v>#N/A</v>
      </c>
      <c r="C59">
        <f>1441.8</f>
        <v>1441.8</v>
      </c>
      <c r="D59">
        <f>-0.5</f>
        <v>-0.5</v>
      </c>
      <c r="E59">
        <f>50.5</f>
        <v>50.5</v>
      </c>
      <c r="F59">
        <f>51</f>
        <v>51</v>
      </c>
    </row>
    <row r="60" spans="1:6" x14ac:dyDescent="0.2">
      <c r="A60" s="1">
        <v>43646</v>
      </c>
      <c r="B60">
        <f>3.4</f>
        <v>3.4</v>
      </c>
      <c r="C60">
        <f>1439</f>
        <v>1439</v>
      </c>
      <c r="D60">
        <f>0.1</f>
        <v>0.1</v>
      </c>
      <c r="E60">
        <f>50.7</f>
        <v>50.7</v>
      </c>
      <c r="F60">
        <f>51.5</f>
        <v>51.5</v>
      </c>
    </row>
    <row r="61" spans="1:6" x14ac:dyDescent="0.2">
      <c r="A61" s="1">
        <v>43616</v>
      </c>
      <c r="B61" t="e">
        <f>NA()</f>
        <v>#N/A</v>
      </c>
      <c r="C61">
        <f>1447.5</f>
        <v>1447.5</v>
      </c>
      <c r="D61">
        <f>0.2</f>
        <v>0.2</v>
      </c>
      <c r="E61">
        <f>52.5</f>
        <v>52.5</v>
      </c>
      <c r="F61">
        <f>52.6</f>
        <v>52.6</v>
      </c>
    </row>
    <row r="62" spans="1:6" x14ac:dyDescent="0.2">
      <c r="A62" s="1">
        <v>43585</v>
      </c>
      <c r="B62" t="e">
        <f>NA()</f>
        <v>#N/A</v>
      </c>
      <c r="C62">
        <f>1441.3</f>
        <v>1441.3</v>
      </c>
      <c r="D62">
        <f>-0.6</f>
        <v>-0.6</v>
      </c>
      <c r="E62">
        <f>53.5</f>
        <v>53.5</v>
      </c>
      <c r="F62">
        <f>53.6</f>
        <v>53.6</v>
      </c>
    </row>
    <row r="63" spans="1:6" x14ac:dyDescent="0.2">
      <c r="A63" s="1">
        <v>43555</v>
      </c>
      <c r="B63">
        <f>2.2</f>
        <v>2.2000000000000002</v>
      </c>
      <c r="C63">
        <f>1442.5</f>
        <v>1442.5</v>
      </c>
      <c r="D63">
        <f>0</f>
        <v>0</v>
      </c>
      <c r="E63">
        <f>56.6</f>
        <v>56.6</v>
      </c>
      <c r="F63">
        <f>54.9</f>
        <v>54.9</v>
      </c>
    </row>
    <row r="64" spans="1:6" x14ac:dyDescent="0.2">
      <c r="A64" s="1">
        <v>43524</v>
      </c>
      <c r="B64" t="e">
        <f>NA()</f>
        <v>#N/A</v>
      </c>
      <c r="C64">
        <f>1431.6</f>
        <v>1431.6</v>
      </c>
      <c r="D64">
        <f>-0.5</f>
        <v>-0.5</v>
      </c>
      <c r="E64">
        <f>55.9</f>
        <v>55.9</v>
      </c>
      <c r="F64">
        <f>54.4</f>
        <v>54.4</v>
      </c>
    </row>
    <row r="65" spans="1:6" x14ac:dyDescent="0.2">
      <c r="A65" s="1">
        <v>43496</v>
      </c>
      <c r="B65" t="e">
        <f>NA()</f>
        <v>#N/A</v>
      </c>
      <c r="C65">
        <f>1425.7</f>
        <v>1425.7</v>
      </c>
      <c r="D65">
        <f>-0.6</f>
        <v>-0.6</v>
      </c>
      <c r="E65">
        <f>57</f>
        <v>57</v>
      </c>
      <c r="F65">
        <f>55.7</f>
        <v>55.7</v>
      </c>
    </row>
    <row r="66" spans="1:6" x14ac:dyDescent="0.2">
      <c r="A66" s="1">
        <v>43465</v>
      </c>
      <c r="B66">
        <f>0.6</f>
        <v>0.6</v>
      </c>
      <c r="C66">
        <f>1429.4</f>
        <v>1429.4</v>
      </c>
      <c r="D66">
        <f>0</f>
        <v>0</v>
      </c>
      <c r="E66">
        <f>52.5</f>
        <v>52.5</v>
      </c>
      <c r="F66">
        <f>54.9</f>
        <v>54.9</v>
      </c>
    </row>
    <row r="67" spans="1:6" x14ac:dyDescent="0.2">
      <c r="A67" s="1">
        <v>43434</v>
      </c>
      <c r="B67" t="e">
        <f>NA()</f>
        <v>#N/A</v>
      </c>
      <c r="C67">
        <f>1449.3</f>
        <v>1449.3</v>
      </c>
      <c r="D67">
        <f>0.1</f>
        <v>0.1</v>
      </c>
      <c r="E67">
        <f>60.9</f>
        <v>60.9</v>
      </c>
      <c r="F67">
        <f>58.6</f>
        <v>58.6</v>
      </c>
    </row>
    <row r="68" spans="1:6" x14ac:dyDescent="0.2">
      <c r="A68" s="1">
        <v>43404</v>
      </c>
      <c r="B68" t="e">
        <f>NA()</f>
        <v>#N/A</v>
      </c>
      <c r="C68">
        <f>1457.4</f>
        <v>1457.4</v>
      </c>
      <c r="D68">
        <f>-0.2</f>
        <v>-0.2</v>
      </c>
      <c r="E68">
        <f>59.1</f>
        <v>59.1</v>
      </c>
      <c r="F68">
        <f>58.1</f>
        <v>58.1</v>
      </c>
    </row>
    <row r="69" spans="1:6" x14ac:dyDescent="0.2">
      <c r="A69" s="1">
        <v>43373</v>
      </c>
      <c r="B69">
        <f>2.5</f>
        <v>2.5</v>
      </c>
      <c r="C69">
        <f>1452.7</f>
        <v>1452.7</v>
      </c>
      <c r="D69">
        <f>0</f>
        <v>0</v>
      </c>
      <c r="E69">
        <f>61.1</f>
        <v>61.1</v>
      </c>
      <c r="F69">
        <f>59.3</f>
        <v>59.3</v>
      </c>
    </row>
    <row r="70" spans="1:6" x14ac:dyDescent="0.2">
      <c r="A70" s="1">
        <v>43343</v>
      </c>
      <c r="B70" t="e">
        <f>NA()</f>
        <v>#N/A</v>
      </c>
      <c r="C70">
        <f>1451.9</f>
        <v>1451.9</v>
      </c>
      <c r="D70">
        <f>0.7</f>
        <v>0.7</v>
      </c>
      <c r="E70">
        <f>63.8</f>
        <v>63.8</v>
      </c>
      <c r="F70">
        <f>60.5</f>
        <v>60.5</v>
      </c>
    </row>
    <row r="71" spans="1:6" x14ac:dyDescent="0.2">
      <c r="A71" s="1">
        <v>43312</v>
      </c>
      <c r="B71" t="e">
        <f>NA()</f>
        <v>#N/A</v>
      </c>
      <c r="C71">
        <f>1447</f>
        <v>1447</v>
      </c>
      <c r="D71">
        <f>0.1</f>
        <v>0.1</v>
      </c>
      <c r="E71">
        <f>58.9</f>
        <v>58.9</v>
      </c>
      <c r="F71">
        <f>58.1</f>
        <v>58.1</v>
      </c>
    </row>
    <row r="72" spans="1:6" x14ac:dyDescent="0.2">
      <c r="A72" s="1">
        <v>43281</v>
      </c>
      <c r="B72">
        <f>2.1</f>
        <v>2.1</v>
      </c>
      <c r="C72">
        <f>1443.9</f>
        <v>1443.9</v>
      </c>
      <c r="D72">
        <f>0.8</f>
        <v>0.8</v>
      </c>
      <c r="E72">
        <f>64.6</f>
        <v>64.599999999999994</v>
      </c>
      <c r="F72">
        <f>59.9</f>
        <v>59.9</v>
      </c>
    </row>
    <row r="73" spans="1:6" x14ac:dyDescent="0.2">
      <c r="A73" s="1">
        <v>43251</v>
      </c>
      <c r="B73" t="e">
        <f>NA()</f>
        <v>#N/A</v>
      </c>
      <c r="C73">
        <f>1449.5</f>
        <v>1449.5</v>
      </c>
      <c r="D73">
        <f>-0.9</f>
        <v>-0.9</v>
      </c>
      <c r="E73">
        <f>62.7</f>
        <v>62.7</v>
      </c>
      <c r="F73">
        <f>59</f>
        <v>59</v>
      </c>
    </row>
    <row r="74" spans="1:6" x14ac:dyDescent="0.2">
      <c r="A74" s="1">
        <v>43220</v>
      </c>
      <c r="B74" t="e">
        <f>NA()</f>
        <v>#N/A</v>
      </c>
      <c r="C74">
        <f>1426.6</f>
        <v>1426.6</v>
      </c>
      <c r="D74">
        <f>1.1</f>
        <v>1.1000000000000001</v>
      </c>
      <c r="E74">
        <f>62.7</f>
        <v>62.7</v>
      </c>
      <c r="F74">
        <f>58.6</f>
        <v>58.6</v>
      </c>
    </row>
    <row r="75" spans="1:6" x14ac:dyDescent="0.2">
      <c r="A75" s="1">
        <v>43190</v>
      </c>
      <c r="B75">
        <f>3.3</f>
        <v>3.3</v>
      </c>
      <c r="C75">
        <f>1415.6</f>
        <v>1415.6</v>
      </c>
      <c r="D75">
        <f>0.5</f>
        <v>0.5</v>
      </c>
      <c r="E75">
        <f>61.6</f>
        <v>61.6</v>
      </c>
      <c r="F75">
        <f>58.8</f>
        <v>58.8</v>
      </c>
    </row>
    <row r="76" spans="1:6" x14ac:dyDescent="0.2">
      <c r="A76" s="1">
        <v>43159</v>
      </c>
      <c r="B76" t="e">
        <f>NA()</f>
        <v>#N/A</v>
      </c>
      <c r="C76">
        <f>1416.5</f>
        <v>1416.5</v>
      </c>
      <c r="D76">
        <f>0.4</f>
        <v>0.4</v>
      </c>
      <c r="E76">
        <f>64.9</f>
        <v>64.900000000000006</v>
      </c>
      <c r="F76">
        <f>60.9</f>
        <v>60.9</v>
      </c>
    </row>
    <row r="77" spans="1:6" x14ac:dyDescent="0.2">
      <c r="A77" s="1">
        <v>43131</v>
      </c>
      <c r="B77" t="e">
        <f>NA()</f>
        <v>#N/A</v>
      </c>
      <c r="C77">
        <f>1406.3</f>
        <v>1406.3</v>
      </c>
      <c r="D77">
        <f>-0.1</f>
        <v>-0.1</v>
      </c>
      <c r="E77">
        <f>66.5</f>
        <v>66.5</v>
      </c>
      <c r="F77">
        <f>59.4</f>
        <v>59.4</v>
      </c>
    </row>
    <row r="78" spans="1:6" x14ac:dyDescent="0.2">
      <c r="A78" s="1">
        <v>43100</v>
      </c>
      <c r="B78">
        <f>4.6</f>
        <v>4.5999999999999996</v>
      </c>
      <c r="C78">
        <f>1415.9</f>
        <v>1415.9</v>
      </c>
      <c r="D78">
        <f>0.2</f>
        <v>0.2</v>
      </c>
      <c r="E78">
        <f>66.8</f>
        <v>66.8</v>
      </c>
      <c r="F78">
        <f>59.7</f>
        <v>59.7</v>
      </c>
    </row>
    <row r="79" spans="1:6" x14ac:dyDescent="0.2">
      <c r="A79" s="1">
        <v>43069</v>
      </c>
      <c r="B79" t="e">
        <f>NA()</f>
        <v>#N/A</v>
      </c>
      <c r="C79">
        <f>1404.6</f>
        <v>1404.6</v>
      </c>
      <c r="D79">
        <f>0.3</f>
        <v>0.3</v>
      </c>
      <c r="E79">
        <f>63.2</f>
        <v>63.2</v>
      </c>
      <c r="F79">
        <f>57.6</f>
        <v>57.6</v>
      </c>
    </row>
    <row r="80" spans="1:6" x14ac:dyDescent="0.2">
      <c r="A80" s="1">
        <v>43039</v>
      </c>
      <c r="B80" t="e">
        <f>NA()</f>
        <v>#N/A</v>
      </c>
      <c r="C80">
        <f>1384.4</f>
        <v>1384.4</v>
      </c>
      <c r="D80">
        <f>1.2</f>
        <v>1.2</v>
      </c>
      <c r="E80">
        <f>63.7</f>
        <v>63.7</v>
      </c>
      <c r="F80">
        <f>58.6</f>
        <v>58.6</v>
      </c>
    </row>
    <row r="81" spans="1:6" x14ac:dyDescent="0.2">
      <c r="A81" s="1">
        <v>43008</v>
      </c>
      <c r="B81">
        <f>3.2</f>
        <v>3.2</v>
      </c>
      <c r="C81">
        <f>1373.3</f>
        <v>1373.3</v>
      </c>
      <c r="D81">
        <f>0.1</f>
        <v>0.1</v>
      </c>
      <c r="E81">
        <f>64.8</f>
        <v>64.8</v>
      </c>
      <c r="F81">
        <f>60</f>
        <v>60</v>
      </c>
    </row>
    <row r="82" spans="1:6" x14ac:dyDescent="0.2">
      <c r="A82" s="1">
        <v>42978</v>
      </c>
      <c r="B82" t="e">
        <f>NA()</f>
        <v>#N/A</v>
      </c>
      <c r="C82">
        <f>1355.3</f>
        <v>1355.3</v>
      </c>
      <c r="D82">
        <f>-0.4</f>
        <v>-0.4</v>
      </c>
      <c r="E82">
        <f>60.7</f>
        <v>60.7</v>
      </c>
      <c r="F82">
        <f>58.4</f>
        <v>58.4</v>
      </c>
    </row>
    <row r="83" spans="1:6" x14ac:dyDescent="0.2">
      <c r="A83" s="1">
        <v>42947</v>
      </c>
      <c r="B83" t="e">
        <f>NA()</f>
        <v>#N/A</v>
      </c>
      <c r="C83">
        <f>1341.9</f>
        <v>1341.9</v>
      </c>
      <c r="D83">
        <f>-0.2</f>
        <v>-0.2</v>
      </c>
      <c r="E83">
        <f>60.9</f>
        <v>60.9</v>
      </c>
      <c r="F83">
        <f>56.5</f>
        <v>56.5</v>
      </c>
    </row>
    <row r="84" spans="1:6" x14ac:dyDescent="0.2">
      <c r="A84" s="1">
        <v>42916</v>
      </c>
      <c r="B84">
        <f>2.3</f>
        <v>2.2999999999999998</v>
      </c>
      <c r="C84">
        <f>1341.1</f>
        <v>1341.1</v>
      </c>
      <c r="D84">
        <f>0.2</f>
        <v>0.2</v>
      </c>
      <c r="E84">
        <f>60.4</f>
        <v>60.4</v>
      </c>
      <c r="F84">
        <f>56.2</f>
        <v>56.2</v>
      </c>
    </row>
    <row r="85" spans="1:6" x14ac:dyDescent="0.2">
      <c r="A85" s="1">
        <v>42886</v>
      </c>
      <c r="B85" t="e">
        <f>NA()</f>
        <v>#N/A</v>
      </c>
      <c r="C85">
        <f>1336.6</f>
        <v>1336.6</v>
      </c>
      <c r="D85">
        <f>0.1</f>
        <v>0.1</v>
      </c>
      <c r="E85">
        <f>61.5</f>
        <v>61.5</v>
      </c>
      <c r="F85">
        <f>56.4</f>
        <v>56.4</v>
      </c>
    </row>
    <row r="86" spans="1:6" x14ac:dyDescent="0.2">
      <c r="A86" s="1">
        <v>42855</v>
      </c>
      <c r="B86" t="e">
        <f>NA()</f>
        <v>#N/A</v>
      </c>
      <c r="C86">
        <f>1340.9</f>
        <v>1340.9</v>
      </c>
      <c r="D86">
        <f>1</f>
        <v>1</v>
      </c>
      <c r="E86">
        <f>57.4</f>
        <v>57.4</v>
      </c>
      <c r="F86">
        <f>55.8</f>
        <v>55.8</v>
      </c>
    </row>
    <row r="87" spans="1:6" x14ac:dyDescent="0.2">
      <c r="A87" s="1">
        <v>42825</v>
      </c>
      <c r="B87">
        <f>2</f>
        <v>2</v>
      </c>
      <c r="C87">
        <f>1337.8</f>
        <v>1337.8</v>
      </c>
      <c r="D87">
        <f>0.6</f>
        <v>0.6</v>
      </c>
      <c r="E87">
        <f>61.7</f>
        <v>61.7</v>
      </c>
      <c r="F87">
        <f>56.5</f>
        <v>56.5</v>
      </c>
    </row>
    <row r="88" spans="1:6" x14ac:dyDescent="0.2">
      <c r="A88" s="1">
        <v>42794</v>
      </c>
      <c r="B88" t="e">
        <f>NA()</f>
        <v>#N/A</v>
      </c>
      <c r="C88">
        <f>1341.7</f>
        <v>1341.7</v>
      </c>
      <c r="D88">
        <f>-0.4</f>
        <v>-0.4</v>
      </c>
      <c r="E88">
        <f>64.5</f>
        <v>64.5</v>
      </c>
      <c r="F88">
        <f>57.7</f>
        <v>57.7</v>
      </c>
    </row>
    <row r="89" spans="1:6" x14ac:dyDescent="0.2">
      <c r="A89" s="1">
        <v>42766</v>
      </c>
      <c r="B89" t="e">
        <f>NA()</f>
        <v>#N/A</v>
      </c>
      <c r="C89">
        <f>1339.8</f>
        <v>1339.8</v>
      </c>
      <c r="D89">
        <f>-0.2</f>
        <v>-0.2</v>
      </c>
      <c r="E89">
        <f>59.8</f>
        <v>59.8</v>
      </c>
      <c r="F89">
        <f>55.7</f>
        <v>55.7</v>
      </c>
    </row>
    <row r="90" spans="1:6" x14ac:dyDescent="0.2">
      <c r="A90" s="1">
        <v>42735</v>
      </c>
      <c r="B90">
        <f>2.2</f>
        <v>2.2000000000000002</v>
      </c>
      <c r="C90">
        <f>1332.2</f>
        <v>1332.2</v>
      </c>
      <c r="D90">
        <f>0.7</f>
        <v>0.7</v>
      </c>
      <c r="E90">
        <f>59</f>
        <v>59</v>
      </c>
      <c r="F90">
        <f>54.4</f>
        <v>54.4</v>
      </c>
    </row>
    <row r="91" spans="1:6" x14ac:dyDescent="0.2">
      <c r="A91" s="1">
        <v>42704</v>
      </c>
      <c r="B91" t="e">
        <f>NA()</f>
        <v>#N/A</v>
      </c>
      <c r="C91">
        <f>1305.7</f>
        <v>1305.7</v>
      </c>
      <c r="D91">
        <f>-0.4</f>
        <v>-0.4</v>
      </c>
      <c r="E91">
        <f>55.5</f>
        <v>55.5</v>
      </c>
      <c r="F91">
        <f>53.2</f>
        <v>53.2</v>
      </c>
    </row>
    <row r="92" spans="1:6" x14ac:dyDescent="0.2">
      <c r="A92" s="1">
        <v>42674</v>
      </c>
      <c r="B92" t="e">
        <f>NA()</f>
        <v>#N/A</v>
      </c>
      <c r="C92">
        <f>1307.3</f>
        <v>1307.3</v>
      </c>
      <c r="D92">
        <f>0.1</f>
        <v>0.1</v>
      </c>
      <c r="E92">
        <f>54.2</f>
        <v>54.2</v>
      </c>
      <c r="F92">
        <f>51.8</f>
        <v>51.8</v>
      </c>
    </row>
    <row r="93" spans="1:6" x14ac:dyDescent="0.2">
      <c r="A93" s="1">
        <v>42643</v>
      </c>
      <c r="B93">
        <f>2.9</f>
        <v>2.9</v>
      </c>
      <c r="C93">
        <f>1301.4</f>
        <v>1301.4000000000001</v>
      </c>
      <c r="D93">
        <f>-0.1</f>
        <v>-0.1</v>
      </c>
      <c r="E93">
        <f>53.4</f>
        <v>53.4</v>
      </c>
      <c r="F93">
        <f>51.1</f>
        <v>51.1</v>
      </c>
    </row>
    <row r="94" spans="1:6" x14ac:dyDescent="0.2">
      <c r="A94" s="1">
        <v>42613</v>
      </c>
      <c r="B94" t="e">
        <f>NA()</f>
        <v>#N/A</v>
      </c>
      <c r="C94">
        <f>1296.9</f>
        <v>1296.9000000000001</v>
      </c>
      <c r="D94">
        <f>-0.1</f>
        <v>-0.1</v>
      </c>
      <c r="E94">
        <f>51.2</f>
        <v>51.2</v>
      </c>
      <c r="F94">
        <f>49.8</f>
        <v>49.8</v>
      </c>
    </row>
    <row r="95" spans="1:6" x14ac:dyDescent="0.2">
      <c r="A95" s="1">
        <v>42582</v>
      </c>
      <c r="B95" t="e">
        <f>NA()</f>
        <v>#N/A</v>
      </c>
      <c r="C95">
        <f>1292.7</f>
        <v>1292.7</v>
      </c>
      <c r="D95">
        <f>0.1</f>
        <v>0.1</v>
      </c>
      <c r="E95">
        <f>55.9</f>
        <v>55.9</v>
      </c>
      <c r="F95">
        <f>52.7</f>
        <v>52.7</v>
      </c>
    </row>
    <row r="96" spans="1:6" x14ac:dyDescent="0.2">
      <c r="A96" s="1">
        <v>42551</v>
      </c>
      <c r="B96">
        <f>1.3</f>
        <v>1.3</v>
      </c>
      <c r="C96">
        <f>1298.9</f>
        <v>1298.9000000000001</v>
      </c>
      <c r="D96">
        <f>0.5</f>
        <v>0.5</v>
      </c>
      <c r="E96">
        <f>56.3</f>
        <v>56.3</v>
      </c>
      <c r="F96">
        <f>52.2</f>
        <v>52.2</v>
      </c>
    </row>
    <row r="97" spans="1:6" x14ac:dyDescent="0.2">
      <c r="A97" s="1">
        <v>42521</v>
      </c>
      <c r="B97" t="e">
        <f>NA()</f>
        <v>#N/A</v>
      </c>
      <c r="C97">
        <f>1282.3</f>
        <v>1282.3</v>
      </c>
      <c r="D97">
        <f>-0.2</f>
        <v>-0.2</v>
      </c>
      <c r="E97">
        <f>55.1</f>
        <v>55.1</v>
      </c>
      <c r="F97">
        <f>51.4</f>
        <v>51.4</v>
      </c>
    </row>
    <row r="98" spans="1:6" x14ac:dyDescent="0.2">
      <c r="A98" s="1">
        <v>42490</v>
      </c>
      <c r="B98" t="e">
        <f>NA()</f>
        <v>#N/A</v>
      </c>
      <c r="C98">
        <f>1280.3</f>
        <v>1280.3</v>
      </c>
      <c r="D98">
        <f>0.3</f>
        <v>0.3</v>
      </c>
      <c r="E98">
        <f>55.8</f>
        <v>55.8</v>
      </c>
      <c r="F98">
        <f>51.3</f>
        <v>51.3</v>
      </c>
    </row>
    <row r="99" spans="1:6" x14ac:dyDescent="0.2">
      <c r="A99" s="1">
        <v>42460</v>
      </c>
      <c r="B99">
        <f>2.3</f>
        <v>2.2999999999999998</v>
      </c>
      <c r="C99">
        <f>1272.5</f>
        <v>1272.5</v>
      </c>
      <c r="D99">
        <f>-0.7</f>
        <v>-0.7</v>
      </c>
      <c r="E99">
        <f>54.7</f>
        <v>54.7</v>
      </c>
      <c r="F99">
        <f>51</f>
        <v>51</v>
      </c>
    </row>
    <row r="100" spans="1:6" x14ac:dyDescent="0.2">
      <c r="A100" s="1">
        <v>42429</v>
      </c>
      <c r="B100" t="e">
        <f>NA()</f>
        <v>#N/A</v>
      </c>
      <c r="C100">
        <f>1268.8</f>
        <v>1268.8</v>
      </c>
      <c r="D100">
        <f>-0.5</f>
        <v>-0.5</v>
      </c>
      <c r="E100">
        <f>52.1</f>
        <v>52.1</v>
      </c>
      <c r="F100">
        <f>49.2</f>
        <v>49.2</v>
      </c>
    </row>
    <row r="101" spans="1:6" x14ac:dyDescent="0.2">
      <c r="A101" s="1">
        <v>42400</v>
      </c>
      <c r="B101" t="e">
        <f>NA()</f>
        <v>#N/A</v>
      </c>
      <c r="C101">
        <f>1269.2</f>
        <v>1269.2</v>
      </c>
      <c r="D101">
        <f>0.5</f>
        <v>0.5</v>
      </c>
      <c r="E101">
        <f>49.9</f>
        <v>49.9</v>
      </c>
      <c r="F101">
        <f>47.6</f>
        <v>47.6</v>
      </c>
    </row>
    <row r="102" spans="1:6" x14ac:dyDescent="0.2">
      <c r="A102" s="1">
        <v>42369</v>
      </c>
      <c r="B102">
        <f>0.7</f>
        <v>0.7</v>
      </c>
      <c r="C102">
        <f>1277.9</f>
        <v>1277.9000000000001</v>
      </c>
      <c r="D102">
        <f>-0.5</f>
        <v>-0.5</v>
      </c>
      <c r="E102">
        <f>49</f>
        <v>49</v>
      </c>
      <c r="F102">
        <f>48.7</f>
        <v>48.7</v>
      </c>
    </row>
    <row r="103" spans="1:6" x14ac:dyDescent="0.2">
      <c r="A103" s="1">
        <v>42338</v>
      </c>
      <c r="B103" t="e">
        <f>NA()</f>
        <v>#N/A</v>
      </c>
      <c r="C103">
        <f>1290.7</f>
        <v>1290.7</v>
      </c>
      <c r="D103">
        <f>-0.7</f>
        <v>-0.7</v>
      </c>
      <c r="E103">
        <f>50.1</f>
        <v>50.1</v>
      </c>
      <c r="F103">
        <f>49.1</f>
        <v>49.1</v>
      </c>
    </row>
    <row r="104" spans="1:6" x14ac:dyDescent="0.2">
      <c r="A104" s="1">
        <v>42308</v>
      </c>
      <c r="B104" t="e">
        <f>NA()</f>
        <v>#N/A</v>
      </c>
      <c r="C104">
        <f>1297.4</f>
        <v>1297.4000000000001</v>
      </c>
      <c r="D104">
        <f>-0.5</f>
        <v>-0.5</v>
      </c>
      <c r="E104">
        <f>52.1</f>
        <v>52.1</v>
      </c>
      <c r="F104">
        <f>49.1</f>
        <v>49.1</v>
      </c>
    </row>
    <row r="105" spans="1:6" x14ac:dyDescent="0.2">
      <c r="A105" s="1">
        <v>42277</v>
      </c>
      <c r="B105">
        <f>1.6</f>
        <v>1.6</v>
      </c>
      <c r="C105">
        <f>1303.5</f>
        <v>1303.5</v>
      </c>
      <c r="D105">
        <f>-0.3</f>
        <v>-0.3</v>
      </c>
      <c r="E105">
        <f>50.4</f>
        <v>50.4</v>
      </c>
      <c r="F105">
        <f>50.1</f>
        <v>50.1</v>
      </c>
    </row>
    <row r="106" spans="1:6" x14ac:dyDescent="0.2">
      <c r="A106" s="1">
        <v>42247</v>
      </c>
      <c r="B106" t="e">
        <f>NA()</f>
        <v>#N/A</v>
      </c>
      <c r="C106">
        <f>1306.3</f>
        <v>1306.3</v>
      </c>
      <c r="D106">
        <f>-0.2</f>
        <v>-0.2</v>
      </c>
      <c r="E106">
        <f>51.5</f>
        <v>51.5</v>
      </c>
      <c r="F106">
        <f>50.2</f>
        <v>50.2</v>
      </c>
    </row>
    <row r="107" spans="1:6" x14ac:dyDescent="0.2">
      <c r="A107" s="1">
        <v>42216</v>
      </c>
      <c r="B107" t="e">
        <f>NA()</f>
        <v>#N/A</v>
      </c>
      <c r="C107">
        <f>1316.8</f>
        <v>1316.8</v>
      </c>
      <c r="D107">
        <f>0.6</f>
        <v>0.6</v>
      </c>
      <c r="E107">
        <f>52.9</f>
        <v>52.9</v>
      </c>
      <c r="F107">
        <f>52</f>
        <v>52</v>
      </c>
    </row>
    <row r="108" spans="1:6" x14ac:dyDescent="0.2">
      <c r="A108" s="1">
        <v>42185</v>
      </c>
      <c r="B108">
        <f>2.5</f>
        <v>2.5</v>
      </c>
      <c r="C108">
        <f>1315.7</f>
        <v>1315.7</v>
      </c>
      <c r="D108">
        <f>-0.3</f>
        <v>-0.3</v>
      </c>
      <c r="E108">
        <f>54.4</f>
        <v>54.4</v>
      </c>
      <c r="F108">
        <f>52.5</f>
        <v>52.5</v>
      </c>
    </row>
    <row r="109" spans="1:6" x14ac:dyDescent="0.2">
      <c r="A109" s="1">
        <v>42155</v>
      </c>
      <c r="B109" t="e">
        <f>NA()</f>
        <v>#N/A</v>
      </c>
      <c r="C109">
        <f>1310.7</f>
        <v>1310.7</v>
      </c>
      <c r="D109">
        <f>-0.5</f>
        <v>-0.5</v>
      </c>
      <c r="E109">
        <f>53.3</f>
        <v>53.3</v>
      </c>
      <c r="F109">
        <f>52.9</f>
        <v>52.9</v>
      </c>
    </row>
    <row r="110" spans="1:6" x14ac:dyDescent="0.2">
      <c r="A110" s="1">
        <v>42124</v>
      </c>
      <c r="B110" t="e">
        <f>NA()</f>
        <v>#N/A</v>
      </c>
      <c r="C110">
        <f>1310.7</f>
        <v>1310.7</v>
      </c>
      <c r="D110">
        <f>-0.6</f>
        <v>-0.6</v>
      </c>
      <c r="E110">
        <f>52.8</f>
        <v>52.8</v>
      </c>
      <c r="F110">
        <f>51.9</f>
        <v>51.9</v>
      </c>
    </row>
    <row r="111" spans="1:6" x14ac:dyDescent="0.2">
      <c r="A111" s="1">
        <v>42094</v>
      </c>
      <c r="B111">
        <f>3.6</f>
        <v>3.6</v>
      </c>
      <c r="C111">
        <f>1303.5</f>
        <v>1303.5</v>
      </c>
      <c r="D111">
        <f>-0.3</f>
        <v>-0.3</v>
      </c>
      <c r="E111">
        <f>52.6</f>
        <v>52.6</v>
      </c>
      <c r="F111">
        <f>52.1</f>
        <v>52.1</v>
      </c>
    </row>
    <row r="112" spans="1:6" x14ac:dyDescent="0.2">
      <c r="A112" s="1">
        <v>42063</v>
      </c>
      <c r="B112" t="e">
        <f>NA()</f>
        <v>#N/A</v>
      </c>
      <c r="C112">
        <f>1294.9</f>
        <v>1294.9000000000001</v>
      </c>
      <c r="D112">
        <f>-0.7</f>
        <v>-0.7</v>
      </c>
      <c r="E112">
        <f>53.9</f>
        <v>53.9</v>
      </c>
      <c r="F112">
        <f>53</f>
        <v>53</v>
      </c>
    </row>
    <row r="113" spans="1:6" x14ac:dyDescent="0.2">
      <c r="A113" s="1">
        <v>42035</v>
      </c>
      <c r="B113" t="e">
        <f>NA()</f>
        <v>#N/A</v>
      </c>
      <c r="C113">
        <f>1298.3</f>
        <v>1298.3</v>
      </c>
      <c r="D113">
        <f>-0.8</f>
        <v>-0.8</v>
      </c>
      <c r="E113">
        <f>54.3</f>
        <v>54.3</v>
      </c>
      <c r="F113">
        <f>53.9</f>
        <v>53.9</v>
      </c>
    </row>
    <row r="114" spans="1:6" x14ac:dyDescent="0.2">
      <c r="A114" s="1">
        <v>42004</v>
      </c>
      <c r="B114">
        <f>2</f>
        <v>2</v>
      </c>
      <c r="C114">
        <f>1327.8</f>
        <v>1327.8</v>
      </c>
      <c r="D114">
        <f>0</f>
        <v>0</v>
      </c>
      <c r="E114">
        <f>58.2</f>
        <v>58.2</v>
      </c>
      <c r="F114">
        <f>55.7</f>
        <v>55.7</v>
      </c>
    </row>
    <row r="115" spans="1:6" x14ac:dyDescent="0.2">
      <c r="A115" s="1">
        <v>41973</v>
      </c>
      <c r="B115" t="e">
        <f>NA()</f>
        <v>#N/A</v>
      </c>
      <c r="C115">
        <f>1340.3</f>
        <v>1340.3</v>
      </c>
      <c r="D115">
        <f>0.6</f>
        <v>0.6</v>
      </c>
      <c r="E115">
        <f>61.6</f>
        <v>61.6</v>
      </c>
      <c r="F115">
        <f>56.3</f>
        <v>56.3</v>
      </c>
    </row>
    <row r="116" spans="1:6" x14ac:dyDescent="0.2">
      <c r="A116" s="1">
        <v>41943</v>
      </c>
      <c r="B116" t="e">
        <f>NA()</f>
        <v>#N/A</v>
      </c>
      <c r="C116">
        <f>1348.8</f>
        <v>1348.8</v>
      </c>
      <c r="D116">
        <f>0</f>
        <v>0</v>
      </c>
      <c r="E116">
        <f>59.8</f>
        <v>59.8</v>
      </c>
      <c r="F116">
        <f>56.2</f>
        <v>56.2</v>
      </c>
    </row>
    <row r="117" spans="1:6" x14ac:dyDescent="0.2">
      <c r="A117" s="1">
        <v>41912</v>
      </c>
      <c r="B117">
        <f>5</f>
        <v>5</v>
      </c>
      <c r="C117">
        <f>1355.4</f>
        <v>1355.4</v>
      </c>
      <c r="D117">
        <f>0.3</f>
        <v>0.3</v>
      </c>
      <c r="E117">
        <f>58.9</f>
        <v>58.9</v>
      </c>
      <c r="F117">
        <f>55.7</f>
        <v>55.7</v>
      </c>
    </row>
    <row r="118" spans="1:6" x14ac:dyDescent="0.2">
      <c r="A118" s="1">
        <v>41882</v>
      </c>
      <c r="B118" t="e">
        <f>NA()</f>
        <v>#N/A</v>
      </c>
      <c r="C118">
        <f>1359.6</f>
        <v>1359.6</v>
      </c>
      <c r="D118">
        <f>-0.2</f>
        <v>-0.2</v>
      </c>
      <c r="E118">
        <f>60.1</f>
        <v>60.1</v>
      </c>
      <c r="F118">
        <f>56.3</f>
        <v>56.3</v>
      </c>
    </row>
    <row r="119" spans="1:6" x14ac:dyDescent="0.2">
      <c r="A119" s="1">
        <v>41851</v>
      </c>
      <c r="B119" t="e">
        <f>NA()</f>
        <v>#N/A</v>
      </c>
      <c r="C119">
        <f>1361</f>
        <v>1361</v>
      </c>
      <c r="D119">
        <f>0.3</f>
        <v>0.3</v>
      </c>
      <c r="E119">
        <f>57.4</f>
        <v>57.4</v>
      </c>
      <c r="F119">
        <f>55.1</f>
        <v>55.1</v>
      </c>
    </row>
    <row r="120" spans="1:6" x14ac:dyDescent="0.2">
      <c r="A120" s="1">
        <v>41820</v>
      </c>
      <c r="B120">
        <f>5.3</f>
        <v>5.3</v>
      </c>
      <c r="C120">
        <f>1352.7</f>
        <v>1352.7</v>
      </c>
      <c r="D120">
        <f>0.3</f>
        <v>0.3</v>
      </c>
      <c r="E120">
        <f>56.8</f>
        <v>56.8</v>
      </c>
      <c r="F120">
        <f>55</f>
        <v>55</v>
      </c>
    </row>
    <row r="121" spans="1:6" x14ac:dyDescent="0.2">
      <c r="A121" s="1">
        <v>41790</v>
      </c>
      <c r="B121" t="e">
        <f>NA()</f>
        <v>#N/A</v>
      </c>
      <c r="C121">
        <f>1352</f>
        <v>1352</v>
      </c>
      <c r="D121">
        <f>0.4</f>
        <v>0.4</v>
      </c>
      <c r="E121">
        <f>57.9</f>
        <v>57.9</v>
      </c>
      <c r="F121">
        <f>55.7</f>
        <v>55.7</v>
      </c>
    </row>
    <row r="122" spans="1:6" x14ac:dyDescent="0.2">
      <c r="A122" s="1">
        <v>41759</v>
      </c>
      <c r="B122" t="e">
        <f>NA()</f>
        <v>#N/A</v>
      </c>
      <c r="C122">
        <f>1351.7</f>
        <v>1351.7</v>
      </c>
      <c r="D122">
        <f>0.1</f>
        <v>0.1</v>
      </c>
      <c r="E122">
        <f>57.3</f>
        <v>57.3</v>
      </c>
      <c r="F122">
        <f>56.6</f>
        <v>56.6</v>
      </c>
    </row>
    <row r="123" spans="1:6" x14ac:dyDescent="0.2">
      <c r="A123" s="1">
        <v>41729</v>
      </c>
      <c r="B123">
        <f>-1.4</f>
        <v>-1.4</v>
      </c>
      <c r="C123">
        <f>1341.8</f>
        <v>1341.8</v>
      </c>
      <c r="D123">
        <f>1</f>
        <v>1</v>
      </c>
      <c r="E123">
        <f>58.8</f>
        <v>58.8</v>
      </c>
      <c r="F123">
        <f>55.9</f>
        <v>55.9</v>
      </c>
    </row>
    <row r="124" spans="1:6" x14ac:dyDescent="0.2">
      <c r="A124" s="1">
        <v>41698</v>
      </c>
      <c r="B124" t="e">
        <f>NA()</f>
        <v>#N/A</v>
      </c>
      <c r="C124">
        <f>1331.6</f>
        <v>1331.6</v>
      </c>
      <c r="D124">
        <f>0.8</f>
        <v>0.8</v>
      </c>
      <c r="E124">
        <f>58.6</f>
        <v>58.6</v>
      </c>
      <c r="F124">
        <f>55</f>
        <v>55</v>
      </c>
    </row>
    <row r="125" spans="1:6" x14ac:dyDescent="0.2">
      <c r="A125" s="1">
        <v>41670</v>
      </c>
      <c r="B125" t="e">
        <f>NA()</f>
        <v>#N/A</v>
      </c>
      <c r="C125">
        <f>1316.7</f>
        <v>1316.7</v>
      </c>
      <c r="D125">
        <f>-0.4</f>
        <v>-0.4</v>
      </c>
      <c r="E125">
        <f>54.6</f>
        <v>54.6</v>
      </c>
      <c r="F125">
        <f>52.5</f>
        <v>52.5</v>
      </c>
    </row>
    <row r="126" spans="1:6" x14ac:dyDescent="0.2">
      <c r="A126" s="1">
        <v>41639</v>
      </c>
      <c r="B126">
        <f>3.5</f>
        <v>3.5</v>
      </c>
      <c r="C126">
        <f>1326</f>
        <v>1326</v>
      </c>
      <c r="D126">
        <f>0.2</f>
        <v>0.2</v>
      </c>
      <c r="E126">
        <f>63.9</f>
        <v>63.9</v>
      </c>
      <c r="F126">
        <f>56.5</f>
        <v>56.5</v>
      </c>
    </row>
    <row r="127" spans="1:6" x14ac:dyDescent="0.2">
      <c r="A127" s="1">
        <v>41608</v>
      </c>
      <c r="B127" t="e">
        <f>NA()</f>
        <v>#N/A</v>
      </c>
      <c r="C127">
        <f>1325.4</f>
        <v>1325.4</v>
      </c>
      <c r="D127">
        <f>0.2</f>
        <v>0.2</v>
      </c>
      <c r="E127">
        <f>59.5</f>
        <v>59.5</v>
      </c>
      <c r="F127">
        <f>55.5</f>
        <v>55.5</v>
      </c>
    </row>
    <row r="128" spans="1:6" x14ac:dyDescent="0.2">
      <c r="A128" s="1">
        <v>41578</v>
      </c>
      <c r="B128" t="e">
        <f>NA()</f>
        <v>#N/A</v>
      </c>
      <c r="C128">
        <f>1315.5</f>
        <v>1315.5</v>
      </c>
      <c r="D128">
        <f>-0.1</f>
        <v>-0.1</v>
      </c>
      <c r="E128">
        <f>57.4</f>
        <v>57.4</v>
      </c>
      <c r="F128">
        <f>54.6</f>
        <v>54.6</v>
      </c>
    </row>
    <row r="129" spans="1:6" x14ac:dyDescent="0.2">
      <c r="A129" s="1">
        <v>41547</v>
      </c>
      <c r="B129">
        <f>3.5</f>
        <v>3.5</v>
      </c>
      <c r="C129">
        <f>1308.3</f>
        <v>1308.3</v>
      </c>
      <c r="D129">
        <f>0.5</f>
        <v>0.5</v>
      </c>
      <c r="E129">
        <f>60.2</f>
        <v>60.2</v>
      </c>
      <c r="F129">
        <f>54.6</f>
        <v>54.6</v>
      </c>
    </row>
    <row r="130" spans="1:6" x14ac:dyDescent="0.2">
      <c r="A130" s="1">
        <v>41517</v>
      </c>
      <c r="B130" t="e">
        <f>NA()</f>
        <v>#N/A</v>
      </c>
      <c r="C130">
        <f>1306.8</f>
        <v>1306.8</v>
      </c>
      <c r="D130">
        <f>0.6</f>
        <v>0.6</v>
      </c>
      <c r="E130">
        <f>58</f>
        <v>58</v>
      </c>
      <c r="F130">
        <f>54</f>
        <v>54</v>
      </c>
    </row>
    <row r="131" spans="1:6" x14ac:dyDescent="0.2">
      <c r="A131" s="1">
        <v>41486</v>
      </c>
      <c r="B131" t="e">
        <f>NA()</f>
        <v>#N/A</v>
      </c>
      <c r="C131">
        <f>1300.1</f>
        <v>1300.0999999999999</v>
      </c>
      <c r="D131">
        <f>-0.3</f>
        <v>-0.3</v>
      </c>
      <c r="E131">
        <f>56.4</f>
        <v>56.4</v>
      </c>
      <c r="F131">
        <f>53.8</f>
        <v>53.8</v>
      </c>
    </row>
    <row r="132" spans="1:6" x14ac:dyDescent="0.2">
      <c r="A132" s="1">
        <v>41455</v>
      </c>
      <c r="B132">
        <f>1.1</f>
        <v>1.1000000000000001</v>
      </c>
      <c r="C132">
        <f>1297.4</f>
        <v>1297.4000000000001</v>
      </c>
      <c r="D132">
        <f>0.1</f>
        <v>0.1</v>
      </c>
      <c r="E132">
        <f>52</f>
        <v>52</v>
      </c>
      <c r="F132">
        <f>51.1</f>
        <v>51.1</v>
      </c>
    </row>
    <row r="133" spans="1:6" x14ac:dyDescent="0.2">
      <c r="A133" s="1">
        <v>41425</v>
      </c>
      <c r="B133" t="e">
        <f>NA()</f>
        <v>#N/A</v>
      </c>
      <c r="C133">
        <f>1302.1</f>
        <v>1302.0999999999999</v>
      </c>
      <c r="D133">
        <f>0.1</f>
        <v>0.1</v>
      </c>
      <c r="E133">
        <f>52.1</f>
        <v>52.1</v>
      </c>
      <c r="F133">
        <f>50.8</f>
        <v>50.8</v>
      </c>
    </row>
    <row r="134" spans="1:6" x14ac:dyDescent="0.2">
      <c r="A134" s="1">
        <v>41394</v>
      </c>
      <c r="B134" t="e">
        <f>NA()</f>
        <v>#N/A</v>
      </c>
      <c r="C134">
        <f>1286.7</f>
        <v>1286.7</v>
      </c>
      <c r="D134">
        <f>-0.1</f>
        <v>-0.1</v>
      </c>
      <c r="E134">
        <f>53</f>
        <v>53</v>
      </c>
      <c r="F134">
        <f>51</f>
        <v>51</v>
      </c>
    </row>
    <row r="135" spans="1:6" x14ac:dyDescent="0.2">
      <c r="A135" s="1">
        <v>41364</v>
      </c>
      <c r="B135">
        <f>4</f>
        <v>4</v>
      </c>
      <c r="C135">
        <f>1294</f>
        <v>1294</v>
      </c>
      <c r="D135">
        <f>0.4</f>
        <v>0.4</v>
      </c>
      <c r="E135">
        <f>52.3</f>
        <v>52.3</v>
      </c>
      <c r="F135">
        <f>51.9</f>
        <v>51.9</v>
      </c>
    </row>
    <row r="136" spans="1:6" x14ac:dyDescent="0.2">
      <c r="A136" s="1">
        <v>41333</v>
      </c>
      <c r="B136" t="e">
        <f>NA()</f>
        <v>#N/A</v>
      </c>
      <c r="C136">
        <f>1312.7</f>
        <v>1312.7</v>
      </c>
      <c r="D136">
        <f>0.5</f>
        <v>0.5</v>
      </c>
      <c r="E136">
        <f>58.9</f>
        <v>58.9</v>
      </c>
      <c r="F136">
        <f>54.2</f>
        <v>54.2</v>
      </c>
    </row>
    <row r="137" spans="1:6" x14ac:dyDescent="0.2">
      <c r="A137" s="1">
        <v>41305</v>
      </c>
      <c r="B137" t="e">
        <f>NA()</f>
        <v>#N/A</v>
      </c>
      <c r="C137">
        <f>1294.6</f>
        <v>1294.5999999999999</v>
      </c>
      <c r="D137">
        <f>0</f>
        <v>0</v>
      </c>
      <c r="E137">
        <f>54.9</f>
        <v>54.9</v>
      </c>
      <c r="F137">
        <f>53.3</f>
        <v>53.3</v>
      </c>
    </row>
    <row r="138" spans="1:6" x14ac:dyDescent="0.2">
      <c r="A138" s="1">
        <v>41274</v>
      </c>
      <c r="B138">
        <f>0.5</f>
        <v>0.5</v>
      </c>
      <c r="C138">
        <f>1284.2</f>
        <v>1284.2</v>
      </c>
      <c r="D138">
        <f>0.3</f>
        <v>0.3</v>
      </c>
      <c r="E138">
        <f>48.3</f>
        <v>48.3</v>
      </c>
      <c r="F138">
        <f>50.1</f>
        <v>50.1</v>
      </c>
    </row>
    <row r="139" spans="1:6" x14ac:dyDescent="0.2">
      <c r="A139" s="1">
        <v>41243</v>
      </c>
      <c r="B139" t="e">
        <f>NA()</f>
        <v>#N/A</v>
      </c>
      <c r="C139">
        <f>1284.1</f>
        <v>1284.0999999999999</v>
      </c>
      <c r="D139">
        <f>0.4</f>
        <v>0.4</v>
      </c>
      <c r="E139">
        <f>47.9</f>
        <v>47.9</v>
      </c>
      <c r="F139">
        <f>48</f>
        <v>48</v>
      </c>
    </row>
    <row r="140" spans="1:6" x14ac:dyDescent="0.2">
      <c r="A140" s="1">
        <v>41213</v>
      </c>
      <c r="B140" t="e">
        <f>NA()</f>
        <v>#N/A</v>
      </c>
      <c r="C140">
        <f>1272.1</f>
        <v>1272.0999999999999</v>
      </c>
      <c r="D140">
        <f>0.3</f>
        <v>0.3</v>
      </c>
      <c r="E140">
        <f>51.8</f>
        <v>51.8</v>
      </c>
      <c r="F140">
        <f>50.5</f>
        <v>50.5</v>
      </c>
    </row>
    <row r="141" spans="1:6" x14ac:dyDescent="0.2">
      <c r="A141" s="1">
        <v>41182</v>
      </c>
      <c r="B141">
        <f>0.6</f>
        <v>0.6</v>
      </c>
      <c r="C141">
        <f>1274.3</f>
        <v>1274.3</v>
      </c>
      <c r="D141">
        <f>-0.1</f>
        <v>-0.1</v>
      </c>
      <c r="E141">
        <f>52.2</f>
        <v>52.2</v>
      </c>
      <c r="F141">
        <f>50.8</f>
        <v>50.8</v>
      </c>
    </row>
    <row r="142" spans="1:6" x14ac:dyDescent="0.2">
      <c r="A142" s="1">
        <v>41152</v>
      </c>
      <c r="B142" t="e">
        <f>NA()</f>
        <v>#N/A</v>
      </c>
      <c r="C142">
        <f>1259.8</f>
        <v>1259.8</v>
      </c>
      <c r="D142">
        <f>-0.4</f>
        <v>-0.4</v>
      </c>
      <c r="E142">
        <f>45.1</f>
        <v>45.1</v>
      </c>
      <c r="F142">
        <f>49</f>
        <v>49</v>
      </c>
    </row>
    <row r="143" spans="1:6" x14ac:dyDescent="0.2">
      <c r="A143" s="1">
        <v>41121</v>
      </c>
      <c r="B143" t="e">
        <f>NA()</f>
        <v>#N/A</v>
      </c>
      <c r="C143">
        <f>1247.3</f>
        <v>1247.3</v>
      </c>
      <c r="D143">
        <f>0.2</f>
        <v>0.2</v>
      </c>
      <c r="E143">
        <f>47.8</f>
        <v>47.8</v>
      </c>
      <c r="F143">
        <f>49.6</f>
        <v>49.6</v>
      </c>
    </row>
    <row r="144" spans="1:6" x14ac:dyDescent="0.2">
      <c r="A144" s="1">
        <v>41090</v>
      </c>
      <c r="B144">
        <f>1.8</f>
        <v>1.8</v>
      </c>
      <c r="C144">
        <f>1243.3</f>
        <v>1243.3</v>
      </c>
      <c r="D144">
        <f>0</f>
        <v>0</v>
      </c>
      <c r="E144">
        <f>47.3</f>
        <v>47.3</v>
      </c>
      <c r="F144">
        <f>49.5</f>
        <v>49.5</v>
      </c>
    </row>
    <row r="145" spans="1:6" x14ac:dyDescent="0.2">
      <c r="A145" s="1">
        <v>41060</v>
      </c>
      <c r="B145" t="e">
        <f>NA()</f>
        <v>#N/A</v>
      </c>
      <c r="C145">
        <f>1263.2</f>
        <v>1263.2</v>
      </c>
      <c r="D145">
        <f>0.2</f>
        <v>0.2</v>
      </c>
      <c r="E145">
        <f>58.2</f>
        <v>58.2</v>
      </c>
      <c r="F145">
        <f>53.2</f>
        <v>53.2</v>
      </c>
    </row>
    <row r="146" spans="1:6" x14ac:dyDescent="0.2">
      <c r="A146" s="1">
        <v>41029</v>
      </c>
      <c r="B146" t="e">
        <f>NA()</f>
        <v>#N/A</v>
      </c>
      <c r="C146">
        <f>1271.3</f>
        <v>1271.3</v>
      </c>
      <c r="D146">
        <f>0.7</f>
        <v>0.7</v>
      </c>
      <c r="E146">
        <f>59.2</f>
        <v>59.2</v>
      </c>
      <c r="F146">
        <f>55.2</f>
        <v>55.2</v>
      </c>
    </row>
    <row r="147" spans="1:6" x14ac:dyDescent="0.2">
      <c r="A147" s="1">
        <v>40999</v>
      </c>
      <c r="B147">
        <f>3.4</f>
        <v>3.4</v>
      </c>
      <c r="C147">
        <f>1268.7</f>
        <v>1268.7</v>
      </c>
      <c r="D147">
        <f>-0.5</f>
        <v>-0.5</v>
      </c>
      <c r="E147">
        <f>57</f>
        <v>57</v>
      </c>
      <c r="F147">
        <f>53.5</f>
        <v>53.5</v>
      </c>
    </row>
    <row r="148" spans="1:6" x14ac:dyDescent="0.2">
      <c r="A148" s="1">
        <v>40968</v>
      </c>
      <c r="B148" t="e">
        <f>NA()</f>
        <v>#N/A</v>
      </c>
      <c r="C148">
        <f>1266.8</f>
        <v>1266.8</v>
      </c>
      <c r="D148">
        <f>0.3</f>
        <v>0.3</v>
      </c>
      <c r="E148">
        <f>58.3</f>
        <v>58.3</v>
      </c>
      <c r="F148">
        <f>53.3</f>
        <v>53.3</v>
      </c>
    </row>
    <row r="149" spans="1:6" x14ac:dyDescent="0.2">
      <c r="A149" s="1">
        <v>40939</v>
      </c>
      <c r="B149" t="e">
        <f>NA()</f>
        <v>#N/A</v>
      </c>
      <c r="C149">
        <f>1254.6</f>
        <v>1254.5999999999999</v>
      </c>
      <c r="D149">
        <f>0.6</f>
        <v>0.6</v>
      </c>
      <c r="E149">
        <f>60</f>
        <v>60</v>
      </c>
      <c r="F149">
        <f>54.2</f>
        <v>54.2</v>
      </c>
    </row>
    <row r="150" spans="1:6" x14ac:dyDescent="0.2">
      <c r="A150" s="1">
        <v>40908</v>
      </c>
      <c r="B150">
        <f>4.6</f>
        <v>4.5999999999999996</v>
      </c>
      <c r="C150">
        <f>1238.1</f>
        <v>1238.0999999999999</v>
      </c>
      <c r="D150">
        <f>0.5</f>
        <v>0.5</v>
      </c>
      <c r="E150">
        <f>55.4</f>
        <v>55.4</v>
      </c>
      <c r="F150">
        <f>53</f>
        <v>53</v>
      </c>
    </row>
    <row r="151" spans="1:6" x14ac:dyDescent="0.2">
      <c r="A151" s="1">
        <v>40877</v>
      </c>
      <c r="B151" t="e">
        <f>NA()</f>
        <v>#N/A</v>
      </c>
      <c r="C151">
        <f>1230.7</f>
        <v>1230.7</v>
      </c>
      <c r="D151">
        <f>0</f>
        <v>0</v>
      </c>
      <c r="E151">
        <f>54.9</f>
        <v>54.9</v>
      </c>
      <c r="F151">
        <f>51.8</f>
        <v>51.8</v>
      </c>
    </row>
    <row r="152" spans="1:6" x14ac:dyDescent="0.2">
      <c r="A152" s="1">
        <v>40847</v>
      </c>
      <c r="B152" t="e">
        <f>NA()</f>
        <v>#N/A</v>
      </c>
      <c r="C152">
        <f>1228.4</f>
        <v>1228.4000000000001</v>
      </c>
      <c r="D152">
        <f>0.7</f>
        <v>0.7</v>
      </c>
      <c r="E152">
        <f>52</f>
        <v>52</v>
      </c>
      <c r="F152">
        <f>51.4</f>
        <v>51.4</v>
      </c>
    </row>
    <row r="153" spans="1:6" x14ac:dyDescent="0.2">
      <c r="A153" s="1">
        <v>40816</v>
      </c>
      <c r="B153">
        <f>-0.1</f>
        <v>-0.1</v>
      </c>
      <c r="C153">
        <f>1218.9</f>
        <v>1218.9000000000001</v>
      </c>
      <c r="D153">
        <f>-0.1</f>
        <v>-0.1</v>
      </c>
      <c r="E153">
        <f>51.8</f>
        <v>51.8</v>
      </c>
      <c r="F153">
        <f>53.7</f>
        <v>53.7</v>
      </c>
    </row>
    <row r="154" spans="1:6" x14ac:dyDescent="0.2">
      <c r="A154" s="1">
        <v>40786</v>
      </c>
      <c r="B154" t="e">
        <f>NA()</f>
        <v>#N/A</v>
      </c>
      <c r="C154">
        <f>1218.7</f>
        <v>1218.7</v>
      </c>
      <c r="D154">
        <f>0.6</f>
        <v>0.6</v>
      </c>
      <c r="E154">
        <f>52.9</f>
        <v>52.9</v>
      </c>
      <c r="F154">
        <f>52.6</f>
        <v>52.6</v>
      </c>
    </row>
    <row r="155" spans="1:6" x14ac:dyDescent="0.2">
      <c r="A155" s="1">
        <v>40755</v>
      </c>
      <c r="B155" t="e">
        <f>NA()</f>
        <v>#N/A</v>
      </c>
      <c r="C155">
        <f>1211.5</f>
        <v>1211.5</v>
      </c>
      <c r="D155">
        <f>0.5</f>
        <v>0.5</v>
      </c>
      <c r="E155">
        <f>56.9</f>
        <v>56.9</v>
      </c>
      <c r="F155">
        <f>52.9</f>
        <v>52.9</v>
      </c>
    </row>
    <row r="156" spans="1:6" x14ac:dyDescent="0.2">
      <c r="A156" s="1">
        <v>40724</v>
      </c>
      <c r="B156">
        <f>2.7</f>
        <v>2.7</v>
      </c>
      <c r="C156">
        <f>1205.1</f>
        <v>1205.0999999999999</v>
      </c>
      <c r="D156">
        <f>0.3</f>
        <v>0.3</v>
      </c>
      <c r="E156">
        <f>54.6</f>
        <v>54.6</v>
      </c>
      <c r="F156">
        <f>55.8</f>
        <v>55.8</v>
      </c>
    </row>
    <row r="157" spans="1:6" x14ac:dyDescent="0.2">
      <c r="A157" s="1">
        <v>40694</v>
      </c>
      <c r="B157" t="e">
        <f>NA()</f>
        <v>#N/A</v>
      </c>
      <c r="C157">
        <f>1197.6</f>
        <v>1197.5999999999999</v>
      </c>
      <c r="D157">
        <f>0.1</f>
        <v>0.1</v>
      </c>
      <c r="E157">
        <f>54.6</f>
        <v>54.6</v>
      </c>
      <c r="F157">
        <f>54.8</f>
        <v>54.8</v>
      </c>
    </row>
    <row r="158" spans="1:6" x14ac:dyDescent="0.2">
      <c r="A158" s="1">
        <v>40663</v>
      </c>
      <c r="B158" t="e">
        <f>NA()</f>
        <v>#N/A</v>
      </c>
      <c r="C158">
        <f>1203.4</f>
        <v>1203.4000000000001</v>
      </c>
      <c r="D158">
        <f>-0.3</f>
        <v>-0.3</v>
      </c>
      <c r="E158">
        <f>61.1</f>
        <v>61.1</v>
      </c>
      <c r="F158">
        <f>57.9</f>
        <v>57.9</v>
      </c>
    </row>
    <row r="159" spans="1:6" x14ac:dyDescent="0.2">
      <c r="A159" s="1">
        <v>40633</v>
      </c>
      <c r="B159">
        <f>-0.9</f>
        <v>-0.9</v>
      </c>
      <c r="C159">
        <f>1197.5</f>
        <v>1197.5</v>
      </c>
      <c r="D159">
        <f>1</f>
        <v>1</v>
      </c>
      <c r="E159">
        <f>61.3</f>
        <v>61.3</v>
      </c>
      <c r="F159">
        <f>58.4</f>
        <v>58.4</v>
      </c>
    </row>
    <row r="160" spans="1:6" x14ac:dyDescent="0.2">
      <c r="A160" s="1">
        <v>40602</v>
      </c>
      <c r="B160" t="e">
        <f>NA()</f>
        <v>#N/A</v>
      </c>
      <c r="C160">
        <f>1169.4</f>
        <v>1169.4000000000001</v>
      </c>
      <c r="D160">
        <f>-0.4</f>
        <v>-0.4</v>
      </c>
      <c r="E160">
        <f>64.2</f>
        <v>64.2</v>
      </c>
      <c r="F160">
        <f>59.2</f>
        <v>59.2</v>
      </c>
    </row>
    <row r="161" spans="1:6" x14ac:dyDescent="0.2">
      <c r="A161" s="1">
        <v>40574</v>
      </c>
      <c r="B161" t="e">
        <f>NA()</f>
        <v>#N/A</v>
      </c>
      <c r="C161">
        <f>1170.2</f>
        <v>1170.2</v>
      </c>
      <c r="D161">
        <f>-0.2</f>
        <v>-0.2</v>
      </c>
      <c r="E161">
        <f>64.5</f>
        <v>64.5</v>
      </c>
      <c r="F161">
        <f>59.1</f>
        <v>59.1</v>
      </c>
    </row>
    <row r="162" spans="1:6" x14ac:dyDescent="0.2">
      <c r="A162" s="1">
        <v>40543</v>
      </c>
      <c r="B162">
        <f>2.1</f>
        <v>2.1</v>
      </c>
      <c r="C162">
        <f>1143.5</f>
        <v>1143.5</v>
      </c>
      <c r="D162">
        <f>1</f>
        <v>1</v>
      </c>
      <c r="E162">
        <f>59.6</f>
        <v>59.6</v>
      </c>
      <c r="F162">
        <f>56.6</f>
        <v>56.6</v>
      </c>
    </row>
    <row r="163" spans="1:6" x14ac:dyDescent="0.2">
      <c r="A163" s="1">
        <v>40512</v>
      </c>
      <c r="B163" t="e">
        <f>NA()</f>
        <v>#N/A</v>
      </c>
      <c r="C163">
        <f>1129.4</f>
        <v>1129.4000000000001</v>
      </c>
      <c r="D163">
        <f>0.1</f>
        <v>0.1</v>
      </c>
      <c r="E163">
        <f>58.3</f>
        <v>58.3</v>
      </c>
      <c r="F163">
        <f>57.3</f>
        <v>57.3</v>
      </c>
    </row>
    <row r="164" spans="1:6" x14ac:dyDescent="0.2">
      <c r="A164" s="1">
        <v>40482</v>
      </c>
      <c r="B164" t="e">
        <f>NA()</f>
        <v>#N/A</v>
      </c>
      <c r="C164">
        <f>1116.7</f>
        <v>1116.7</v>
      </c>
      <c r="D164">
        <f>-0.3</f>
        <v>-0.3</v>
      </c>
      <c r="E164">
        <f>57.8</f>
        <v>57.8</v>
      </c>
      <c r="F164">
        <f>56.9</f>
        <v>56.9</v>
      </c>
    </row>
    <row r="165" spans="1:6" x14ac:dyDescent="0.2">
      <c r="A165" s="1">
        <v>40451</v>
      </c>
      <c r="B165">
        <f>3.1</f>
        <v>3.1</v>
      </c>
      <c r="C165">
        <f>1098.3</f>
        <v>1098.3</v>
      </c>
      <c r="D165">
        <f>0.3</f>
        <v>0.3</v>
      </c>
      <c r="E165">
        <f>51.9</f>
        <v>51.9</v>
      </c>
      <c r="F165">
        <f>55.3</f>
        <v>55.3</v>
      </c>
    </row>
    <row r="166" spans="1:6" x14ac:dyDescent="0.2">
      <c r="A166" s="1">
        <v>40421</v>
      </c>
      <c r="B166" t="e">
        <f>NA()</f>
        <v>#N/A</v>
      </c>
      <c r="C166">
        <f>1090.3</f>
        <v>1090.3</v>
      </c>
      <c r="D166">
        <f>0.4</f>
        <v>0.4</v>
      </c>
      <c r="E166">
        <f>54</f>
        <v>54</v>
      </c>
      <c r="F166">
        <f>56.4</f>
        <v>56.4</v>
      </c>
    </row>
    <row r="167" spans="1:6" x14ac:dyDescent="0.2">
      <c r="A167" s="1">
        <v>40390</v>
      </c>
      <c r="B167" t="e">
        <f>NA()</f>
        <v>#N/A</v>
      </c>
      <c r="C167">
        <f>1084.3</f>
        <v>1084.3</v>
      </c>
      <c r="D167">
        <f>0.4</f>
        <v>0.4</v>
      </c>
      <c r="E167">
        <f>54.7</f>
        <v>54.7</v>
      </c>
      <c r="F167">
        <f>56.1</f>
        <v>56.1</v>
      </c>
    </row>
    <row r="168" spans="1:6" x14ac:dyDescent="0.2">
      <c r="A168" s="1">
        <v>40359</v>
      </c>
      <c r="B168">
        <f>3.9</f>
        <v>3.9</v>
      </c>
      <c r="C168">
        <f>1075.5</f>
        <v>1075.5</v>
      </c>
      <c r="D168">
        <f>0.2</f>
        <v>0.2</v>
      </c>
      <c r="E168">
        <f>58.6</f>
        <v>58.6</v>
      </c>
      <c r="F168">
        <f>56.5</f>
        <v>56.5</v>
      </c>
    </row>
    <row r="169" spans="1:6" x14ac:dyDescent="0.2">
      <c r="A169" s="1">
        <v>40329</v>
      </c>
      <c r="B169" t="e">
        <f>NA()</f>
        <v>#N/A</v>
      </c>
      <c r="C169">
        <f>1075.6</f>
        <v>1075.5999999999999</v>
      </c>
      <c r="D169">
        <f>1.4</f>
        <v>1.4</v>
      </c>
      <c r="E169">
        <f>61.3</f>
        <v>61.3</v>
      </c>
      <c r="F169">
        <f>57.4</f>
        <v>57.4</v>
      </c>
    </row>
    <row r="170" spans="1:6" x14ac:dyDescent="0.2">
      <c r="A170" s="1">
        <v>40298</v>
      </c>
      <c r="B170" t="e">
        <f>NA()</f>
        <v>#N/A</v>
      </c>
      <c r="C170">
        <f>1082.7</f>
        <v>1082.7</v>
      </c>
      <c r="D170">
        <f>0.4</f>
        <v>0.4</v>
      </c>
      <c r="E170">
        <f>64</f>
        <v>64</v>
      </c>
      <c r="F170">
        <f>58.1</f>
        <v>58.1</v>
      </c>
    </row>
    <row r="171" spans="1:6" x14ac:dyDescent="0.2">
      <c r="A171" s="1">
        <v>40268</v>
      </c>
      <c r="B171">
        <f>1.9</f>
        <v>1.9</v>
      </c>
      <c r="C171">
        <f>1070.8</f>
        <v>1070.8</v>
      </c>
      <c r="D171">
        <f>0.7</f>
        <v>0.7</v>
      </c>
      <c r="E171">
        <f>60.1</f>
        <v>60.1</v>
      </c>
      <c r="F171">
        <f>58.8</f>
        <v>58.8</v>
      </c>
    </row>
    <row r="172" spans="1:6" x14ac:dyDescent="0.2">
      <c r="A172" s="1">
        <v>40237</v>
      </c>
      <c r="B172" t="e">
        <f>NA()</f>
        <v>#N/A</v>
      </c>
      <c r="C172">
        <f>1050.2</f>
        <v>1050.2</v>
      </c>
      <c r="D172">
        <f>0.4</f>
        <v>0.4</v>
      </c>
      <c r="E172">
        <f>57.7</f>
        <v>57.7</v>
      </c>
      <c r="F172">
        <f>55.5</f>
        <v>55.5</v>
      </c>
    </row>
    <row r="173" spans="1:6" x14ac:dyDescent="0.2">
      <c r="A173" s="1">
        <v>40209</v>
      </c>
      <c r="B173" t="e">
        <f>NA()</f>
        <v>#N/A</v>
      </c>
      <c r="C173">
        <f>1047</f>
        <v>1047</v>
      </c>
      <c r="D173">
        <f>1.1</f>
        <v>1.1000000000000001</v>
      </c>
      <c r="E173">
        <f>59.9</f>
        <v>59.9</v>
      </c>
      <c r="F173">
        <f>56.3</f>
        <v>56.3</v>
      </c>
    </row>
    <row r="174" spans="1:6" x14ac:dyDescent="0.2">
      <c r="A174" s="1">
        <v>40178</v>
      </c>
      <c r="B174">
        <f>4.4</f>
        <v>4.4000000000000004</v>
      </c>
      <c r="C174">
        <f>1038.1</f>
        <v>1038.0999999999999</v>
      </c>
      <c r="D174">
        <f>0.4</f>
        <v>0.4</v>
      </c>
      <c r="E174">
        <f>63.8</f>
        <v>63.8</v>
      </c>
      <c r="F174">
        <f>55.8</f>
        <v>55.8</v>
      </c>
    </row>
    <row r="175" spans="1:6" x14ac:dyDescent="0.2">
      <c r="A175" s="1">
        <v>40147</v>
      </c>
      <c r="B175" t="e">
        <f>NA()</f>
        <v>#N/A</v>
      </c>
      <c r="C175">
        <f>1029.2</f>
        <v>1029.2</v>
      </c>
      <c r="D175">
        <f>0.4</f>
        <v>0.4</v>
      </c>
      <c r="E175">
        <f>64.2</f>
        <v>64.2</v>
      </c>
      <c r="F175">
        <f>55.4</f>
        <v>55.4</v>
      </c>
    </row>
    <row r="176" spans="1:6" x14ac:dyDescent="0.2">
      <c r="A176" s="1">
        <v>40117</v>
      </c>
      <c r="B176" t="e">
        <f>NA()</f>
        <v>#N/A</v>
      </c>
      <c r="C176">
        <f>1010.2</f>
        <v>1010.2</v>
      </c>
      <c r="D176">
        <f>0.2</f>
        <v>0.2</v>
      </c>
      <c r="E176">
        <f>57.7</f>
        <v>57.7</v>
      </c>
      <c r="F176">
        <f>57.6</f>
        <v>57.6</v>
      </c>
    </row>
    <row r="177" spans="1:6" x14ac:dyDescent="0.2">
      <c r="A177" s="1">
        <v>40086</v>
      </c>
      <c r="B177">
        <f>1.4</f>
        <v>1.4</v>
      </c>
      <c r="C177">
        <f>999.5</f>
        <v>999.5</v>
      </c>
      <c r="D177">
        <f>0.8</f>
        <v>0.8</v>
      </c>
      <c r="E177">
        <f>64.7</f>
        <v>64.7</v>
      </c>
      <c r="F177">
        <f>54.9</f>
        <v>54.9</v>
      </c>
    </row>
    <row r="178" spans="1:6" x14ac:dyDescent="0.2">
      <c r="A178" s="1">
        <v>40056</v>
      </c>
      <c r="B178" t="e">
        <f>NA()</f>
        <v>#N/A</v>
      </c>
      <c r="C178">
        <f>997.4</f>
        <v>997.4</v>
      </c>
      <c r="D178">
        <f>1.1</f>
        <v>1.1000000000000001</v>
      </c>
      <c r="E178">
        <f>64.1</f>
        <v>64.099999999999994</v>
      </c>
      <c r="F178">
        <f>53.4</f>
        <v>53.4</v>
      </c>
    </row>
    <row r="179" spans="1:6" x14ac:dyDescent="0.2">
      <c r="A179" s="1">
        <v>40025</v>
      </c>
      <c r="B179" t="e">
        <f>NA()</f>
        <v>#N/A</v>
      </c>
      <c r="C179">
        <f>983.4</f>
        <v>983.4</v>
      </c>
      <c r="D179">
        <f>1.2</f>
        <v>1.2</v>
      </c>
      <c r="E179">
        <f>56.6</f>
        <v>56.6</v>
      </c>
      <c r="F179">
        <f>49.7</f>
        <v>49.7</v>
      </c>
    </row>
    <row r="180" spans="1:6" x14ac:dyDescent="0.2">
      <c r="A180" s="1">
        <v>39994</v>
      </c>
      <c r="B180">
        <f>-0.7</f>
        <v>-0.7</v>
      </c>
      <c r="C180">
        <f>977.8</f>
        <v>977.8</v>
      </c>
      <c r="D180">
        <f>-0.3</f>
        <v>-0.3</v>
      </c>
      <c r="E180">
        <f>49</f>
        <v>49</v>
      </c>
      <c r="F180">
        <f>46.3</f>
        <v>46.3</v>
      </c>
    </row>
    <row r="181" spans="1:6" x14ac:dyDescent="0.2">
      <c r="A181" s="1">
        <v>39964</v>
      </c>
      <c r="B181" t="e">
        <f>NA()</f>
        <v>#N/A</v>
      </c>
      <c r="C181">
        <f>961.1</f>
        <v>961.1</v>
      </c>
      <c r="D181">
        <f>-1</f>
        <v>-1</v>
      </c>
      <c r="E181">
        <f>51</f>
        <v>51</v>
      </c>
      <c r="F181">
        <f>44.1</f>
        <v>44.1</v>
      </c>
    </row>
    <row r="182" spans="1:6" x14ac:dyDescent="0.2">
      <c r="A182" s="1">
        <v>39933</v>
      </c>
      <c r="B182" t="e">
        <f>NA()</f>
        <v>#N/A</v>
      </c>
      <c r="C182">
        <f>953.9</f>
        <v>953.9</v>
      </c>
      <c r="D182">
        <f>-0.8</f>
        <v>-0.8</v>
      </c>
      <c r="E182">
        <f>46</f>
        <v>46</v>
      </c>
      <c r="F182">
        <f>39.9</f>
        <v>39.9</v>
      </c>
    </row>
    <row r="183" spans="1:6" x14ac:dyDescent="0.2">
      <c r="A183" s="1">
        <v>39903</v>
      </c>
      <c r="B183">
        <f>-4.5</f>
        <v>-4.5</v>
      </c>
      <c r="C183">
        <f>956.2</f>
        <v>956.2</v>
      </c>
      <c r="D183">
        <f>-1.6</f>
        <v>-1.6</v>
      </c>
      <c r="E183">
        <f>41.3</f>
        <v>41.3</v>
      </c>
      <c r="F183">
        <f>37.2</f>
        <v>37.200000000000003</v>
      </c>
    </row>
    <row r="184" spans="1:6" x14ac:dyDescent="0.2">
      <c r="A184" s="1">
        <v>39872</v>
      </c>
      <c r="B184" t="e">
        <f>NA()</f>
        <v>#N/A</v>
      </c>
      <c r="C184">
        <f>984</f>
        <v>984</v>
      </c>
      <c r="D184">
        <f>-0.6</f>
        <v>-0.6</v>
      </c>
      <c r="E184">
        <f>32.7</f>
        <v>32.700000000000003</v>
      </c>
      <c r="F184">
        <f>36.6</f>
        <v>36.6</v>
      </c>
    </row>
    <row r="185" spans="1:6" x14ac:dyDescent="0.2">
      <c r="A185" s="1">
        <v>39844</v>
      </c>
      <c r="B185" t="e">
        <f>NA()</f>
        <v>#N/A</v>
      </c>
      <c r="C185">
        <f>979.6</f>
        <v>979.6</v>
      </c>
      <c r="D185">
        <f>-2.5</f>
        <v>-2.5</v>
      </c>
      <c r="E185">
        <f>32.5</f>
        <v>32.5</v>
      </c>
      <c r="F185">
        <f>36.4</f>
        <v>36.4</v>
      </c>
    </row>
    <row r="186" spans="1:6" x14ac:dyDescent="0.2">
      <c r="A186" s="1">
        <v>39813</v>
      </c>
      <c r="B186">
        <f>-8.5</f>
        <v>-8.5</v>
      </c>
      <c r="C186">
        <f>998.1</f>
        <v>998.1</v>
      </c>
      <c r="D186">
        <f>-2.8</f>
        <v>-2.8</v>
      </c>
      <c r="E186">
        <f>25.9</f>
        <v>25.9</v>
      </c>
      <c r="F186">
        <f>34.5</f>
        <v>34.5</v>
      </c>
    </row>
    <row r="187" spans="1:6" x14ac:dyDescent="0.2">
      <c r="A187" s="1">
        <v>39782</v>
      </c>
      <c r="B187" t="e">
        <f>NA()</f>
        <v>#N/A</v>
      </c>
      <c r="C187">
        <f>1036.6</f>
        <v>1036.5999999999999</v>
      </c>
      <c r="D187">
        <f>-1.3</f>
        <v>-1.3</v>
      </c>
      <c r="E187">
        <f>34.5</f>
        <v>34.5</v>
      </c>
      <c r="F187">
        <f>39</f>
        <v>39</v>
      </c>
    </row>
    <row r="188" spans="1:6" x14ac:dyDescent="0.2">
      <c r="A188" s="1">
        <v>39752</v>
      </c>
      <c r="B188" t="e">
        <f>NA()</f>
        <v>#N/A</v>
      </c>
      <c r="C188">
        <f>1113.9</f>
        <v>1113.9000000000001</v>
      </c>
      <c r="D188">
        <f>1</f>
        <v>1</v>
      </c>
      <c r="E188">
        <f>32</f>
        <v>32</v>
      </c>
      <c r="F188">
        <f>38.2</f>
        <v>38.200000000000003</v>
      </c>
    </row>
    <row r="189" spans="1:6" x14ac:dyDescent="0.2">
      <c r="A189" s="1">
        <v>39721</v>
      </c>
      <c r="B189">
        <f>-2.1</f>
        <v>-2.1</v>
      </c>
      <c r="C189">
        <f>1165.4</f>
        <v>1165.4000000000001</v>
      </c>
      <c r="D189">
        <f>-4.4</f>
        <v>-4.4000000000000004</v>
      </c>
      <c r="E189">
        <f>45.1</f>
        <v>45.1</v>
      </c>
      <c r="F189">
        <f>47.2</f>
        <v>47.2</v>
      </c>
    </row>
    <row r="190" spans="1:6" x14ac:dyDescent="0.2">
      <c r="A190" s="1">
        <v>39691</v>
      </c>
      <c r="B190" t="e">
        <f>NA()</f>
        <v>#N/A</v>
      </c>
      <c r="C190">
        <f>1193.5</f>
        <v>1193.5</v>
      </c>
      <c r="D190">
        <f>-1.6</f>
        <v>-1.6</v>
      </c>
      <c r="E190">
        <f>48.6</f>
        <v>48.6</v>
      </c>
      <c r="F190">
        <f>50.1</f>
        <v>50.1</v>
      </c>
    </row>
    <row r="191" spans="1:6" x14ac:dyDescent="0.2">
      <c r="A191" s="1">
        <v>39660</v>
      </c>
      <c r="B191" t="e">
        <f>NA()</f>
        <v>#N/A</v>
      </c>
      <c r="C191">
        <f>1217</f>
        <v>1217</v>
      </c>
      <c r="D191">
        <f>-0.4</f>
        <v>-0.4</v>
      </c>
      <c r="E191">
        <f>48.4</f>
        <v>48.4</v>
      </c>
      <c r="F191">
        <f>50.8</f>
        <v>50.8</v>
      </c>
    </row>
    <row r="192" spans="1:6" x14ac:dyDescent="0.2">
      <c r="A192" s="1">
        <v>39629</v>
      </c>
      <c r="B192">
        <f>2.4</f>
        <v>2.4</v>
      </c>
      <c r="C192">
        <f>1222.5</f>
        <v>1222.5</v>
      </c>
      <c r="D192">
        <f>-0.2</f>
        <v>-0.2</v>
      </c>
      <c r="E192">
        <f>49.5</f>
        <v>49.5</v>
      </c>
      <c r="F192">
        <f>49.9</f>
        <v>49.9</v>
      </c>
    </row>
    <row r="193" spans="1:6" x14ac:dyDescent="0.2">
      <c r="A193" s="1">
        <v>39599</v>
      </c>
      <c r="B193" t="e">
        <f>NA()</f>
        <v>#N/A</v>
      </c>
      <c r="C193">
        <f>1205.6</f>
        <v>1205.5999999999999</v>
      </c>
      <c r="D193">
        <f>-0.6</f>
        <v>-0.6</v>
      </c>
      <c r="E193">
        <f>47.9</f>
        <v>47.9</v>
      </c>
      <c r="F193">
        <f>48.9</f>
        <v>48.9</v>
      </c>
    </row>
    <row r="194" spans="1:6" x14ac:dyDescent="0.2">
      <c r="A194" s="1">
        <v>39568</v>
      </c>
      <c r="B194" t="e">
        <f>NA()</f>
        <v>#N/A</v>
      </c>
      <c r="C194">
        <f>1196.2</f>
        <v>1196.2</v>
      </c>
      <c r="D194">
        <f>-0.7</f>
        <v>-0.7</v>
      </c>
      <c r="E194">
        <f>46.2</f>
        <v>46.2</v>
      </c>
      <c r="F194">
        <f>48.5</f>
        <v>48.5</v>
      </c>
    </row>
    <row r="195" spans="1:6" x14ac:dyDescent="0.2">
      <c r="A195" s="1">
        <v>39538</v>
      </c>
      <c r="B195">
        <f>-1.7</f>
        <v>-1.7</v>
      </c>
      <c r="C195">
        <f>1176.2</f>
        <v>1176.2</v>
      </c>
      <c r="D195">
        <f>-0.4</f>
        <v>-0.4</v>
      </c>
      <c r="E195">
        <f>49.2</f>
        <v>49.2</v>
      </c>
      <c r="F195">
        <f>49.7</f>
        <v>49.7</v>
      </c>
    </row>
    <row r="196" spans="1:6" x14ac:dyDescent="0.2">
      <c r="A196" s="1">
        <v>39507</v>
      </c>
      <c r="B196" t="e">
        <f>NA()</f>
        <v>#N/A</v>
      </c>
      <c r="C196">
        <f>1176.8</f>
        <v>1176.8</v>
      </c>
      <c r="D196">
        <f>-0.4</f>
        <v>-0.4</v>
      </c>
      <c r="E196">
        <f>50.5</f>
        <v>50.5</v>
      </c>
      <c r="F196">
        <f>48.8</f>
        <v>48.8</v>
      </c>
    </row>
    <row r="197" spans="1:6" x14ac:dyDescent="0.2">
      <c r="A197" s="1">
        <v>39478</v>
      </c>
      <c r="B197" t="e">
        <f>NA()</f>
        <v>#N/A</v>
      </c>
      <c r="C197">
        <f>1181</f>
        <v>1181</v>
      </c>
      <c r="D197">
        <f>-0.1</f>
        <v>-0.1</v>
      </c>
      <c r="E197">
        <f>49.5</f>
        <v>49.5</v>
      </c>
      <c r="F197">
        <f>50.9</f>
        <v>50.9</v>
      </c>
    </row>
    <row r="198" spans="1:6" x14ac:dyDescent="0.2">
      <c r="A198" s="1">
        <v>39447</v>
      </c>
      <c r="B198">
        <f>2.5</f>
        <v>2.5</v>
      </c>
      <c r="C198">
        <f>1164.4</f>
        <v>1164.4000000000001</v>
      </c>
      <c r="D198">
        <f>0</f>
        <v>0</v>
      </c>
      <c r="E198">
        <f>49.9</f>
        <v>49.9</v>
      </c>
      <c r="F198">
        <f>50.1</f>
        <v>50.1</v>
      </c>
    </row>
    <row r="199" spans="1:6" x14ac:dyDescent="0.2">
      <c r="A199" s="1">
        <v>39416</v>
      </c>
      <c r="B199" t="e">
        <f>NA()</f>
        <v>#N/A</v>
      </c>
      <c r="C199">
        <f>1173.6</f>
        <v>1173.5999999999999</v>
      </c>
      <c r="D199">
        <f>0.6</f>
        <v>0.6</v>
      </c>
      <c r="E199">
        <f>53.1</f>
        <v>53.1</v>
      </c>
      <c r="F199">
        <f>51.5</f>
        <v>51.5</v>
      </c>
    </row>
    <row r="200" spans="1:6" x14ac:dyDescent="0.2">
      <c r="A200" s="1">
        <v>39386</v>
      </c>
      <c r="B200" t="e">
        <f>NA()</f>
        <v>#N/A</v>
      </c>
      <c r="C200">
        <f>1152.6</f>
        <v>1152.5999999999999</v>
      </c>
      <c r="D200">
        <f>-0.3</f>
        <v>-0.3</v>
      </c>
      <c r="E200">
        <f>55.8</f>
        <v>55.8</v>
      </c>
      <c r="F200">
        <f>52.8</f>
        <v>52.8</v>
      </c>
    </row>
    <row r="201" spans="1:6" x14ac:dyDescent="0.2">
      <c r="A201" s="1">
        <v>39355</v>
      </c>
      <c r="B201">
        <f>2.3</f>
        <v>2.2999999999999998</v>
      </c>
      <c r="C201">
        <f>1138.2</f>
        <v>1138.2</v>
      </c>
      <c r="D201">
        <f>0.2</f>
        <v>0.2</v>
      </c>
      <c r="E201">
        <f>59.4</f>
        <v>59.4</v>
      </c>
      <c r="F201">
        <f>53.8</f>
        <v>53.8</v>
      </c>
    </row>
    <row r="202" spans="1:6" x14ac:dyDescent="0.2">
      <c r="A202" s="1">
        <v>39325</v>
      </c>
      <c r="B202" t="e">
        <f>NA()</f>
        <v>#N/A</v>
      </c>
      <c r="C202">
        <f>1130.8</f>
        <v>1130.8</v>
      </c>
      <c r="D202">
        <f>0.2</f>
        <v>0.2</v>
      </c>
      <c r="E202">
        <f>56.1</f>
        <v>56.1</v>
      </c>
      <c r="F202">
        <f>52.2</f>
        <v>52.2</v>
      </c>
    </row>
    <row r="203" spans="1:6" x14ac:dyDescent="0.2">
      <c r="A203" s="1">
        <v>39294</v>
      </c>
      <c r="B203" t="e">
        <f>NA()</f>
        <v>#N/A</v>
      </c>
      <c r="C203">
        <f>1124.2</f>
        <v>1124.2</v>
      </c>
      <c r="D203">
        <f>-0.1</f>
        <v>-0.1</v>
      </c>
      <c r="E203">
        <f>57.5</f>
        <v>57.5</v>
      </c>
      <c r="F203">
        <f>51.8</f>
        <v>51.8</v>
      </c>
    </row>
    <row r="204" spans="1:6" x14ac:dyDescent="0.2">
      <c r="A204" s="1">
        <v>39263</v>
      </c>
      <c r="B204">
        <f>2.5</f>
        <v>2.5</v>
      </c>
      <c r="C204">
        <f>1125.5</f>
        <v>1125.5</v>
      </c>
      <c r="D204">
        <f>0</f>
        <v>0</v>
      </c>
      <c r="E204">
        <f>58.4</f>
        <v>58.4</v>
      </c>
      <c r="F204">
        <f>54</f>
        <v>54</v>
      </c>
    </row>
    <row r="205" spans="1:6" x14ac:dyDescent="0.2">
      <c r="A205" s="1">
        <v>39233</v>
      </c>
      <c r="B205" t="e">
        <f>NA()</f>
        <v>#N/A</v>
      </c>
      <c r="C205">
        <f>1127.8</f>
        <v>1127.8</v>
      </c>
      <c r="D205">
        <f>0.1</f>
        <v>0.1</v>
      </c>
      <c r="E205">
        <f>57</f>
        <v>57</v>
      </c>
      <c r="F205">
        <f>53.1</f>
        <v>53.1</v>
      </c>
    </row>
    <row r="206" spans="1:6" x14ac:dyDescent="0.2">
      <c r="A206" s="1">
        <v>39202</v>
      </c>
      <c r="B206" t="e">
        <f>NA()</f>
        <v>#N/A</v>
      </c>
      <c r="C206">
        <f>1115.5</f>
        <v>1115.5</v>
      </c>
      <c r="D206">
        <f>0.7</f>
        <v>0.7</v>
      </c>
      <c r="E206">
        <f>57.1</f>
        <v>57.1</v>
      </c>
      <c r="F206">
        <f>52.7</f>
        <v>52.7</v>
      </c>
    </row>
    <row r="207" spans="1:6" x14ac:dyDescent="0.2">
      <c r="A207" s="1">
        <v>39172</v>
      </c>
      <c r="B207">
        <f>1.2</f>
        <v>1.2</v>
      </c>
      <c r="C207">
        <f>1108.2</f>
        <v>1108.2</v>
      </c>
      <c r="D207">
        <f>0.2</f>
        <v>0.2</v>
      </c>
      <c r="E207">
        <f>56</f>
        <v>56</v>
      </c>
      <c r="F207">
        <f>52.8</f>
        <v>52.8</v>
      </c>
    </row>
    <row r="208" spans="1:6" x14ac:dyDescent="0.2">
      <c r="A208" s="1">
        <v>39141</v>
      </c>
      <c r="B208" t="e">
        <f>NA()</f>
        <v>#N/A</v>
      </c>
      <c r="C208">
        <f>1095.5</f>
        <v>1095.5</v>
      </c>
      <c r="D208">
        <f>1</f>
        <v>1</v>
      </c>
      <c r="E208">
        <f>59.1</f>
        <v>59.1</v>
      </c>
      <c r="F208">
        <f>54.1</f>
        <v>54.1</v>
      </c>
    </row>
    <row r="209" spans="1:6" x14ac:dyDescent="0.2">
      <c r="A209" s="1">
        <v>39113</v>
      </c>
      <c r="B209" t="e">
        <f>NA()</f>
        <v>#N/A</v>
      </c>
      <c r="C209">
        <f>1082.1</f>
        <v>1082.0999999999999</v>
      </c>
      <c r="D209">
        <f>-0.4</f>
        <v>-0.4</v>
      </c>
      <c r="E209">
        <f>55.5</f>
        <v>55.5</v>
      </c>
      <c r="F209">
        <f>50.4</f>
        <v>50.4</v>
      </c>
    </row>
    <row r="210" spans="1:6" x14ac:dyDescent="0.2">
      <c r="A210" s="1">
        <v>39082</v>
      </c>
      <c r="B210">
        <f>3.5</f>
        <v>3.5</v>
      </c>
      <c r="C210">
        <f>1096.6</f>
        <v>1096.5999999999999</v>
      </c>
      <c r="D210">
        <f>1</f>
        <v>1</v>
      </c>
      <c r="E210">
        <f>51.4</f>
        <v>51.4</v>
      </c>
      <c r="F210">
        <f>51.4</f>
        <v>51.4</v>
      </c>
    </row>
    <row r="211" spans="1:6" x14ac:dyDescent="0.2">
      <c r="A211" s="1">
        <v>39051</v>
      </c>
      <c r="B211" t="e">
        <f>NA()</f>
        <v>#N/A</v>
      </c>
      <c r="C211">
        <f>1070.4</f>
        <v>1070.4000000000001</v>
      </c>
      <c r="D211">
        <f>-0.1</f>
        <v>-0.1</v>
      </c>
      <c r="E211">
        <f>50.8</f>
        <v>50.8</v>
      </c>
      <c r="F211">
        <f>50.3</f>
        <v>50.3</v>
      </c>
    </row>
    <row r="212" spans="1:6" x14ac:dyDescent="0.2">
      <c r="A212" s="1">
        <v>39021</v>
      </c>
      <c r="B212" t="e">
        <f>NA()</f>
        <v>#N/A</v>
      </c>
      <c r="C212">
        <f>1063.9</f>
        <v>1063.9000000000001</v>
      </c>
      <c r="D212">
        <f>-0.1</f>
        <v>-0.1</v>
      </c>
      <c r="E212">
        <f>54.1</f>
        <v>54.1</v>
      </c>
      <c r="F212">
        <f>51.4</f>
        <v>51.4</v>
      </c>
    </row>
    <row r="213" spans="1:6" x14ac:dyDescent="0.2">
      <c r="A213" s="1">
        <v>38990</v>
      </c>
      <c r="B213">
        <f>0.6</f>
        <v>0.6</v>
      </c>
      <c r="C213">
        <f>1067.9</f>
        <v>1067.9000000000001</v>
      </c>
      <c r="D213">
        <f>-0.2</f>
        <v>-0.2</v>
      </c>
      <c r="E213">
        <f>54.8</f>
        <v>54.8</v>
      </c>
      <c r="F213">
        <f>52.2</f>
        <v>52.2</v>
      </c>
    </row>
    <row r="214" spans="1:6" x14ac:dyDescent="0.2">
      <c r="A214" s="1">
        <v>38960</v>
      </c>
      <c r="B214" t="e">
        <f>NA()</f>
        <v>#N/A</v>
      </c>
      <c r="C214">
        <f>1084.1</f>
        <v>1084.0999999999999</v>
      </c>
      <c r="D214">
        <f>0.4</f>
        <v>0.4</v>
      </c>
      <c r="E214">
        <f>55.3</f>
        <v>55.3</v>
      </c>
      <c r="F214">
        <f>53.7</f>
        <v>53.7</v>
      </c>
    </row>
    <row r="215" spans="1:6" x14ac:dyDescent="0.2">
      <c r="A215" s="1">
        <v>38929</v>
      </c>
      <c r="B215" t="e">
        <f>NA()</f>
        <v>#N/A</v>
      </c>
      <c r="C215">
        <f>1071.4</f>
        <v>1071.4000000000001</v>
      </c>
      <c r="D215">
        <f>-0.1</f>
        <v>-0.1</v>
      </c>
      <c r="E215">
        <f>55.8</f>
        <v>55.8</v>
      </c>
      <c r="F215">
        <f>53</f>
        <v>53</v>
      </c>
    </row>
    <row r="216" spans="1:6" x14ac:dyDescent="0.2">
      <c r="A216" s="1">
        <v>38898</v>
      </c>
      <c r="B216">
        <f>1</f>
        <v>1</v>
      </c>
      <c r="C216">
        <f>1076</f>
        <v>1076</v>
      </c>
      <c r="D216">
        <f>0.3</f>
        <v>0.3</v>
      </c>
      <c r="E216">
        <f>55</f>
        <v>55</v>
      </c>
      <c r="F216">
        <f>52</f>
        <v>52</v>
      </c>
    </row>
    <row r="217" spans="1:6" x14ac:dyDescent="0.2">
      <c r="A217" s="1">
        <v>38868</v>
      </c>
      <c r="B217" t="e">
        <f>NA()</f>
        <v>#N/A</v>
      </c>
      <c r="C217">
        <f>1073.7</f>
        <v>1073.7</v>
      </c>
      <c r="D217">
        <f>0</f>
        <v>0</v>
      </c>
      <c r="E217">
        <f>54.9</f>
        <v>54.9</v>
      </c>
      <c r="F217">
        <f>53.7</f>
        <v>53.7</v>
      </c>
    </row>
    <row r="218" spans="1:6" x14ac:dyDescent="0.2">
      <c r="A218" s="1">
        <v>38837</v>
      </c>
      <c r="B218" t="e">
        <f>NA()</f>
        <v>#N/A</v>
      </c>
      <c r="C218">
        <f>1059.7</f>
        <v>1059.7</v>
      </c>
      <c r="D218">
        <f>0.3</f>
        <v>0.3</v>
      </c>
      <c r="E218">
        <f>55.7</f>
        <v>55.7</v>
      </c>
      <c r="F218">
        <f>55.2</f>
        <v>55.2</v>
      </c>
    </row>
    <row r="219" spans="1:6" x14ac:dyDescent="0.2">
      <c r="A219" s="1">
        <v>38807</v>
      </c>
      <c r="B219">
        <f>5.5</f>
        <v>5.5</v>
      </c>
      <c r="C219">
        <f>1060.7</f>
        <v>1060.7</v>
      </c>
      <c r="D219">
        <f>0.2</f>
        <v>0.2</v>
      </c>
      <c r="E219">
        <f>57</f>
        <v>57</v>
      </c>
      <c r="F219">
        <f>54.3</f>
        <v>54.3</v>
      </c>
    </row>
    <row r="220" spans="1:6" x14ac:dyDescent="0.2">
      <c r="A220" s="1">
        <v>38776</v>
      </c>
      <c r="B220" t="e">
        <f>NA()</f>
        <v>#N/A</v>
      </c>
      <c r="C220">
        <f>1056.4</f>
        <v>1056.4000000000001</v>
      </c>
      <c r="D220">
        <f>0</f>
        <v>0</v>
      </c>
      <c r="E220">
        <f>61</f>
        <v>61</v>
      </c>
      <c r="F220">
        <f>55.8</f>
        <v>55.8</v>
      </c>
    </row>
    <row r="221" spans="1:6" x14ac:dyDescent="0.2">
      <c r="A221" s="1">
        <v>38748</v>
      </c>
      <c r="B221" t="e">
        <f>NA()</f>
        <v>#N/A</v>
      </c>
      <c r="C221">
        <f>1058.6</f>
        <v>1058.5999999999999</v>
      </c>
      <c r="D221">
        <f>0.1</f>
        <v>0.1</v>
      </c>
      <c r="E221">
        <f>58.9</f>
        <v>58.9</v>
      </c>
      <c r="F221">
        <f>55</f>
        <v>55</v>
      </c>
    </row>
    <row r="222" spans="1:6" x14ac:dyDescent="0.2">
      <c r="A222" s="1">
        <v>38717</v>
      </c>
      <c r="B222">
        <f>2.2</f>
        <v>2.2000000000000002</v>
      </c>
      <c r="C222">
        <f>1046.7</f>
        <v>1046.7</v>
      </c>
      <c r="D222">
        <f>0.6</f>
        <v>0.6</v>
      </c>
      <c r="E222">
        <f>60.1</f>
        <v>60.1</v>
      </c>
      <c r="F222">
        <f>55.1</f>
        <v>55.1</v>
      </c>
    </row>
    <row r="223" spans="1:6" x14ac:dyDescent="0.2">
      <c r="A223" s="1">
        <v>38686</v>
      </c>
      <c r="B223" t="e">
        <f>NA()</f>
        <v>#N/A</v>
      </c>
      <c r="C223">
        <f>1035.3</f>
        <v>1035.3</v>
      </c>
      <c r="D223">
        <f>1.1</f>
        <v>1.1000000000000001</v>
      </c>
      <c r="E223">
        <f>61.2</f>
        <v>61.2</v>
      </c>
      <c r="F223">
        <f>56.7</f>
        <v>56.7</v>
      </c>
    </row>
    <row r="224" spans="1:6" x14ac:dyDescent="0.2">
      <c r="A224" s="1">
        <v>38656</v>
      </c>
      <c r="B224" t="e">
        <f>NA()</f>
        <v>#N/A</v>
      </c>
      <c r="C224">
        <f>1034.9</f>
        <v>1034.9000000000001</v>
      </c>
      <c r="D224">
        <f>1.2</f>
        <v>1.2</v>
      </c>
      <c r="E224">
        <f>61.4</f>
        <v>61.4</v>
      </c>
      <c r="F224">
        <f>57.2</f>
        <v>57.2</v>
      </c>
    </row>
    <row r="225" spans="1:6" x14ac:dyDescent="0.2">
      <c r="A225" s="1">
        <v>38625</v>
      </c>
      <c r="B225">
        <f>3.2</f>
        <v>3.2</v>
      </c>
      <c r="C225">
        <f>1027.2</f>
        <v>1027.2</v>
      </c>
      <c r="D225">
        <f>-1.9</f>
        <v>-1.9</v>
      </c>
      <c r="E225">
        <f>60.9</f>
        <v>60.9</v>
      </c>
      <c r="F225">
        <f>56.8</f>
        <v>56.8</v>
      </c>
    </row>
    <row r="226" spans="1:6" x14ac:dyDescent="0.2">
      <c r="A226" s="1">
        <v>38595</v>
      </c>
      <c r="B226" t="e">
        <f>NA()</f>
        <v>#N/A</v>
      </c>
      <c r="C226">
        <f>1014.6</f>
        <v>1014.6</v>
      </c>
      <c r="D226">
        <f>0.4</f>
        <v>0.4</v>
      </c>
      <c r="E226">
        <f>57.8</f>
        <v>57.8</v>
      </c>
      <c r="F226">
        <f>52.4</f>
        <v>52.4</v>
      </c>
    </row>
    <row r="227" spans="1:6" x14ac:dyDescent="0.2">
      <c r="A227" s="1">
        <v>38564</v>
      </c>
      <c r="B227" t="e">
        <f>NA()</f>
        <v>#N/A</v>
      </c>
      <c r="C227">
        <f>1004.2</f>
        <v>1004.2</v>
      </c>
      <c r="D227">
        <f>-0.3</f>
        <v>-0.3</v>
      </c>
      <c r="E227">
        <f>57.2</f>
        <v>57.2</v>
      </c>
      <c r="F227">
        <f>52.8</f>
        <v>52.8</v>
      </c>
    </row>
    <row r="228" spans="1:6" x14ac:dyDescent="0.2">
      <c r="A228" s="1">
        <v>38533</v>
      </c>
      <c r="B228">
        <f>2</f>
        <v>2</v>
      </c>
      <c r="C228">
        <f>999.1</f>
        <v>999.1</v>
      </c>
      <c r="D228">
        <f>0.4</f>
        <v>0.4</v>
      </c>
      <c r="E228">
        <f>55.7</f>
        <v>55.7</v>
      </c>
      <c r="F228">
        <f>52.4</f>
        <v>52.4</v>
      </c>
    </row>
    <row r="229" spans="1:6" x14ac:dyDescent="0.2">
      <c r="A229" s="1">
        <v>38503</v>
      </c>
      <c r="B229" t="e">
        <f>NA()</f>
        <v>#N/A</v>
      </c>
      <c r="C229">
        <f>987.5</f>
        <v>987.5</v>
      </c>
      <c r="D229">
        <f>0.1</f>
        <v>0.1</v>
      </c>
      <c r="E229">
        <f>51.8</f>
        <v>51.8</v>
      </c>
      <c r="F229">
        <f>50.8</f>
        <v>50.8</v>
      </c>
    </row>
    <row r="230" spans="1:6" x14ac:dyDescent="0.2">
      <c r="A230" s="1">
        <v>38472</v>
      </c>
      <c r="B230" t="e">
        <f>NA()</f>
        <v>#N/A</v>
      </c>
      <c r="C230">
        <f>993.9</f>
        <v>993.9</v>
      </c>
      <c r="D230">
        <f>0.2</f>
        <v>0.2</v>
      </c>
      <c r="E230">
        <f>53.4</f>
        <v>53.4</v>
      </c>
      <c r="F230">
        <f>52.2</f>
        <v>52.2</v>
      </c>
    </row>
    <row r="231" spans="1:6" x14ac:dyDescent="0.2">
      <c r="A231" s="1">
        <v>38442</v>
      </c>
      <c r="B231">
        <f>4.5</f>
        <v>4.5</v>
      </c>
      <c r="C231">
        <f>978.7</f>
        <v>978.7</v>
      </c>
      <c r="D231">
        <f>-0.2</f>
        <v>-0.2</v>
      </c>
      <c r="E231">
        <f>57.7</f>
        <v>57.7</v>
      </c>
      <c r="F231">
        <f>55.2</f>
        <v>55.2</v>
      </c>
    </row>
    <row r="232" spans="1:6" x14ac:dyDescent="0.2">
      <c r="A232" s="1">
        <v>38411</v>
      </c>
      <c r="B232" t="e">
        <f>NA()</f>
        <v>#N/A</v>
      </c>
      <c r="C232">
        <f>978.3</f>
        <v>978.3</v>
      </c>
      <c r="D232">
        <f>0.7</f>
        <v>0.7</v>
      </c>
      <c r="E232">
        <f>55.9</f>
        <v>55.9</v>
      </c>
      <c r="F232">
        <f>55.5</f>
        <v>55.5</v>
      </c>
    </row>
    <row r="233" spans="1:6" x14ac:dyDescent="0.2">
      <c r="A233" s="1">
        <v>38383</v>
      </c>
      <c r="B233" t="e">
        <f>NA()</f>
        <v>#N/A</v>
      </c>
      <c r="C233">
        <f>973.4</f>
        <v>973.4</v>
      </c>
      <c r="D233">
        <f>0.4</f>
        <v>0.4</v>
      </c>
      <c r="E233">
        <f>57.9</f>
        <v>57.9</v>
      </c>
      <c r="F233">
        <f>56.8</f>
        <v>56.8</v>
      </c>
    </row>
    <row r="234" spans="1:6" x14ac:dyDescent="0.2">
      <c r="A234" s="1">
        <v>38352</v>
      </c>
      <c r="B234">
        <f>4.1</f>
        <v>4.0999999999999996</v>
      </c>
      <c r="C234">
        <f>967.5</f>
        <v>967.5</v>
      </c>
      <c r="D234">
        <f>0.7</f>
        <v>0.7</v>
      </c>
      <c r="E234">
        <f>66.3</f>
        <v>66.3</v>
      </c>
      <c r="F234">
        <f>57.2</f>
        <v>57.2</v>
      </c>
    </row>
    <row r="235" spans="1:6" x14ac:dyDescent="0.2">
      <c r="A235" s="1">
        <v>38321</v>
      </c>
      <c r="B235" t="e">
        <f>NA()</f>
        <v>#N/A</v>
      </c>
      <c r="C235">
        <f>956.3</f>
        <v>956.3</v>
      </c>
      <c r="D235">
        <f>0.2</f>
        <v>0.2</v>
      </c>
      <c r="E235">
        <f>60.1</f>
        <v>60.1</v>
      </c>
      <c r="F235">
        <f>56.2</f>
        <v>56.2</v>
      </c>
    </row>
    <row r="236" spans="1:6" x14ac:dyDescent="0.2">
      <c r="A236" s="1">
        <v>38291</v>
      </c>
      <c r="B236" t="e">
        <f>NA()</f>
        <v>#N/A</v>
      </c>
      <c r="C236">
        <f>949.7</f>
        <v>949.7</v>
      </c>
      <c r="D236">
        <f>0.9</f>
        <v>0.9</v>
      </c>
      <c r="E236">
        <f>58.4</f>
        <v>58.4</v>
      </c>
      <c r="F236">
        <f>56.3</f>
        <v>56.3</v>
      </c>
    </row>
    <row r="237" spans="1:6" x14ac:dyDescent="0.2">
      <c r="A237" s="1">
        <v>38260</v>
      </c>
      <c r="B237">
        <f>3.8</f>
        <v>3.8</v>
      </c>
      <c r="C237">
        <f>936</f>
        <v>936</v>
      </c>
      <c r="D237">
        <f>0.1</f>
        <v>0.1</v>
      </c>
      <c r="E237">
        <f>57.7</f>
        <v>57.7</v>
      </c>
      <c r="F237">
        <f>57.4</f>
        <v>57.4</v>
      </c>
    </row>
    <row r="238" spans="1:6" x14ac:dyDescent="0.2">
      <c r="A238" s="1">
        <v>38230</v>
      </c>
      <c r="B238" t="e">
        <f>NA()</f>
        <v>#N/A</v>
      </c>
      <c r="C238">
        <f>929</f>
        <v>929</v>
      </c>
      <c r="D238">
        <f>0.1</f>
        <v>0.1</v>
      </c>
      <c r="E238">
        <f>62.1</f>
        <v>62.1</v>
      </c>
      <c r="F238">
        <f>58.5</f>
        <v>58.5</v>
      </c>
    </row>
    <row r="239" spans="1:6" x14ac:dyDescent="0.2">
      <c r="A239" s="1">
        <v>38199</v>
      </c>
      <c r="B239" t="e">
        <f>NA()</f>
        <v>#N/A</v>
      </c>
      <c r="C239">
        <f>918.5</f>
        <v>918.5</v>
      </c>
      <c r="D239">
        <f>0.7</f>
        <v>0.7</v>
      </c>
      <c r="E239">
        <f>62.8</f>
        <v>62.8</v>
      </c>
      <c r="F239">
        <f>59.9</f>
        <v>59.9</v>
      </c>
    </row>
    <row r="240" spans="1:6" x14ac:dyDescent="0.2">
      <c r="A240" s="1">
        <v>38168</v>
      </c>
      <c r="B240">
        <f>3.1</f>
        <v>3.1</v>
      </c>
      <c r="C240">
        <f>915</f>
        <v>915</v>
      </c>
      <c r="D240">
        <f>-0.8</f>
        <v>-0.8</v>
      </c>
      <c r="E240">
        <f>60.9</f>
        <v>60.9</v>
      </c>
      <c r="F240">
        <f>60.5</f>
        <v>60.5</v>
      </c>
    </row>
    <row r="241" spans="1:6" x14ac:dyDescent="0.2">
      <c r="A241" s="1">
        <v>38138</v>
      </c>
      <c r="B241" t="e">
        <f>NA()</f>
        <v>#N/A</v>
      </c>
      <c r="C241">
        <f>916</f>
        <v>916</v>
      </c>
      <c r="D241">
        <f>0.7</f>
        <v>0.7</v>
      </c>
      <c r="E241">
        <f>64.5</f>
        <v>64.5</v>
      </c>
      <c r="F241">
        <f>61.4</f>
        <v>61.4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NieRong</cp:lastModifiedBy>
  <cp:revision/>
  <dcterms:created xsi:type="dcterms:W3CDTF">2013-04-03T15:49:21Z</dcterms:created>
  <dcterms:modified xsi:type="dcterms:W3CDTF">2024-05-28T21:06:04Z</dcterms:modified>
  <cp:category/>
  <cp:contentStatus/>
</cp:coreProperties>
</file>