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brettphillips/Google Drive/WA Central 2.0/Operations/Fulfillment/Fulfillment Calculations/"/>
    </mc:Choice>
  </mc:AlternateContent>
  <bookViews>
    <workbookView xWindow="21360" yWindow="460" windowWidth="28280" windowHeight="28260" firstSheet="1" activeTab="9"/>
  </bookViews>
  <sheets>
    <sheet name="Feb Est" sheetId="1" r:id="rId1"/>
    <sheet name="Mar Est" sheetId="4" r:id="rId2"/>
    <sheet name="Apr Est" sheetId="5" r:id="rId3"/>
    <sheet name="May Est" sheetId="6" r:id="rId4"/>
    <sheet name="May Act" sheetId="7" r:id="rId5"/>
    <sheet name="July Est" sheetId="8" r:id="rId6"/>
    <sheet name="Aug Est" sheetId="9" r:id="rId7"/>
    <sheet name="Oct Est" sheetId="10" r:id="rId8"/>
    <sheet name="Nov Est" sheetId="11" r:id="rId9"/>
    <sheet name="Dec Est" sheetId="13" r:id="rId10"/>
    <sheet name="Jan 2016 Est" sheetId="15" r:id="rId11"/>
    <sheet name="Feb 2016 Est" sheetId="17" r:id="rId12"/>
    <sheet name="Sheet3" sheetId="14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3" l="1"/>
  <c r="C22" i="13"/>
  <c r="C23" i="13"/>
  <c r="D23" i="13"/>
  <c r="G23" i="13"/>
  <c r="B23" i="13"/>
  <c r="C35" i="13"/>
  <c r="D35" i="13"/>
  <c r="C34" i="13"/>
  <c r="D34" i="13"/>
  <c r="C33" i="13"/>
  <c r="C36" i="13"/>
  <c r="D33" i="13"/>
  <c r="G22" i="13"/>
  <c r="C12" i="10"/>
  <c r="C13" i="10"/>
  <c r="C14" i="10"/>
  <c r="C15" i="10"/>
  <c r="C17" i="10"/>
  <c r="C22" i="10"/>
  <c r="C23" i="10"/>
  <c r="D23" i="10"/>
  <c r="G21" i="10"/>
  <c r="D22" i="10"/>
  <c r="G4" i="10"/>
  <c r="G3" i="10"/>
  <c r="G2" i="10"/>
  <c r="G2" i="13"/>
  <c r="G3" i="13"/>
  <c r="G4" i="13"/>
  <c r="G5" i="13"/>
  <c r="C11" i="13"/>
  <c r="C12" i="13"/>
  <c r="C13" i="13"/>
  <c r="C14" i="13"/>
  <c r="B4" i="13"/>
  <c r="C15" i="13"/>
  <c r="B6" i="13"/>
  <c r="K2" i="13"/>
  <c r="K4" i="13"/>
  <c r="N5" i="13"/>
  <c r="K5" i="13"/>
  <c r="K6" i="13"/>
  <c r="L3" i="13"/>
  <c r="L4" i="13"/>
  <c r="L5" i="13"/>
  <c r="L6" i="13"/>
  <c r="K7" i="13"/>
  <c r="F5" i="13"/>
  <c r="E5" i="13"/>
  <c r="D22" i="13"/>
  <c r="G21" i="13"/>
  <c r="H25" i="14"/>
  <c r="F30" i="14"/>
  <c r="I24" i="14"/>
  <c r="I23" i="14"/>
  <c r="H24" i="14"/>
  <c r="L3" i="17"/>
  <c r="G4" i="17"/>
  <c r="L4" i="17"/>
  <c r="N5" i="17"/>
  <c r="L5" i="17"/>
  <c r="L6" i="17"/>
  <c r="G2" i="17"/>
  <c r="K2" i="17"/>
  <c r="K4" i="17"/>
  <c r="K5" i="17"/>
  <c r="K6" i="17"/>
  <c r="L7" i="17"/>
  <c r="B24" i="17"/>
  <c r="G3" i="17"/>
  <c r="G5" i="17"/>
  <c r="C11" i="17"/>
  <c r="C12" i="17"/>
  <c r="C13" i="17"/>
  <c r="C14" i="17"/>
  <c r="B4" i="17"/>
  <c r="C15" i="17"/>
  <c r="C16" i="17"/>
  <c r="C17" i="17"/>
  <c r="B6" i="17"/>
  <c r="C22" i="17"/>
  <c r="C24" i="17"/>
  <c r="D24" i="17"/>
  <c r="G26" i="17"/>
  <c r="G25" i="17"/>
  <c r="G24" i="17"/>
  <c r="K7" i="17"/>
  <c r="B23" i="17"/>
  <c r="C23" i="17"/>
  <c r="D23" i="17"/>
  <c r="G23" i="17"/>
  <c r="G22" i="17"/>
  <c r="D22" i="17"/>
  <c r="G21" i="17"/>
  <c r="B14" i="17"/>
  <c r="B13" i="17"/>
  <c r="F5" i="17"/>
  <c r="E5" i="17"/>
  <c r="H4" i="17"/>
  <c r="H3" i="17"/>
  <c r="H2" i="17"/>
  <c r="L3" i="15"/>
  <c r="G4" i="15"/>
  <c r="L4" i="15"/>
  <c r="N5" i="15"/>
  <c r="L5" i="15"/>
  <c r="L6" i="15"/>
  <c r="G2" i="15"/>
  <c r="K2" i="15"/>
  <c r="K4" i="15"/>
  <c r="K5" i="15"/>
  <c r="K6" i="15"/>
  <c r="L7" i="15"/>
  <c r="B24" i="15"/>
  <c r="G3" i="15"/>
  <c r="G5" i="15"/>
  <c r="C11" i="15"/>
  <c r="C12" i="15"/>
  <c r="C13" i="15"/>
  <c r="C14" i="15"/>
  <c r="B4" i="15"/>
  <c r="C15" i="15"/>
  <c r="C16" i="15"/>
  <c r="C17" i="15"/>
  <c r="B6" i="15"/>
  <c r="C22" i="15"/>
  <c r="C24" i="15"/>
  <c r="D24" i="15"/>
  <c r="G26" i="15"/>
  <c r="G25" i="15"/>
  <c r="G24" i="15"/>
  <c r="K7" i="15"/>
  <c r="B23" i="15"/>
  <c r="C23" i="15"/>
  <c r="D23" i="15"/>
  <c r="G23" i="15"/>
  <c r="G22" i="15"/>
  <c r="D22" i="15"/>
  <c r="G21" i="15"/>
  <c r="B14" i="15"/>
  <c r="B13" i="15"/>
  <c r="F5" i="15"/>
  <c r="E5" i="15"/>
  <c r="H4" i="15"/>
  <c r="H3" i="15"/>
  <c r="H2" i="15"/>
  <c r="G24" i="11"/>
  <c r="G21" i="11"/>
  <c r="B23" i="11"/>
  <c r="C22" i="11"/>
  <c r="B4" i="11"/>
  <c r="C15" i="11"/>
  <c r="C12" i="11"/>
  <c r="C13" i="11"/>
  <c r="C11" i="11"/>
  <c r="K7" i="11"/>
  <c r="K2" i="11"/>
  <c r="K6" i="11"/>
  <c r="L6" i="11"/>
  <c r="E5" i="11"/>
  <c r="F5" i="11"/>
  <c r="G5" i="11"/>
  <c r="G2" i="11"/>
  <c r="H2" i="11"/>
  <c r="C14" i="11"/>
  <c r="C17" i="11"/>
  <c r="L7" i="13"/>
  <c r="B24" i="13"/>
  <c r="C24" i="13"/>
  <c r="D24" i="13"/>
  <c r="G26" i="13"/>
  <c r="G25" i="13"/>
  <c r="G24" i="13"/>
  <c r="B14" i="13"/>
  <c r="B13" i="13"/>
  <c r="H4" i="13"/>
  <c r="H3" i="13"/>
  <c r="H2" i="13"/>
  <c r="L3" i="11"/>
  <c r="B14" i="11"/>
  <c r="B13" i="11"/>
  <c r="C23" i="11"/>
  <c r="D23" i="11"/>
  <c r="G23" i="11"/>
  <c r="H3" i="11"/>
  <c r="G4" i="11"/>
  <c r="L4" i="11"/>
  <c r="N5" i="11"/>
  <c r="L5" i="11"/>
  <c r="K4" i="11"/>
  <c r="K5" i="11"/>
  <c r="L7" i="11"/>
  <c r="B24" i="11"/>
  <c r="G3" i="11"/>
  <c r="C16" i="11"/>
  <c r="B6" i="11"/>
  <c r="C24" i="11"/>
  <c r="D24" i="11"/>
  <c r="G26" i="11"/>
  <c r="G25" i="11"/>
  <c r="G22" i="11"/>
  <c r="D22" i="11"/>
  <c r="H4" i="11"/>
  <c r="K2" i="10"/>
  <c r="K4" i="10"/>
  <c r="K5" i="10"/>
  <c r="K6" i="10"/>
  <c r="L4" i="10"/>
  <c r="L5" i="10"/>
  <c r="L6" i="10"/>
  <c r="K7" i="10"/>
  <c r="B23" i="10"/>
  <c r="G5" i="10"/>
  <c r="C11" i="10"/>
  <c r="N5" i="10"/>
  <c r="L3" i="10"/>
  <c r="B4" i="10"/>
  <c r="C16" i="10"/>
  <c r="B6" i="10"/>
  <c r="B14" i="10"/>
  <c r="H2" i="10"/>
  <c r="L7" i="10"/>
  <c r="B24" i="10"/>
  <c r="C24" i="10"/>
  <c r="D24" i="10"/>
  <c r="G26" i="10"/>
  <c r="G25" i="10"/>
  <c r="G24" i="10"/>
  <c r="G23" i="10"/>
  <c r="G22" i="10"/>
  <c r="B13" i="10"/>
  <c r="F5" i="10"/>
  <c r="E5" i="10"/>
  <c r="H4" i="10"/>
  <c r="H3" i="10"/>
  <c r="I22" i="9"/>
  <c r="B4" i="9"/>
  <c r="G2" i="9"/>
  <c r="G3" i="9"/>
  <c r="G4" i="9"/>
  <c r="G5" i="9"/>
  <c r="C11" i="9"/>
  <c r="B2" i="9"/>
  <c r="C12" i="9"/>
  <c r="C13" i="9"/>
  <c r="C14" i="9"/>
  <c r="C15" i="9"/>
  <c r="N5" i="9"/>
  <c r="L21" i="9"/>
  <c r="L5" i="9"/>
  <c r="K2" i="9"/>
  <c r="F5" i="9"/>
  <c r="C16" i="9"/>
  <c r="B14" i="9"/>
  <c r="B13" i="9"/>
  <c r="B6" i="9"/>
  <c r="E5" i="9"/>
  <c r="L3" i="9"/>
  <c r="L4" i="9"/>
  <c r="L6" i="9"/>
  <c r="H2" i="9"/>
  <c r="K4" i="9"/>
  <c r="K5" i="9"/>
  <c r="H4" i="9"/>
  <c r="E5" i="8"/>
  <c r="C11" i="8"/>
  <c r="B2" i="8"/>
  <c r="C12" i="8"/>
  <c r="C13" i="8"/>
  <c r="C14" i="8"/>
  <c r="C16" i="8"/>
  <c r="C17" i="8"/>
  <c r="C19" i="8"/>
  <c r="C20" i="8"/>
  <c r="B6" i="8"/>
  <c r="C25" i="8"/>
  <c r="I2" i="8"/>
  <c r="I4" i="8"/>
  <c r="I5" i="8"/>
  <c r="I6" i="8"/>
  <c r="J3" i="8"/>
  <c r="J4" i="8"/>
  <c r="J5" i="8"/>
  <c r="J6" i="8"/>
  <c r="I7" i="8"/>
  <c r="B26" i="8"/>
  <c r="C26" i="8"/>
  <c r="D26" i="8"/>
  <c r="G24" i="8"/>
  <c r="G25" i="8"/>
  <c r="G26" i="8"/>
  <c r="H26" i="8"/>
  <c r="C7" i="8"/>
  <c r="J7" i="8"/>
  <c r="B27" i="8"/>
  <c r="C27" i="8"/>
  <c r="D27" i="8"/>
  <c r="G27" i="8"/>
  <c r="G28" i="8"/>
  <c r="G29" i="8"/>
  <c r="H30" i="8"/>
  <c r="D8" i="8"/>
  <c r="C8" i="8"/>
  <c r="K31" i="8"/>
  <c r="B7" i="6"/>
  <c r="B14" i="8"/>
  <c r="B13" i="8"/>
  <c r="F4" i="8"/>
  <c r="K6" i="9"/>
  <c r="K7" i="9"/>
  <c r="B23" i="9"/>
  <c r="H3" i="9"/>
  <c r="C17" i="9"/>
  <c r="C22" i="9"/>
  <c r="L7" i="9"/>
  <c r="B24" i="9"/>
  <c r="F3" i="8"/>
  <c r="F2" i="8"/>
  <c r="L29" i="6"/>
  <c r="C23" i="9"/>
  <c r="D23" i="9"/>
  <c r="D22" i="9"/>
  <c r="C24" i="9"/>
  <c r="D24" i="9"/>
  <c r="I25" i="9"/>
  <c r="B16" i="6"/>
  <c r="B18" i="6"/>
  <c r="B19" i="6"/>
  <c r="C14" i="6"/>
  <c r="C15" i="6"/>
  <c r="B6" i="6"/>
  <c r="B5" i="6"/>
  <c r="C24" i="6"/>
  <c r="B15" i="6"/>
  <c r="B9" i="6"/>
  <c r="J5" i="6"/>
  <c r="I5" i="6"/>
  <c r="E5" i="6"/>
  <c r="F3" i="6"/>
  <c r="J4" i="6"/>
  <c r="I4" i="6"/>
  <c r="J3" i="6"/>
  <c r="I2" i="6"/>
  <c r="I23" i="9"/>
  <c r="I24" i="9"/>
  <c r="I21" i="9"/>
  <c r="I26" i="9"/>
  <c r="D25" i="8"/>
  <c r="I6" i="6"/>
  <c r="J6" i="6"/>
  <c r="F4" i="6"/>
  <c r="C13" i="6"/>
  <c r="C16" i="6"/>
  <c r="C18" i="6"/>
  <c r="C19" i="6"/>
  <c r="F2" i="6"/>
  <c r="B8" i="5"/>
  <c r="E5" i="5"/>
  <c r="C13" i="5"/>
  <c r="C14" i="5"/>
  <c r="C15" i="5"/>
  <c r="C16" i="5"/>
  <c r="B16" i="5"/>
  <c r="C18" i="5"/>
  <c r="C19" i="5"/>
  <c r="B6" i="5"/>
  <c r="C21" i="5"/>
  <c r="C22" i="5"/>
  <c r="C24" i="5"/>
  <c r="C25" i="5"/>
  <c r="C27" i="5"/>
  <c r="C28" i="5"/>
  <c r="I7" i="6"/>
  <c r="B31" i="6"/>
  <c r="J7" i="6"/>
  <c r="B32" i="6"/>
  <c r="J5" i="5"/>
  <c r="I5" i="5"/>
  <c r="J4" i="5"/>
  <c r="J3" i="5"/>
  <c r="I2" i="5"/>
  <c r="I4" i="5"/>
  <c r="F4" i="5"/>
  <c r="C21" i="6"/>
  <c r="C22" i="6"/>
  <c r="C25" i="6"/>
  <c r="C30" i="6"/>
  <c r="I6" i="5"/>
  <c r="F2" i="5"/>
  <c r="F3" i="5"/>
  <c r="C31" i="6"/>
  <c r="D31" i="6"/>
  <c r="I31" i="6"/>
  <c r="D30" i="6"/>
  <c r="C32" i="6"/>
  <c r="D32" i="6"/>
  <c r="J6" i="5"/>
  <c r="J7" i="5"/>
  <c r="B35" i="5"/>
  <c r="G34" i="6"/>
  <c r="G33" i="6"/>
  <c r="G32" i="6"/>
  <c r="G31" i="6"/>
  <c r="G29" i="6"/>
  <c r="G30" i="6"/>
  <c r="I7" i="5"/>
  <c r="B34" i="5"/>
  <c r="B15" i="5"/>
  <c r="B19" i="5"/>
  <c r="B21" i="5"/>
  <c r="B22" i="5"/>
  <c r="C3" i="4"/>
  <c r="C4" i="4"/>
  <c r="C5" i="4"/>
  <c r="C11" i="4"/>
  <c r="F19" i="4"/>
  <c r="I19" i="4"/>
  <c r="F20" i="4"/>
  <c r="I20" i="4"/>
  <c r="F21" i="4"/>
  <c r="G21" i="4"/>
  <c r="N22" i="4"/>
  <c r="N23" i="4"/>
  <c r="N24" i="4"/>
  <c r="C33" i="5"/>
  <c r="C6" i="4"/>
  <c r="D16" i="1"/>
  <c r="D26" i="1"/>
  <c r="D33" i="5"/>
  <c r="C34" i="5"/>
  <c r="D34" i="5"/>
  <c r="C35" i="5"/>
  <c r="D35" i="5"/>
  <c r="C7" i="4"/>
  <c r="C8" i="4"/>
  <c r="C10" i="4"/>
  <c r="C12" i="4"/>
  <c r="D25" i="1"/>
  <c r="D29" i="1"/>
  <c r="D24" i="1"/>
  <c r="C10" i="1"/>
  <c r="B10" i="1"/>
  <c r="G37" i="5"/>
  <c r="G36" i="5"/>
  <c r="G35" i="5"/>
  <c r="G33" i="5"/>
  <c r="G32" i="5"/>
  <c r="G34" i="5"/>
  <c r="C14" i="4"/>
  <c r="D14" i="4"/>
  <c r="C15" i="4"/>
  <c r="D15" i="4"/>
  <c r="D27" i="1"/>
  <c r="D30" i="1"/>
  <c r="B2" i="1"/>
  <c r="D32" i="1"/>
  <c r="D33" i="1"/>
  <c r="D34" i="1"/>
  <c r="B16" i="1"/>
  <c r="C9" i="1"/>
  <c r="C11" i="1"/>
  <c r="B11" i="1"/>
  <c r="D11" i="1"/>
  <c r="B13" i="1"/>
  <c r="D9" i="1"/>
  <c r="D10" i="1"/>
  <c r="B14" i="1"/>
  <c r="B17" i="1"/>
  <c r="D17" i="1"/>
  <c r="D14" i="1"/>
</calcChain>
</file>

<file path=xl/comments1.xml><?xml version="1.0" encoding="utf-8"?>
<comments xmlns="http://schemas.openxmlformats.org/spreadsheetml/2006/main">
  <authors>
    <author>Ben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Ben:
Rather than using a buffer, just don't predict churn for the ending #</t>
        </r>
      </text>
    </comment>
  </commentList>
</comments>
</file>

<file path=xl/comments2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Ben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Subscribe Pro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Ben:
Assumes avg charge date is on the 15th of the month; hence, if monthly churn is 18%, then only ~9% of people would churn before their next shipment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<sst xmlns="http://schemas.openxmlformats.org/spreadsheetml/2006/main" count="526" uniqueCount="154">
  <si>
    <t>JAN BOX: ALL ABOUT THE BODY</t>
  </si>
  <si>
    <t>W. Avg # of Bottles per Mem. Box</t>
  </si>
  <si>
    <t>Jan Box Wine Inventory</t>
  </si>
  <si>
    <t>Dec Box Wine Inventory</t>
  </si>
  <si>
    <t>Bottles</t>
  </si>
  <si>
    <t>Cases</t>
  </si>
  <si>
    <t>Assumptions</t>
  </si>
  <si>
    <t>Total Membership Inventory for Month</t>
  </si>
  <si>
    <t>Box Orders</t>
  </si>
  <si>
    <t>Less: Wine Sent Out to Mems on the 1st</t>
  </si>
  <si>
    <t>Leftover for Month (after 1st)</t>
  </si>
  <si>
    <t>Leftover for Month (after 12th)</t>
  </si>
  <si>
    <t>&gt;&gt;&gt; # of OVERFLOW BOXES</t>
  </si>
  <si>
    <t>&gt;&gt;&gt; assumes 1,000 total new members for Jan (2/3rds of which come after the 10th)</t>
  </si>
  <si>
    <t>Anticipated # of New Member Ads by Jan 10th</t>
  </si>
  <si>
    <t>FEB BOX: EASTERN EUROPEAN</t>
  </si>
  <si>
    <t>&gt;&gt;&gt; assumes 1,500 total new members for Feb (1/3rds of which come before the 10th)</t>
  </si>
  <si>
    <t>Bottles Needed for Feb</t>
  </si>
  <si>
    <t>Implied Cases Needed for Feb</t>
  </si>
  <si>
    <t>Implied Pallets Needed for Feb</t>
  </si>
  <si>
    <t>Members from 10th to the End of Jan</t>
  </si>
  <si>
    <t>Remaining Members from Jan</t>
  </si>
  <si>
    <t>Remaining Members from 1st to the 10th of Jan</t>
  </si>
  <si>
    <t>Members from 1st to the 10th of Feb</t>
  </si>
  <si>
    <t>Total "Feb Boxes" for Fulfillment</t>
  </si>
  <si>
    <t>Eastern Euro</t>
  </si>
  <si>
    <t>Body</t>
  </si>
  <si>
    <t>Cali</t>
  </si>
  <si>
    <t>Total</t>
  </si>
  <si>
    <t>White</t>
  </si>
  <si>
    <t>Red</t>
  </si>
  <si>
    <t>Total Bottles Needed</t>
  </si>
  <si>
    <t>Plus: Buffer</t>
  </si>
  <si>
    <t>MUST GET NEXT MONTH'S BOX</t>
  </si>
  <si>
    <t>Less: Off Cycle Quarterly</t>
  </si>
  <si>
    <t>Less: Churn</t>
  </si>
  <si>
    <t>Est 2/12/2015</t>
  </si>
  <si>
    <t>+ 2 days</t>
  </si>
  <si>
    <t>ASSUMPTIONS</t>
  </si>
  <si>
    <t>New Members per Day</t>
  </si>
  <si>
    <t>Active Members</t>
  </si>
  <si>
    <t>Total Estimated Members as of</t>
  </si>
  <si>
    <t>Less: Est. Churn Through</t>
  </si>
  <si>
    <t>Plus: Est. New Members Through</t>
  </si>
  <si>
    <t>Less: Est. Churned Members Through</t>
  </si>
  <si>
    <t>Less: Off-Cycle Quarterly</t>
  </si>
  <si>
    <t>–&gt; individuals who MUST get the current month's box</t>
  </si>
  <si>
    <t>Buffer</t>
  </si>
  <si>
    <t>% Monthly</t>
  </si>
  <si>
    <t>% Quarterly</t>
  </si>
  <si>
    <t>Total Est. "On-Cycle" Members</t>
  </si>
  <si>
    <t>–&gt; total # of packages we should order for</t>
  </si>
  <si>
    <t># of Packages to Order for</t>
  </si>
  <si>
    <t>TOTAL PACKAGES MATH</t>
  </si>
  <si>
    <t>WINE ORDER BREAK-DOWN</t>
  </si>
  <si>
    <t>W. Avg Bottles per Package</t>
  </si>
  <si>
    <t>–&gt; download from Subscribe Pro the latest "Complete Subscriptions" list and count "Active" subsciptions</t>
  </si>
  <si>
    <t>All Red</t>
  </si>
  <si>
    <t>All White</t>
  </si>
  <si>
    <t>Variety</t>
  </si>
  <si>
    <t>Variety (2 red, 1 white)</t>
  </si>
  <si>
    <t>Variety (1 red, 2 white)</t>
  </si>
  <si>
    <t>% Red</t>
  </si>
  <si>
    <t>% White</t>
  </si>
  <si>
    <t>–––––––&gt;</t>
  </si>
  <si>
    <t>Target % of Variety Packs containing 2 Reds</t>
  </si>
  <si>
    <t>Target % of Variety Packs containing 2 Whites</t>
  </si>
  <si>
    <t>Total Wine Needed</t>
  </si>
  <si>
    <t>r1</t>
  </si>
  <si>
    <t>r2</t>
  </si>
  <si>
    <t>r3</t>
  </si>
  <si>
    <t>w1</t>
  </si>
  <si>
    <t>w2</t>
  </si>
  <si>
    <t>w3</t>
  </si>
  <si>
    <t>Overall Churn (as % of new mems)</t>
  </si>
  <si>
    <t>% Failed (Net, after winbacks)</t>
  </si>
  <si>
    <t>Less: (Net) Failed</t>
  </si>
  <si>
    <t>Total Est. "On-Cycle" Members Charged</t>
  </si>
  <si>
    <t>% Every Other Month</t>
  </si>
  <si>
    <t>La Pinot</t>
  </si>
  <si>
    <t>Austrian</t>
  </si>
  <si>
    <t>3rd Red</t>
  </si>
  <si>
    <t>Albarino</t>
  </si>
  <si>
    <t>La Rambla (1/2 cases)</t>
  </si>
  <si>
    <t>Watts Up</t>
  </si>
  <si>
    <t>Apr 28</t>
  </si>
  <si>
    <t>May 4</t>
  </si>
  <si>
    <t>May 5-27</t>
  </si>
  <si>
    <t>3-Pack</t>
  </si>
  <si>
    <t>6-Pack</t>
  </si>
  <si>
    <t>Active Members w/ Next Order Date in July</t>
  </si>
  <si>
    <t>Total Est. Active Members w/ Next Order Date in July as of</t>
  </si>
  <si>
    <t>Active Members w/ Next Order Date in Aug</t>
  </si>
  <si>
    <t>Overall Churn, incl. Failed (as % of new mems)</t>
  </si>
  <si>
    <t xml:space="preserve">
*Active
*NOD = 7/28 to 8/27</t>
  </si>
  <si>
    <t>*Active
*NOD = 7/7 to 7/27
*Every Month</t>
  </si>
  <si>
    <t>Avg Additional Churn (From 28th to Date of Charge)</t>
  </si>
  <si>
    <t>Less: Est. Churned Members Through Avg Order Date of the 15th</t>
  </si>
  <si>
    <t>Active Members w/ Next Order Date in Sept</t>
  </si>
  <si>
    <t>*Active
*NOD = 9/28 to 10/27
*Every Month</t>
  </si>
  <si>
    <t>Total Est. Active Members w/ Next Order Date in Sept as of</t>
  </si>
  <si>
    <t xml:space="preserve">
*Active
*NOD = 9/1 to 9/27</t>
  </si>
  <si>
    <t>SKU</t>
  </si>
  <si>
    <t>wa-w1-10-15</t>
  </si>
  <si>
    <t>wa-w2-10-15</t>
  </si>
  <si>
    <t>wa-w3-10-15</t>
  </si>
  <si>
    <t>wa-r1-10-15</t>
  </si>
  <si>
    <t>wa-r2-10-15</t>
  </si>
  <si>
    <t>wa-r3-10-15</t>
  </si>
  <si>
    <t>wa-book-10-15</t>
  </si>
  <si>
    <t>Actual Order</t>
  </si>
  <si>
    <t>PRODUCT NAME</t>
  </si>
  <si>
    <t>Azul y Garanza Viura</t>
  </si>
  <si>
    <t>ROTH CHARDONNAY SONOMA COAST</t>
  </si>
  <si>
    <t>Obsession Symphony</t>
  </si>
  <si>
    <t>Pellegrini 'Susan’s Vineyard' Zinfandel</t>
  </si>
  <si>
    <t>Pillar Box Red</t>
  </si>
  <si>
    <t>Three Rivers Red</t>
  </si>
  <si>
    <t>Women in Wine</t>
  </si>
  <si>
    <t>QTY cases</t>
  </si>
  <si>
    <t>QTY Bottles</t>
  </si>
  <si>
    <t>Active Members w/ Next Order Date in October</t>
  </si>
  <si>
    <t>Total Est. Active Members w/ Next Order Date in Oct as of</t>
  </si>
  <si>
    <t xml:space="preserve">*Active
*NOD = 10/28 to 11/27
</t>
  </si>
  <si>
    <t xml:space="preserve">
*Active
*NOD = 10/10 to 10/27       *Every Month</t>
  </si>
  <si>
    <t>Nov</t>
  </si>
  <si>
    <t>Dec</t>
  </si>
  <si>
    <t>Jan</t>
  </si>
  <si>
    <t>Feb</t>
  </si>
  <si>
    <t>New Members</t>
  </si>
  <si>
    <t>Gift Sales</t>
  </si>
  <si>
    <t>Total Orders</t>
  </si>
  <si>
    <t>Gifts</t>
  </si>
  <si>
    <t>Email List Size</t>
  </si>
  <si>
    <t>Forecasted</t>
  </si>
  <si>
    <t>3 Pack Boxes</t>
  </si>
  <si>
    <t>6 Pack Boxes</t>
  </si>
  <si>
    <t>12 Pack Boxes</t>
  </si>
  <si>
    <t>GA Orders</t>
  </si>
  <si>
    <t>GA Traffic</t>
  </si>
  <si>
    <t>New Members (non gift)</t>
  </si>
  <si>
    <t>Existing Members</t>
  </si>
  <si>
    <t>FMF Churn</t>
  </si>
  <si>
    <t>Regular Churn</t>
  </si>
  <si>
    <t xml:space="preserve">
*Active
*NOD = 10/30 to 11/27       *Every Month</t>
  </si>
  <si>
    <t xml:space="preserve">*Active
*NOD = 11/28 to 12/27
</t>
  </si>
  <si>
    <t>Cases to Order</t>
  </si>
  <si>
    <t>Plus: Buffer / Gift Additions</t>
  </si>
  <si>
    <t>Red members</t>
  </si>
  <si>
    <t>White members</t>
  </si>
  <si>
    <t>6 Variety</t>
  </si>
  <si>
    <t>Boxes</t>
  </si>
  <si>
    <t>Actual Packages</t>
  </si>
  <si>
    <t>Actual Packages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</si>
</sst>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3" fontId="0" fillId="0" borderId="0" xfId="0" applyNumberForma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Continuous"/>
    </xf>
    <xf numFmtId="3" fontId="5" fillId="0" borderId="0" xfId="0" applyNumberFormat="1" applyFont="1"/>
    <xf numFmtId="3" fontId="0" fillId="0" borderId="1" xfId="0" applyNumberFormat="1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2" fontId="0" fillId="0" borderId="4" xfId="0" applyNumberFormat="1" applyBorder="1"/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9" fontId="0" fillId="0" borderId="0" xfId="0" applyNumberFormat="1"/>
    <xf numFmtId="9" fontId="5" fillId="0" borderId="0" xfId="0" applyNumberFormat="1" applyFont="1"/>
    <xf numFmtId="14" fontId="5" fillId="0" borderId="0" xfId="0" applyNumberFormat="1" applyFont="1"/>
    <xf numFmtId="0" fontId="0" fillId="0" borderId="0" xfId="0" applyAlignment="1">
      <alignment horizontal="right"/>
    </xf>
    <xf numFmtId="9" fontId="6" fillId="0" borderId="0" xfId="0" applyNumberFormat="1" applyFont="1"/>
    <xf numFmtId="14" fontId="6" fillId="0" borderId="0" xfId="0" applyNumberFormat="1" applyFont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3" fontId="0" fillId="3" borderId="7" xfId="0" applyNumberFormat="1" applyFill="1" applyBorder="1"/>
    <xf numFmtId="0" fontId="0" fillId="0" borderId="8" xfId="0" applyBorder="1"/>
    <xf numFmtId="0" fontId="0" fillId="0" borderId="0" xfId="0" applyBorder="1"/>
    <xf numFmtId="0" fontId="0" fillId="0" borderId="0" xfId="0" applyAlignment="1">
      <alignment horizontal="left" indent="1"/>
    </xf>
    <xf numFmtId="3" fontId="6" fillId="0" borderId="0" xfId="0" applyNumberFormat="1" applyFont="1"/>
    <xf numFmtId="1" fontId="6" fillId="0" borderId="0" xfId="0" applyNumberFormat="1" applyFont="1"/>
    <xf numFmtId="1" fontId="5" fillId="0" borderId="0" xfId="0" applyNumberFormat="1" applyFont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0" fillId="0" borderId="0" xfId="0" applyNumberFormat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0" borderId="0" xfId="0" applyNumberFormat="1" applyFont="1"/>
    <xf numFmtId="3" fontId="6" fillId="3" borderId="0" xfId="0" applyNumberFormat="1" applyFont="1" applyFill="1"/>
    <xf numFmtId="0" fontId="10" fillId="4" borderId="10" xfId="0" applyFont="1" applyFill="1" applyBorder="1" applyAlignment="1">
      <alignment wrapText="1"/>
    </xf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5" fillId="7" borderId="0" xfId="0" applyFont="1" applyFill="1"/>
    <xf numFmtId="3" fontId="5" fillId="8" borderId="0" xfId="0" applyNumberFormat="1" applyFont="1" applyFill="1"/>
    <xf numFmtId="14" fontId="5" fillId="8" borderId="0" xfId="0" applyNumberFormat="1" applyFont="1" applyFill="1" applyAlignment="1">
      <alignment horizontal="right"/>
    </xf>
    <xf numFmtId="9" fontId="5" fillId="7" borderId="0" xfId="0" applyNumberFormat="1" applyFont="1" applyFill="1"/>
    <xf numFmtId="165" fontId="5" fillId="7" borderId="0" xfId="0" applyNumberFormat="1" applyFont="1" applyFill="1"/>
    <xf numFmtId="166" fontId="5" fillId="7" borderId="0" xfId="0" applyNumberFormat="1" applyFont="1" applyFill="1"/>
    <xf numFmtId="0" fontId="0" fillId="9" borderId="0" xfId="0" applyFill="1"/>
    <xf numFmtId="17" fontId="0" fillId="0" borderId="0" xfId="0" applyNumberFormat="1"/>
    <xf numFmtId="167" fontId="0" fillId="0" borderId="0" xfId="3" applyNumberFormat="1" applyFont="1"/>
    <xf numFmtId="9" fontId="0" fillId="0" borderId="0" xfId="4" applyFont="1"/>
    <xf numFmtId="0" fontId="1" fillId="10" borderId="8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</cellXfs>
  <cellStyles count="5">
    <cellStyle name="Comma" xfId="3" builtinId="3"/>
    <cellStyle name="Followed Hyperlink" xfId="2" builtinId="9" hidden="1"/>
    <cellStyle name="Hyperlink" xfId="1" builtinId="8" hidde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4" width="10.6640625" bestFit="1" customWidth="1"/>
  </cols>
  <sheetData>
    <row r="1" spans="1:4" x14ac:dyDescent="0.2">
      <c r="A1" s="4" t="s">
        <v>6</v>
      </c>
    </row>
    <row r="2" spans="1:4" x14ac:dyDescent="0.2">
      <c r="A2" t="s">
        <v>1</v>
      </c>
      <c r="B2">
        <f>3*0.9+6*0.1</f>
        <v>3.3000000000000003</v>
      </c>
    </row>
    <row r="5" spans="1:4" x14ac:dyDescent="0.2">
      <c r="A5" s="9" t="s">
        <v>0</v>
      </c>
      <c r="B5" s="9"/>
      <c r="C5" s="10"/>
      <c r="D5" s="10"/>
    </row>
    <row r="6" spans="1:4" x14ac:dyDescent="0.2">
      <c r="A6" s="1"/>
      <c r="B6" s="1"/>
    </row>
    <row r="7" spans="1:4" ht="15" customHeight="1" x14ac:dyDescent="0.2"/>
    <row r="8" spans="1:4" x14ac:dyDescent="0.2">
      <c r="B8" s="5" t="s">
        <v>4</v>
      </c>
      <c r="C8" s="5" t="s">
        <v>5</v>
      </c>
      <c r="D8" s="5" t="s">
        <v>8</v>
      </c>
    </row>
    <row r="9" spans="1:4" x14ac:dyDescent="0.2">
      <c r="A9" t="s">
        <v>3</v>
      </c>
      <c r="B9" s="7">
        <v>750</v>
      </c>
      <c r="C9" s="7">
        <f>B9/12</f>
        <v>62.5</v>
      </c>
      <c r="D9" s="7">
        <f>B9/B2</f>
        <v>227.27272727272725</v>
      </c>
    </row>
    <row r="10" spans="1:4" x14ac:dyDescent="0.2">
      <c r="A10" t="s">
        <v>2</v>
      </c>
      <c r="B10" s="7">
        <f>C10*12</f>
        <v>4032</v>
      </c>
      <c r="C10" s="7">
        <f>6*56</f>
        <v>336</v>
      </c>
      <c r="D10" s="7">
        <f>B10/B2</f>
        <v>1221.8181818181818</v>
      </c>
    </row>
    <row r="11" spans="1:4" x14ac:dyDescent="0.2">
      <c r="A11" t="s">
        <v>7</v>
      </c>
      <c r="B11" s="15">
        <f>SUM(B9:B10)</f>
        <v>4782</v>
      </c>
      <c r="C11" s="8">
        <f>SUM(C9:C10)</f>
        <v>398.5</v>
      </c>
      <c r="D11" s="8">
        <f>B11/B2</f>
        <v>1449.090909090909</v>
      </c>
    </row>
    <row r="12" spans="1:4" ht="6" customHeight="1" x14ac:dyDescent="0.2">
      <c r="B12" s="6"/>
      <c r="C12" s="6"/>
    </row>
    <row r="13" spans="1:4" x14ac:dyDescent="0.2">
      <c r="A13" t="s">
        <v>9</v>
      </c>
      <c r="B13" s="7">
        <f>-D13*B2</f>
        <v>-2475</v>
      </c>
      <c r="C13" s="7"/>
      <c r="D13" s="12">
        <v>750</v>
      </c>
    </row>
    <row r="14" spans="1:4" x14ac:dyDescent="0.2">
      <c r="A14" t="s">
        <v>10</v>
      </c>
      <c r="B14" s="8">
        <f>SUM(B11:B13)</f>
        <v>2307</v>
      </c>
      <c r="C14" s="8"/>
      <c r="D14" s="8">
        <f>B14/B2</f>
        <v>699.09090909090901</v>
      </c>
    </row>
    <row r="15" spans="1:4" ht="6" customHeight="1" x14ac:dyDescent="0.2">
      <c r="B15" s="11"/>
      <c r="C15" s="11"/>
    </row>
    <row r="16" spans="1:4" x14ac:dyDescent="0.2">
      <c r="A16" t="s">
        <v>14</v>
      </c>
      <c r="B16" s="11">
        <f>-D16*B2</f>
        <v>-1100</v>
      </c>
      <c r="C16" s="11"/>
      <c r="D16" s="13">
        <f>1000/3</f>
        <v>333.33333333333331</v>
      </c>
    </row>
    <row r="17" spans="1:5" x14ac:dyDescent="0.2">
      <c r="A17" t="s">
        <v>11</v>
      </c>
      <c r="B17" s="8">
        <f>SUM(B14:B16)</f>
        <v>1207</v>
      </c>
      <c r="C17" s="8"/>
      <c r="D17" s="8">
        <f>B17/B2</f>
        <v>365.75757575757575</v>
      </c>
      <c r="E17" t="s">
        <v>12</v>
      </c>
    </row>
    <row r="22" spans="1:5" x14ac:dyDescent="0.2">
      <c r="A22" s="9" t="s">
        <v>15</v>
      </c>
      <c r="B22" s="9"/>
      <c r="C22" s="10"/>
      <c r="D22" s="10"/>
    </row>
    <row r="24" spans="1:5" x14ac:dyDescent="0.2">
      <c r="A24" t="s">
        <v>21</v>
      </c>
      <c r="D24" s="2">
        <f>D13*0.9</f>
        <v>675</v>
      </c>
    </row>
    <row r="25" spans="1:5" x14ac:dyDescent="0.2">
      <c r="A25" t="s">
        <v>20</v>
      </c>
      <c r="D25" s="2">
        <f>1000-D16</f>
        <v>666.66666666666674</v>
      </c>
      <c r="E25" t="s">
        <v>13</v>
      </c>
    </row>
    <row r="26" spans="1:5" x14ac:dyDescent="0.2">
      <c r="A26" t="s">
        <v>22</v>
      </c>
      <c r="D26" s="2">
        <f>D16*0.8*0.7</f>
        <v>186.66666666666666</v>
      </c>
      <c r="E26" t="s">
        <v>13</v>
      </c>
    </row>
    <row r="27" spans="1:5" x14ac:dyDescent="0.2">
      <c r="D27" s="3">
        <f>SUM(D24:D26)</f>
        <v>1528.3333333333335</v>
      </c>
    </row>
    <row r="28" spans="1:5" ht="6" customHeight="1" x14ac:dyDescent="0.2">
      <c r="D28" s="2"/>
    </row>
    <row r="29" spans="1:5" x14ac:dyDescent="0.2">
      <c r="A29" t="s">
        <v>23</v>
      </c>
      <c r="D29" s="14">
        <f>1500/3</f>
        <v>500</v>
      </c>
      <c r="E29" t="s">
        <v>16</v>
      </c>
    </row>
    <row r="30" spans="1:5" x14ac:dyDescent="0.2">
      <c r="A30" t="s">
        <v>24</v>
      </c>
      <c r="D30" s="3">
        <f>SUM(D27:D29)</f>
        <v>2028.3333333333335</v>
      </c>
    </row>
    <row r="31" spans="1:5" ht="16" thickBot="1" x14ac:dyDescent="0.25">
      <c r="D31" s="2"/>
    </row>
    <row r="32" spans="1:5" x14ac:dyDescent="0.2">
      <c r="A32" t="s">
        <v>17</v>
      </c>
      <c r="D32" s="16">
        <f>D30*B2</f>
        <v>6693.5000000000009</v>
      </c>
    </row>
    <row r="33" spans="1:4" x14ac:dyDescent="0.2">
      <c r="A33" t="s">
        <v>18</v>
      </c>
      <c r="D33" s="17">
        <f>D32/12</f>
        <v>557.79166666666674</v>
      </c>
    </row>
    <row r="34" spans="1:4" ht="16" thickBot="1" x14ac:dyDescent="0.25">
      <c r="A34" t="s">
        <v>19</v>
      </c>
      <c r="D34" s="18">
        <f>D33/56</f>
        <v>9.9605654761904781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abSelected="1" zoomScale="132" zoomScaleNormal="132" zoomScalePageLayoutView="132" workbookViewId="0">
      <selection activeCell="B2" sqref="B2"/>
    </sheetView>
  </sheetViews>
  <sheetFormatPr baseColWidth="10" defaultColWidth="8.83203125" defaultRowHeight="15" x14ac:dyDescent="0.2"/>
  <cols>
    <col min="1" max="1" width="53.5" bestFit="1" customWidth="1"/>
    <col min="2" max="2" width="25.33203125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46" thickBot="1" x14ac:dyDescent="0.25">
      <c r="A1" s="4" t="s">
        <v>38</v>
      </c>
      <c r="E1" s="49" t="s">
        <v>144</v>
      </c>
      <c r="F1" s="49" t="s">
        <v>145</v>
      </c>
      <c r="K1" s="5" t="s">
        <v>30</v>
      </c>
      <c r="L1" s="5" t="s">
        <v>29</v>
      </c>
    </row>
    <row r="2" spans="1:15" x14ac:dyDescent="0.2">
      <c r="A2" t="s">
        <v>39</v>
      </c>
      <c r="B2" s="54">
        <v>33</v>
      </c>
      <c r="D2" s="36" t="s">
        <v>57</v>
      </c>
      <c r="E2" s="55">
        <v>332</v>
      </c>
      <c r="F2" s="55">
        <v>159</v>
      </c>
      <c r="G2" s="48">
        <f>SUM(E2:F2)</f>
        <v>491</v>
      </c>
      <c r="H2" s="25">
        <f>G2/G$5</f>
        <v>0.30880503144654087</v>
      </c>
      <c r="J2" s="36" t="s">
        <v>57</v>
      </c>
      <c r="K2" s="38">
        <f>G2*3</f>
        <v>1473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92</v>
      </c>
      <c r="F3" s="55">
        <v>52</v>
      </c>
      <c r="G3" s="48">
        <f>SUM(E3:F3)</f>
        <v>144</v>
      </c>
      <c r="H3" s="25">
        <f>G3/G$5</f>
        <v>9.056603773584905E-2</v>
      </c>
      <c r="J3" s="36" t="s">
        <v>58</v>
      </c>
      <c r="K3" s="39">
        <v>0</v>
      </c>
      <c r="L3" s="38">
        <f>G3*3</f>
        <v>432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610</v>
      </c>
      <c r="F4" s="55">
        <v>345</v>
      </c>
      <c r="G4" s="48">
        <f>SUM(E4:F4)</f>
        <v>955</v>
      </c>
      <c r="H4" s="25">
        <f t="shared" ref="H4" si="0">G4/G$5</f>
        <v>0.60062893081761004</v>
      </c>
      <c r="J4" s="36" t="s">
        <v>60</v>
      </c>
      <c r="K4" s="38">
        <f>G4*2*N4</f>
        <v>1337</v>
      </c>
      <c r="L4" s="38">
        <f>G4*1*N4</f>
        <v>668.5</v>
      </c>
      <c r="M4" t="s">
        <v>64</v>
      </c>
      <c r="N4" s="57">
        <v>0.7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1034</v>
      </c>
      <c r="F5" s="3">
        <f>SUM(F2:F4)</f>
        <v>556</v>
      </c>
      <c r="G5" s="3">
        <f>SUM(G2:G4)</f>
        <v>1590</v>
      </c>
      <c r="H5" s="3"/>
      <c r="J5" s="36" t="s">
        <v>61</v>
      </c>
      <c r="K5" s="38">
        <f>G4*1*N5</f>
        <v>286.50000000000006</v>
      </c>
      <c r="L5" s="38">
        <f>G4*N5*2</f>
        <v>573.00000000000011</v>
      </c>
      <c r="M5" t="s">
        <v>64</v>
      </c>
      <c r="N5" s="29">
        <f>1-N4</f>
        <v>0.30000000000000004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3096.5</v>
      </c>
      <c r="L6" s="3">
        <f>SUM(L2:L5)</f>
        <v>1673.5</v>
      </c>
    </row>
    <row r="7" spans="1:15" x14ac:dyDescent="0.2">
      <c r="B7" s="29"/>
      <c r="E7" s="14"/>
      <c r="F7" s="14"/>
      <c r="G7" s="14"/>
      <c r="K7" s="25">
        <f>K6/SUM(K6:L6)</f>
        <v>0.6491614255765199</v>
      </c>
      <c r="L7" s="25">
        <f>L6/SUM(K6:L6)</f>
        <v>0.3508385744234801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121</v>
      </c>
      <c r="B11" s="56">
        <v>42307</v>
      </c>
      <c r="C11" s="37">
        <f>G5</f>
        <v>1590</v>
      </c>
      <c r="D11" t="s">
        <v>56</v>
      </c>
    </row>
    <row r="12" spans="1:15" x14ac:dyDescent="0.2">
      <c r="A12" s="28" t="s">
        <v>43</v>
      </c>
      <c r="B12" s="24">
        <v>42336</v>
      </c>
      <c r="C12" s="2">
        <f>(B12-B11)*B2</f>
        <v>957</v>
      </c>
    </row>
    <row r="13" spans="1:15" x14ac:dyDescent="0.2">
      <c r="A13" s="28" t="s">
        <v>44</v>
      </c>
      <c r="B13" s="21">
        <f>B12</f>
        <v>42336</v>
      </c>
      <c r="C13" s="2">
        <f>-C12*B3</f>
        <v>-669.9</v>
      </c>
    </row>
    <row r="14" spans="1:15" x14ac:dyDescent="0.2">
      <c r="A14" s="28" t="s">
        <v>122</v>
      </c>
      <c r="B14" s="20">
        <f>B12</f>
        <v>42336</v>
      </c>
      <c r="C14" s="3">
        <f>SUM(C11:C13)</f>
        <v>1877.1</v>
      </c>
      <c r="F14" s="2"/>
    </row>
    <row r="15" spans="1:15" x14ac:dyDescent="0.2">
      <c r="A15" s="28" t="s">
        <v>97</v>
      </c>
      <c r="B15" s="20"/>
      <c r="C15" s="43">
        <f>-C14*B4</f>
        <v>-140.7825</v>
      </c>
      <c r="F15" s="2"/>
    </row>
    <row r="16" spans="1:15" ht="16" thickBot="1" x14ac:dyDescent="0.25">
      <c r="A16" s="28" t="s">
        <v>147</v>
      </c>
      <c r="C16" s="2">
        <v>100</v>
      </c>
    </row>
    <row r="17" spans="1:13" ht="16" thickBot="1" x14ac:dyDescent="0.25">
      <c r="A17" s="31" t="s">
        <v>52</v>
      </c>
      <c r="B17" s="32"/>
      <c r="C17" s="33">
        <f>SUM(C14:C16)</f>
        <v>1836.3174999999999</v>
      </c>
      <c r="D17" t="s">
        <v>51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64" t="s">
        <v>146</v>
      </c>
      <c r="G20" s="6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F21" s="50" t="s">
        <v>68</v>
      </c>
      <c r="G21" s="51">
        <f>$D$23/3</f>
        <v>106.63559852623008</v>
      </c>
    </row>
    <row r="22" spans="1:13" x14ac:dyDescent="0.2">
      <c r="A22" s="28" t="s">
        <v>67</v>
      </c>
      <c r="B22" s="6"/>
      <c r="C22" s="7">
        <f>C17*B6</f>
        <v>5913.6008328513581</v>
      </c>
      <c r="D22" s="7">
        <f>C22/12</f>
        <v>492.80006940427984</v>
      </c>
      <c r="F22" s="50" t="s">
        <v>69</v>
      </c>
      <c r="G22" s="51">
        <f>$D$23/3</f>
        <v>106.63559852623008</v>
      </c>
    </row>
    <row r="23" spans="1:13" x14ac:dyDescent="0.2">
      <c r="A23" s="40" t="s">
        <v>62</v>
      </c>
      <c r="B23" s="41">
        <f>K7</f>
        <v>0.6491614255765199</v>
      </c>
      <c r="C23" s="42">
        <f>C22*B23</f>
        <v>3838.8815469442829</v>
      </c>
      <c r="D23" s="42">
        <f t="shared" ref="D23:D24" si="1">C23/12</f>
        <v>319.90679557869026</v>
      </c>
      <c r="F23" s="50" t="s">
        <v>70</v>
      </c>
      <c r="G23" s="51">
        <f>$D$23/3</f>
        <v>106.63559852623008</v>
      </c>
      <c r="K23" s="2"/>
      <c r="M23" s="2"/>
    </row>
    <row r="24" spans="1:13" x14ac:dyDescent="0.2">
      <c r="A24" s="40" t="s">
        <v>63</v>
      </c>
      <c r="B24" s="41">
        <f>L7</f>
        <v>0.3508385744234801</v>
      </c>
      <c r="C24" s="42">
        <f>B24*C22</f>
        <v>2074.7192859070751</v>
      </c>
      <c r="D24" s="42">
        <f t="shared" si="1"/>
        <v>172.8932738255896</v>
      </c>
      <c r="F24" s="52" t="s">
        <v>71</v>
      </c>
      <c r="G24" s="53">
        <f>$D$24/3</f>
        <v>57.631091275196532</v>
      </c>
    </row>
    <row r="25" spans="1:13" x14ac:dyDescent="0.2">
      <c r="F25" s="52" t="s">
        <v>72</v>
      </c>
      <c r="G25" s="53">
        <f t="shared" ref="G25:G26" si="2">$D$24/3</f>
        <v>57.631091275196532</v>
      </c>
    </row>
    <row r="26" spans="1:13" x14ac:dyDescent="0.2">
      <c r="F26" s="52" t="s">
        <v>73</v>
      </c>
      <c r="G26" s="53">
        <f t="shared" si="2"/>
        <v>57.631091275196532</v>
      </c>
    </row>
    <row r="28" spans="1:13" x14ac:dyDescent="0.2">
      <c r="I28" s="19"/>
      <c r="M28" s="19"/>
    </row>
    <row r="31" spans="1:13" x14ac:dyDescent="0.2">
      <c r="B31" s="65"/>
    </row>
    <row r="32" spans="1:13" x14ac:dyDescent="0.2">
      <c r="B32" s="65"/>
      <c r="C32" t="s">
        <v>151</v>
      </c>
      <c r="D32" t="s">
        <v>4</v>
      </c>
    </row>
    <row r="33" spans="2:4" x14ac:dyDescent="0.2">
      <c r="B33" s="65" t="s">
        <v>148</v>
      </c>
      <c r="C33">
        <f>C17*0.2</f>
        <v>367.26350000000002</v>
      </c>
      <c r="D33">
        <f>C33*3</f>
        <v>1101.7905000000001</v>
      </c>
    </row>
    <row r="34" spans="2:4" x14ac:dyDescent="0.2">
      <c r="B34" t="s">
        <v>149</v>
      </c>
      <c r="C34">
        <f>C17*0.08</f>
        <v>146.90539999999999</v>
      </c>
      <c r="D34">
        <f t="shared" ref="D34:D35" si="3">C34*3</f>
        <v>440.71619999999996</v>
      </c>
    </row>
    <row r="35" spans="2:4" x14ac:dyDescent="0.2">
      <c r="B35" t="s">
        <v>150</v>
      </c>
      <c r="C35">
        <f>C17*0.08</f>
        <v>146.90539999999999</v>
      </c>
      <c r="D35">
        <f>C35*6</f>
        <v>881.43239999999992</v>
      </c>
    </row>
    <row r="36" spans="2:4" x14ac:dyDescent="0.2">
      <c r="B36" t="s">
        <v>59</v>
      </c>
      <c r="C36" s="2">
        <f>C17-(C33+C34+C35)</f>
        <v>1175.2431999999999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132" zoomScaleNormal="132" zoomScalePageLayoutView="132" workbookViewId="0">
      <selection activeCell="E2" sqref="E2"/>
    </sheetView>
  </sheetViews>
  <sheetFormatPr baseColWidth="10" defaultColWidth="8.83203125" defaultRowHeight="15" x14ac:dyDescent="0.2"/>
  <cols>
    <col min="1" max="1" width="53.5" bestFit="1" customWidth="1"/>
    <col min="2" max="2" width="25.33203125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46" thickBot="1" x14ac:dyDescent="0.25">
      <c r="A1" s="4" t="s">
        <v>38</v>
      </c>
      <c r="E1" s="49" t="s">
        <v>124</v>
      </c>
      <c r="F1" s="49" t="s">
        <v>123</v>
      </c>
      <c r="K1" s="5" t="s">
        <v>30</v>
      </c>
      <c r="L1" s="5" t="s">
        <v>29</v>
      </c>
    </row>
    <row r="2" spans="1:15" x14ac:dyDescent="0.2">
      <c r="A2" t="s">
        <v>39</v>
      </c>
      <c r="B2" s="54">
        <v>10</v>
      </c>
      <c r="D2" s="36" t="s">
        <v>57</v>
      </c>
      <c r="E2" s="55">
        <v>127</v>
      </c>
      <c r="F2" s="55">
        <v>361</v>
      </c>
      <c r="G2" s="48">
        <f>SUM(E2:F2)</f>
        <v>488</v>
      </c>
      <c r="H2" s="25">
        <f>G2/G$5</f>
        <v>0.28175519630484991</v>
      </c>
      <c r="J2" s="36" t="s">
        <v>57</v>
      </c>
      <c r="K2" s="38">
        <f>G2*3</f>
        <v>1464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52</v>
      </c>
      <c r="F3" s="55">
        <v>108</v>
      </c>
      <c r="G3" s="48">
        <f>SUM(E3:F3)</f>
        <v>160</v>
      </c>
      <c r="H3" s="25">
        <f>G3/G$5</f>
        <v>9.237875288683603E-2</v>
      </c>
      <c r="J3" s="36" t="s">
        <v>58</v>
      </c>
      <c r="K3" s="39">
        <v>0</v>
      </c>
      <c r="L3" s="38">
        <f>E3*3</f>
        <v>156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311</v>
      </c>
      <c r="F4" s="55">
        <v>773</v>
      </c>
      <c r="G4" s="48">
        <f>SUM(E4:F4)</f>
        <v>1084</v>
      </c>
      <c r="H4" s="25">
        <f t="shared" ref="H4" si="0">G4/G$5</f>
        <v>0.62586605080831403</v>
      </c>
      <c r="J4" s="36" t="s">
        <v>60</v>
      </c>
      <c r="K4" s="38">
        <f>G4*2*N4</f>
        <v>1300.8</v>
      </c>
      <c r="L4" s="38">
        <f>G4*1*N4</f>
        <v>650.4</v>
      </c>
      <c r="M4" t="s">
        <v>64</v>
      </c>
      <c r="N4" s="57">
        <v>0.6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490</v>
      </c>
      <c r="F5" s="3">
        <f>SUM(F2:F4)</f>
        <v>1242</v>
      </c>
      <c r="G5" s="3">
        <f>SUM(G2:G4)</f>
        <v>1732</v>
      </c>
      <c r="H5" s="3"/>
      <c r="J5" s="36" t="s">
        <v>61</v>
      </c>
      <c r="K5" s="38">
        <f>G4*1*N5</f>
        <v>433.6</v>
      </c>
      <c r="L5" s="38">
        <f>G4*N5*2</f>
        <v>867.2</v>
      </c>
      <c r="M5" t="s">
        <v>64</v>
      </c>
      <c r="N5" s="29">
        <f>1-N4</f>
        <v>0.4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3198.4</v>
      </c>
      <c r="L6" s="3">
        <f>SUM(L2:L5)</f>
        <v>1673.6</v>
      </c>
    </row>
    <row r="7" spans="1:15" x14ac:dyDescent="0.2">
      <c r="B7" s="29"/>
      <c r="E7" s="14"/>
      <c r="F7" s="14"/>
      <c r="G7" s="14"/>
      <c r="K7" s="25">
        <f>K6/SUM(K6:L6)</f>
        <v>0.65648604269293931</v>
      </c>
      <c r="L7" s="25">
        <f>L6/SUM(K6:L6)</f>
        <v>0.34351395730706075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121</v>
      </c>
      <c r="B11" s="56">
        <v>42287</v>
      </c>
      <c r="C11" s="37">
        <f>G5</f>
        <v>1732</v>
      </c>
      <c r="D11" t="s">
        <v>56</v>
      </c>
    </row>
    <row r="12" spans="1:15" x14ac:dyDescent="0.2">
      <c r="A12" s="28" t="s">
        <v>43</v>
      </c>
      <c r="B12" s="24">
        <v>42305</v>
      </c>
      <c r="C12" s="2">
        <f>(B12-B11)*B2</f>
        <v>180</v>
      </c>
    </row>
    <row r="13" spans="1:15" x14ac:dyDescent="0.2">
      <c r="A13" s="28" t="s">
        <v>44</v>
      </c>
      <c r="B13" s="21">
        <f>B12</f>
        <v>42305</v>
      </c>
      <c r="C13" s="2">
        <f>-C12*B3</f>
        <v>-125.99999999999999</v>
      </c>
    </row>
    <row r="14" spans="1:15" x14ac:dyDescent="0.2">
      <c r="A14" s="28" t="s">
        <v>122</v>
      </c>
      <c r="B14" s="20">
        <f>B12</f>
        <v>42305</v>
      </c>
      <c r="C14" s="3">
        <f>SUM(C11:C13)</f>
        <v>1786</v>
      </c>
      <c r="F14" s="2"/>
    </row>
    <row r="15" spans="1:15" x14ac:dyDescent="0.2">
      <c r="A15" s="28" t="s">
        <v>97</v>
      </c>
      <c r="B15" s="20"/>
      <c r="C15" s="43">
        <f>-C14*B4</f>
        <v>-133.94999999999999</v>
      </c>
      <c r="F15" s="2"/>
    </row>
    <row r="16" spans="1:15" ht="16" thickBot="1" x14ac:dyDescent="0.25">
      <c r="A16" s="28" t="s">
        <v>32</v>
      </c>
      <c r="C16" s="2">
        <f>B5</f>
        <v>100</v>
      </c>
    </row>
    <row r="17" spans="1:13" ht="16" thickBot="1" x14ac:dyDescent="0.25">
      <c r="A17" s="31" t="s">
        <v>52</v>
      </c>
      <c r="B17" s="32"/>
      <c r="C17" s="33">
        <f>SUM(C14:C16)</f>
        <v>1752.05</v>
      </c>
      <c r="D17" t="s">
        <v>51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F21" s="50" t="s">
        <v>68</v>
      </c>
      <c r="G21" s="51">
        <f>$D$23/3</f>
        <v>102.89013229043304</v>
      </c>
    </row>
    <row r="22" spans="1:13" x14ac:dyDescent="0.2">
      <c r="A22" s="28" t="s">
        <v>67</v>
      </c>
      <c r="B22" s="6"/>
      <c r="C22" s="7">
        <f>C17*B6</f>
        <v>5642.2292654713701</v>
      </c>
      <c r="D22" s="7">
        <f>C22/12</f>
        <v>470.1857721226142</v>
      </c>
      <c r="F22" s="50" t="s">
        <v>69</v>
      </c>
      <c r="G22" s="51">
        <f>$D$23/3</f>
        <v>102.89013229043304</v>
      </c>
    </row>
    <row r="23" spans="1:13" x14ac:dyDescent="0.2">
      <c r="A23" s="40" t="s">
        <v>62</v>
      </c>
      <c r="B23" s="41">
        <f>K7</f>
        <v>0.65648604269293931</v>
      </c>
      <c r="C23" s="42">
        <f>C22*B23</f>
        <v>3704.0447624555895</v>
      </c>
      <c r="D23" s="42">
        <f t="shared" ref="D23:D24" si="1">C23/12</f>
        <v>308.67039687129915</v>
      </c>
      <c r="F23" s="50" t="s">
        <v>70</v>
      </c>
      <c r="G23" s="51">
        <f>$D$23/3</f>
        <v>102.89013229043304</v>
      </c>
      <c r="K23" s="2"/>
      <c r="M23" s="2"/>
    </row>
    <row r="24" spans="1:13" x14ac:dyDescent="0.2">
      <c r="A24" s="40" t="s">
        <v>63</v>
      </c>
      <c r="B24" s="41">
        <f>L7</f>
        <v>0.34351395730706075</v>
      </c>
      <c r="C24" s="42">
        <f>B24*C22</f>
        <v>1938.184503015781</v>
      </c>
      <c r="D24" s="42">
        <f t="shared" si="1"/>
        <v>161.51537525131508</v>
      </c>
      <c r="F24" s="52" t="s">
        <v>71</v>
      </c>
      <c r="G24" s="53">
        <f>$D$24/3</f>
        <v>53.838458417105024</v>
      </c>
    </row>
    <row r="25" spans="1:13" x14ac:dyDescent="0.2">
      <c r="F25" s="52" t="s">
        <v>72</v>
      </c>
      <c r="G25" s="53">
        <f t="shared" ref="G25:G26" si="2">$D$24/3</f>
        <v>53.838458417105024</v>
      </c>
    </row>
    <row r="26" spans="1:13" x14ac:dyDescent="0.2">
      <c r="F26" s="52" t="s">
        <v>73</v>
      </c>
      <c r="G26" s="53">
        <f t="shared" si="2"/>
        <v>53.838458417105024</v>
      </c>
    </row>
    <row r="28" spans="1:13" x14ac:dyDescent="0.2">
      <c r="I28" s="19"/>
      <c r="M28" s="19"/>
    </row>
    <row r="31" spans="1:13" x14ac:dyDescent="0.2">
      <c r="B31" s="60"/>
    </row>
    <row r="32" spans="1:13" x14ac:dyDescent="0.2">
      <c r="B32" s="60"/>
    </row>
    <row r="33" spans="2:2" x14ac:dyDescent="0.2">
      <c r="B33" s="60"/>
    </row>
  </sheetData>
  <pageMargins left="0.7" right="0.7" top="0.75" bottom="0.75" header="0.3" footer="0.3"/>
  <pageSetup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132" zoomScaleNormal="132" zoomScalePageLayoutView="132" workbookViewId="0">
      <selection activeCell="B2" sqref="B2"/>
    </sheetView>
  </sheetViews>
  <sheetFormatPr baseColWidth="10" defaultColWidth="8.83203125" defaultRowHeight="15" x14ac:dyDescent="0.2"/>
  <cols>
    <col min="1" max="1" width="53.5" bestFit="1" customWidth="1"/>
    <col min="2" max="2" width="25.33203125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46" thickBot="1" x14ac:dyDescent="0.25">
      <c r="A1" s="4" t="s">
        <v>38</v>
      </c>
      <c r="E1" s="49" t="s">
        <v>124</v>
      </c>
      <c r="F1" s="49" t="s">
        <v>123</v>
      </c>
      <c r="K1" s="5" t="s">
        <v>30</v>
      </c>
      <c r="L1" s="5" t="s">
        <v>29</v>
      </c>
    </row>
    <row r="2" spans="1:15" x14ac:dyDescent="0.2">
      <c r="A2" t="s">
        <v>39</v>
      </c>
      <c r="B2" s="54">
        <v>10</v>
      </c>
      <c r="D2" s="36" t="s">
        <v>57</v>
      </c>
      <c r="E2" s="55">
        <v>127</v>
      </c>
      <c r="F2" s="55">
        <v>361</v>
      </c>
      <c r="G2" s="48">
        <f>SUM(E2:F2)</f>
        <v>488</v>
      </c>
      <c r="H2" s="25">
        <f>G2/G$5</f>
        <v>0.28175519630484991</v>
      </c>
      <c r="J2" s="36" t="s">
        <v>57</v>
      </c>
      <c r="K2" s="38">
        <f>G2*3</f>
        <v>1464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52</v>
      </c>
      <c r="F3" s="55">
        <v>108</v>
      </c>
      <c r="G3" s="48">
        <f>SUM(E3:F3)</f>
        <v>160</v>
      </c>
      <c r="H3" s="25">
        <f>G3/G$5</f>
        <v>9.237875288683603E-2</v>
      </c>
      <c r="J3" s="36" t="s">
        <v>58</v>
      </c>
      <c r="K3" s="39">
        <v>0</v>
      </c>
      <c r="L3" s="38">
        <f>E3*3</f>
        <v>156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311</v>
      </c>
      <c r="F4" s="55">
        <v>773</v>
      </c>
      <c r="G4" s="48">
        <f>SUM(E4:F4)</f>
        <v>1084</v>
      </c>
      <c r="H4" s="25">
        <f t="shared" ref="H4" si="0">G4/G$5</f>
        <v>0.62586605080831403</v>
      </c>
      <c r="J4" s="36" t="s">
        <v>60</v>
      </c>
      <c r="K4" s="38">
        <f>G4*2*N4</f>
        <v>1300.8</v>
      </c>
      <c r="L4" s="38">
        <f>G4*1*N4</f>
        <v>650.4</v>
      </c>
      <c r="M4" t="s">
        <v>64</v>
      </c>
      <c r="N4" s="57">
        <v>0.6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490</v>
      </c>
      <c r="F5" s="3">
        <f>SUM(F2:F4)</f>
        <v>1242</v>
      </c>
      <c r="G5" s="3">
        <f>SUM(G2:G4)</f>
        <v>1732</v>
      </c>
      <c r="H5" s="3"/>
      <c r="J5" s="36" t="s">
        <v>61</v>
      </c>
      <c r="K5" s="38">
        <f>G4*1*N5</f>
        <v>433.6</v>
      </c>
      <c r="L5" s="38">
        <f>G4*N5*2</f>
        <v>867.2</v>
      </c>
      <c r="M5" t="s">
        <v>64</v>
      </c>
      <c r="N5" s="29">
        <f>1-N4</f>
        <v>0.4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3198.4</v>
      </c>
      <c r="L6" s="3">
        <f>SUM(L2:L5)</f>
        <v>1673.6</v>
      </c>
    </row>
    <row r="7" spans="1:15" x14ac:dyDescent="0.2">
      <c r="B7" s="29"/>
      <c r="E7" s="14"/>
      <c r="F7" s="14"/>
      <c r="G7" s="14"/>
      <c r="K7" s="25">
        <f>K6/SUM(K6:L6)</f>
        <v>0.65648604269293931</v>
      </c>
      <c r="L7" s="25">
        <f>L6/SUM(K6:L6)</f>
        <v>0.34351395730706075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121</v>
      </c>
      <c r="B11" s="56">
        <v>42287</v>
      </c>
      <c r="C11" s="37">
        <f>G5</f>
        <v>1732</v>
      </c>
      <c r="D11" t="s">
        <v>56</v>
      </c>
    </row>
    <row r="12" spans="1:15" x14ac:dyDescent="0.2">
      <c r="A12" s="28" t="s">
        <v>43</v>
      </c>
      <c r="B12" s="24">
        <v>42305</v>
      </c>
      <c r="C12" s="2">
        <f>(B12-B11)*B2</f>
        <v>180</v>
      </c>
    </row>
    <row r="13" spans="1:15" x14ac:dyDescent="0.2">
      <c r="A13" s="28" t="s">
        <v>44</v>
      </c>
      <c r="B13" s="21">
        <f>B12</f>
        <v>42305</v>
      </c>
      <c r="C13" s="2">
        <f>-C12*B3</f>
        <v>-125.99999999999999</v>
      </c>
    </row>
    <row r="14" spans="1:15" x14ac:dyDescent="0.2">
      <c r="A14" s="28" t="s">
        <v>122</v>
      </c>
      <c r="B14" s="20">
        <f>B12</f>
        <v>42305</v>
      </c>
      <c r="C14" s="3">
        <f>SUM(C11:C13)</f>
        <v>1786</v>
      </c>
      <c r="F14" s="2"/>
    </row>
    <row r="15" spans="1:15" x14ac:dyDescent="0.2">
      <c r="A15" s="28" t="s">
        <v>97</v>
      </c>
      <c r="B15" s="20"/>
      <c r="C15" s="43">
        <f>-C14*B4</f>
        <v>-133.94999999999999</v>
      </c>
      <c r="F15" s="2"/>
    </row>
    <row r="16" spans="1:15" ht="16" thickBot="1" x14ac:dyDescent="0.25">
      <c r="A16" s="28" t="s">
        <v>32</v>
      </c>
      <c r="C16" s="2">
        <f>B5</f>
        <v>100</v>
      </c>
    </row>
    <row r="17" spans="1:13" ht="16" thickBot="1" x14ac:dyDescent="0.25">
      <c r="A17" s="31" t="s">
        <v>52</v>
      </c>
      <c r="B17" s="32"/>
      <c r="C17" s="33">
        <f>SUM(C14:C16)</f>
        <v>1752.05</v>
      </c>
      <c r="D17" t="s">
        <v>51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F21" s="50" t="s">
        <v>68</v>
      </c>
      <c r="G21" s="51">
        <f>$D$23/3</f>
        <v>102.89013229043304</v>
      </c>
    </row>
    <row r="22" spans="1:13" x14ac:dyDescent="0.2">
      <c r="A22" s="28" t="s">
        <v>67</v>
      </c>
      <c r="B22" s="6"/>
      <c r="C22" s="7">
        <f>C17*B6</f>
        <v>5642.2292654713701</v>
      </c>
      <c r="D22" s="7">
        <f>C22/12</f>
        <v>470.1857721226142</v>
      </c>
      <c r="F22" s="50" t="s">
        <v>69</v>
      </c>
      <c r="G22" s="51">
        <f>$D$23/3</f>
        <v>102.89013229043304</v>
      </c>
    </row>
    <row r="23" spans="1:13" x14ac:dyDescent="0.2">
      <c r="A23" s="40" t="s">
        <v>62</v>
      </c>
      <c r="B23" s="41">
        <f>K7</f>
        <v>0.65648604269293931</v>
      </c>
      <c r="C23" s="42">
        <f>C22*B23</f>
        <v>3704.0447624555895</v>
      </c>
      <c r="D23" s="42">
        <f t="shared" ref="D23:D24" si="1">C23/12</f>
        <v>308.67039687129915</v>
      </c>
      <c r="F23" s="50" t="s">
        <v>70</v>
      </c>
      <c r="G23" s="51">
        <f>$D$23/3</f>
        <v>102.89013229043304</v>
      </c>
      <c r="K23" s="2"/>
      <c r="M23" s="2"/>
    </row>
    <row r="24" spans="1:13" x14ac:dyDescent="0.2">
      <c r="A24" s="40" t="s">
        <v>63</v>
      </c>
      <c r="B24" s="41">
        <f>L7</f>
        <v>0.34351395730706075</v>
      </c>
      <c r="C24" s="42">
        <f>B24*C22</f>
        <v>1938.184503015781</v>
      </c>
      <c r="D24" s="42">
        <f t="shared" si="1"/>
        <v>161.51537525131508</v>
      </c>
      <c r="F24" s="52" t="s">
        <v>71</v>
      </c>
      <c r="G24" s="53">
        <f>$D$24/3</f>
        <v>53.838458417105024</v>
      </c>
    </row>
    <row r="25" spans="1:13" x14ac:dyDescent="0.2">
      <c r="F25" s="52" t="s">
        <v>72</v>
      </c>
      <c r="G25" s="53">
        <f t="shared" ref="G25:G26" si="2">$D$24/3</f>
        <v>53.838458417105024</v>
      </c>
    </row>
    <row r="26" spans="1:13" x14ac:dyDescent="0.2">
      <c r="F26" s="52" t="s">
        <v>73</v>
      </c>
      <c r="G26" s="53">
        <f t="shared" si="2"/>
        <v>53.838458417105024</v>
      </c>
    </row>
    <row r="28" spans="1:13" x14ac:dyDescent="0.2">
      <c r="I28" s="19"/>
      <c r="M28" s="19"/>
    </row>
    <row r="31" spans="1:13" x14ac:dyDescent="0.2">
      <c r="B31" s="60"/>
    </row>
    <row r="32" spans="1:13" x14ac:dyDescent="0.2">
      <c r="B32" s="60"/>
    </row>
    <row r="33" spans="2:2" x14ac:dyDescent="0.2">
      <c r="B33" s="60"/>
    </row>
  </sheetData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26" sqref="H26"/>
    </sheetView>
  </sheetViews>
  <sheetFormatPr baseColWidth="10" defaultRowHeight="15" x14ac:dyDescent="0.2"/>
  <cols>
    <col min="1" max="1" width="14.33203125" customWidth="1"/>
    <col min="2" max="5" width="14.33203125" style="62" customWidth="1"/>
    <col min="6" max="6" width="22.1640625" style="62" customWidth="1"/>
    <col min="7" max="8" width="11.5" style="62" customWidth="1"/>
    <col min="9" max="9" width="15.1640625" style="62" customWidth="1"/>
    <col min="10" max="10" width="13.33203125" style="62" customWidth="1"/>
    <col min="11" max="11" width="13" style="62" customWidth="1"/>
    <col min="12" max="12" width="12.1640625" style="62" customWidth="1"/>
  </cols>
  <sheetData>
    <row r="1" spans="1:12" x14ac:dyDescent="0.2">
      <c r="F1" s="62" t="s">
        <v>129</v>
      </c>
      <c r="J1" s="62" t="s">
        <v>130</v>
      </c>
    </row>
    <row r="2" spans="1:12" x14ac:dyDescent="0.2">
      <c r="F2" s="62">
        <v>2014</v>
      </c>
      <c r="I2" s="62">
        <v>2015</v>
      </c>
    </row>
    <row r="3" spans="1:12" x14ac:dyDescent="0.2">
      <c r="A3" t="s">
        <v>125</v>
      </c>
    </row>
    <row r="4" spans="1:12" x14ac:dyDescent="0.2">
      <c r="A4" t="s">
        <v>126</v>
      </c>
    </row>
    <row r="5" spans="1:12" x14ac:dyDescent="0.2">
      <c r="A5" t="s">
        <v>127</v>
      </c>
    </row>
    <row r="6" spans="1:12" x14ac:dyDescent="0.2">
      <c r="A6" t="s">
        <v>128</v>
      </c>
    </row>
    <row r="15" spans="1:12" x14ac:dyDescent="0.2">
      <c r="C15" s="62" t="s">
        <v>139</v>
      </c>
      <c r="D15" s="62" t="s">
        <v>138</v>
      </c>
      <c r="E15" s="62" t="s">
        <v>133</v>
      </c>
      <c r="F15" s="62" t="s">
        <v>140</v>
      </c>
      <c r="G15" s="62" t="s">
        <v>132</v>
      </c>
      <c r="H15" s="62" t="s">
        <v>141</v>
      </c>
      <c r="I15" s="62" t="s">
        <v>131</v>
      </c>
      <c r="J15" s="62" t="s">
        <v>135</v>
      </c>
      <c r="K15" s="62" t="s">
        <v>136</v>
      </c>
      <c r="L15" s="62" t="s">
        <v>137</v>
      </c>
    </row>
    <row r="16" spans="1:12" x14ac:dyDescent="0.2">
      <c r="A16" s="61">
        <v>41944</v>
      </c>
      <c r="C16" s="62">
        <v>45647</v>
      </c>
      <c r="D16" s="62">
        <v>456</v>
      </c>
      <c r="E16" s="62">
        <v>40000</v>
      </c>
      <c r="F16" s="62">
        <v>240</v>
      </c>
      <c r="G16" s="62">
        <v>37</v>
      </c>
    </row>
    <row r="17" spans="1:9" x14ac:dyDescent="0.2">
      <c r="A17" s="61">
        <v>41974</v>
      </c>
      <c r="C17" s="62">
        <v>195645</v>
      </c>
      <c r="D17" s="62">
        <v>719</v>
      </c>
      <c r="E17" s="62">
        <v>80000</v>
      </c>
      <c r="F17" s="62">
        <v>507</v>
      </c>
      <c r="G17" s="62">
        <v>193</v>
      </c>
    </row>
    <row r="18" spans="1:9" x14ac:dyDescent="0.2">
      <c r="A18" s="61">
        <v>42005</v>
      </c>
      <c r="C18" s="62">
        <v>81097</v>
      </c>
      <c r="D18" s="62">
        <v>408</v>
      </c>
      <c r="E18" s="62">
        <v>100000</v>
      </c>
      <c r="F18" s="62">
        <v>329</v>
      </c>
      <c r="G18" s="62">
        <v>44</v>
      </c>
    </row>
    <row r="19" spans="1:9" x14ac:dyDescent="0.2">
      <c r="A19" s="61">
        <v>42036</v>
      </c>
    </row>
    <row r="22" spans="1:9" x14ac:dyDescent="0.2">
      <c r="A22" t="s">
        <v>134</v>
      </c>
    </row>
    <row r="23" spans="1:9" x14ac:dyDescent="0.2">
      <c r="A23" s="61">
        <v>42309</v>
      </c>
      <c r="E23" s="62">
        <v>300000</v>
      </c>
      <c r="F23" s="62">
        <v>400</v>
      </c>
      <c r="G23" s="62">
        <v>750</v>
      </c>
      <c r="H23" s="62">
        <v>2000</v>
      </c>
      <c r="I23" s="62">
        <f>F23+G23+H23</f>
        <v>3150</v>
      </c>
    </row>
    <row r="24" spans="1:9" x14ac:dyDescent="0.2">
      <c r="A24" s="61">
        <v>42339</v>
      </c>
      <c r="E24" s="62">
        <v>400000</v>
      </c>
      <c r="F24" s="62">
        <v>800</v>
      </c>
      <c r="G24" s="62">
        <v>500</v>
      </c>
      <c r="H24" s="62">
        <f>I23+G24+F24</f>
        <v>4450</v>
      </c>
      <c r="I24" s="62">
        <f>H24+G24+F24</f>
        <v>5750</v>
      </c>
    </row>
    <row r="25" spans="1:9" x14ac:dyDescent="0.2">
      <c r="A25" s="61">
        <v>42370</v>
      </c>
      <c r="E25" s="62">
        <v>425000</v>
      </c>
      <c r="F25" s="62">
        <v>500</v>
      </c>
      <c r="G25" s="62">
        <v>100</v>
      </c>
      <c r="H25" s="62">
        <f>I24+F25+G25</f>
        <v>6350</v>
      </c>
    </row>
    <row r="26" spans="1:9" x14ac:dyDescent="0.2">
      <c r="A26" s="61">
        <v>42401</v>
      </c>
      <c r="E26" s="62">
        <v>430000</v>
      </c>
    </row>
    <row r="30" spans="1:9" x14ac:dyDescent="0.2">
      <c r="F30" s="62">
        <f>F24*B31</f>
        <v>400</v>
      </c>
    </row>
    <row r="31" spans="1:9" x14ac:dyDescent="0.2">
      <c r="A31" t="s">
        <v>142</v>
      </c>
      <c r="B31" s="63">
        <v>0.5</v>
      </c>
    </row>
    <row r="32" spans="1:9" x14ac:dyDescent="0.2">
      <c r="A32" t="s">
        <v>143</v>
      </c>
      <c r="B32" s="6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3" bestFit="1" customWidth="1"/>
    <col min="12" max="12" width="12" bestFit="1" customWidth="1"/>
  </cols>
  <sheetData>
    <row r="2" spans="2:4" x14ac:dyDescent="0.2">
      <c r="B2" s="21">
        <v>42045</v>
      </c>
      <c r="C2">
        <v>1117</v>
      </c>
    </row>
    <row r="3" spans="2:4" x14ac:dyDescent="0.2">
      <c r="B3" s="22" t="s">
        <v>37</v>
      </c>
      <c r="C3">
        <f>25*2</f>
        <v>50</v>
      </c>
    </row>
    <row r="4" spans="2:4" x14ac:dyDescent="0.2">
      <c r="B4" s="21" t="s">
        <v>36</v>
      </c>
      <c r="C4">
        <f>SUM(C2:C3)</f>
        <v>1167</v>
      </c>
    </row>
    <row r="5" spans="2:4" x14ac:dyDescent="0.2">
      <c r="B5" s="20" t="s">
        <v>35</v>
      </c>
      <c r="C5">
        <f>-0.18*C4*18/30</f>
        <v>-126.036</v>
      </c>
    </row>
    <row r="6" spans="2:4" x14ac:dyDescent="0.2">
      <c r="B6" s="20"/>
      <c r="C6">
        <f>SUM(C4:C5)</f>
        <v>1040.9639999999999</v>
      </c>
    </row>
    <row r="7" spans="2:4" x14ac:dyDescent="0.2">
      <c r="B7" s="20" t="s">
        <v>34</v>
      </c>
      <c r="C7">
        <f>-0.2/3*2*C6</f>
        <v>-138.79519999999999</v>
      </c>
    </row>
    <row r="8" spans="2:4" x14ac:dyDescent="0.2">
      <c r="B8" s="20"/>
      <c r="C8">
        <f>SUM(C6:C7)</f>
        <v>902.16879999999992</v>
      </c>
      <c r="D8" t="s">
        <v>33</v>
      </c>
    </row>
    <row r="9" spans="2:4" x14ac:dyDescent="0.2">
      <c r="B9" s="20" t="s">
        <v>32</v>
      </c>
      <c r="C9">
        <v>250</v>
      </c>
    </row>
    <row r="10" spans="2:4" x14ac:dyDescent="0.2">
      <c r="B10" s="20"/>
      <c r="C10">
        <f>SUM(C8:C9)</f>
        <v>1152.1687999999999</v>
      </c>
    </row>
    <row r="11" spans="2:4" x14ac:dyDescent="0.2">
      <c r="B11" s="20"/>
      <c r="C11">
        <f>0.9*3+0.1*6</f>
        <v>3.3000000000000003</v>
      </c>
    </row>
    <row r="12" spans="2:4" x14ac:dyDescent="0.2">
      <c r="B12" s="20"/>
      <c r="C12">
        <f>C10*C11</f>
        <v>3802.1570400000001</v>
      </c>
      <c r="D12" t="s">
        <v>31</v>
      </c>
    </row>
    <row r="14" spans="2:4" x14ac:dyDescent="0.2">
      <c r="C14">
        <f>C12*0.63</f>
        <v>2395.3589351999999</v>
      </c>
      <c r="D14">
        <f>C14/12</f>
        <v>199.6132446</v>
      </c>
    </row>
    <row r="15" spans="2:4" x14ac:dyDescent="0.2">
      <c r="C15">
        <f>C12*0.37</f>
        <v>1406.7981047999999</v>
      </c>
      <c r="D15">
        <f>C15/12</f>
        <v>117.23317539999999</v>
      </c>
    </row>
    <row r="18" spans="5:14" x14ac:dyDescent="0.2">
      <c r="F18" s="4" t="s">
        <v>4</v>
      </c>
      <c r="G18" s="4" t="s">
        <v>5</v>
      </c>
    </row>
    <row r="19" spans="5:14" x14ac:dyDescent="0.2">
      <c r="E19" t="s">
        <v>30</v>
      </c>
      <c r="F19" s="2">
        <f>G19*12</f>
        <v>2400</v>
      </c>
      <c r="G19" s="2">
        <v>200</v>
      </c>
      <c r="I19">
        <f>G19/3</f>
        <v>66.666666666666671</v>
      </c>
    </row>
    <row r="20" spans="5:14" x14ac:dyDescent="0.2">
      <c r="E20" t="s">
        <v>29</v>
      </c>
      <c r="F20" s="2">
        <f>G20*12</f>
        <v>1380</v>
      </c>
      <c r="G20" s="2">
        <v>115</v>
      </c>
      <c r="I20">
        <f>G20/3</f>
        <v>38.333333333333336</v>
      </c>
    </row>
    <row r="21" spans="5:14" x14ac:dyDescent="0.2">
      <c r="E21" t="s">
        <v>28</v>
      </c>
      <c r="F21" s="3">
        <f>SUM(F19:F20)</f>
        <v>3780</v>
      </c>
      <c r="G21" s="3">
        <f>SUM(G19:G20)</f>
        <v>315</v>
      </c>
    </row>
    <row r="22" spans="5:14" x14ac:dyDescent="0.2">
      <c r="L22" t="s">
        <v>27</v>
      </c>
      <c r="M22">
        <v>1229</v>
      </c>
      <c r="N22">
        <f>M22/3.3</f>
        <v>372.42424242424244</v>
      </c>
    </row>
    <row r="23" spans="5:14" x14ac:dyDescent="0.2">
      <c r="L23" t="s">
        <v>26</v>
      </c>
      <c r="M23">
        <v>960</v>
      </c>
      <c r="N23">
        <f>M23/3.3</f>
        <v>290.90909090909093</v>
      </c>
    </row>
    <row r="24" spans="5:14" x14ac:dyDescent="0.2">
      <c r="L24" t="s">
        <v>25</v>
      </c>
      <c r="M24">
        <v>2000</v>
      </c>
      <c r="N24">
        <f>M24/3.3</f>
        <v>606.06060606060612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90" zoomScaleNormal="90" zoomScalePageLayoutView="90" workbookViewId="0">
      <selection activeCell="M18" sqref="M18"/>
    </sheetView>
  </sheetViews>
  <sheetFormatPr baseColWidth="10" defaultColWidth="8.83203125" defaultRowHeight="15" x14ac:dyDescent="0.2"/>
  <cols>
    <col min="1" max="1" width="36.5" bestFit="1" customWidth="1"/>
    <col min="2" max="2" width="10.5" bestFit="1" customWidth="1"/>
    <col min="4" max="4" width="15.6640625" customWidth="1"/>
    <col min="8" max="8" width="23" customWidth="1"/>
  </cols>
  <sheetData>
    <row r="1" spans="1:13" x14ac:dyDescent="0.2">
      <c r="A1" s="4" t="s">
        <v>38</v>
      </c>
      <c r="I1" s="5" t="s">
        <v>30</v>
      </c>
      <c r="J1" s="5" t="s">
        <v>29</v>
      </c>
    </row>
    <row r="2" spans="1:13" x14ac:dyDescent="0.2">
      <c r="A2" t="s">
        <v>39</v>
      </c>
      <c r="B2" s="23">
        <v>25</v>
      </c>
      <c r="D2" s="36" t="s">
        <v>57</v>
      </c>
      <c r="E2" s="14">
        <v>365</v>
      </c>
      <c r="F2" s="25">
        <f>E2/E$5</f>
        <v>0.28808208366219418</v>
      </c>
      <c r="H2" s="36" t="s">
        <v>57</v>
      </c>
      <c r="I2" s="38">
        <f>E2*3</f>
        <v>1095</v>
      </c>
      <c r="J2" s="39">
        <v>0</v>
      </c>
    </row>
    <row r="3" spans="1:13" x14ac:dyDescent="0.2">
      <c r="A3" t="s">
        <v>74</v>
      </c>
      <c r="B3" s="26">
        <v>0.5</v>
      </c>
      <c r="D3" s="36" t="s">
        <v>58</v>
      </c>
      <c r="E3" s="14">
        <v>94</v>
      </c>
      <c r="F3" s="25">
        <f>E3/E$5</f>
        <v>7.4191002367797951E-2</v>
      </c>
      <c r="H3" s="36" t="s">
        <v>58</v>
      </c>
      <c r="I3" s="39">
        <v>0</v>
      </c>
      <c r="J3" s="38">
        <f>E3*3</f>
        <v>282</v>
      </c>
    </row>
    <row r="4" spans="1:13" x14ac:dyDescent="0.2">
      <c r="A4" t="s">
        <v>75</v>
      </c>
      <c r="B4" s="26">
        <v>0.05</v>
      </c>
      <c r="D4" s="36" t="s">
        <v>59</v>
      </c>
      <c r="E4" s="14">
        <v>808</v>
      </c>
      <c r="F4" s="25">
        <f>E4/E$5</f>
        <v>0.63772691397000791</v>
      </c>
      <c r="H4" s="36" t="s">
        <v>60</v>
      </c>
      <c r="I4" s="38">
        <f>E4*2*L4</f>
        <v>969.59999999999991</v>
      </c>
      <c r="J4" s="38">
        <f>E4*1*L4</f>
        <v>484.79999999999995</v>
      </c>
      <c r="K4" t="s">
        <v>64</v>
      </c>
      <c r="L4" s="26">
        <v>0.6</v>
      </c>
      <c r="M4" t="s">
        <v>65</v>
      </c>
    </row>
    <row r="5" spans="1:13" x14ac:dyDescent="0.2">
      <c r="A5" t="s">
        <v>48</v>
      </c>
      <c r="B5" s="26">
        <v>0.8</v>
      </c>
      <c r="D5" t="s">
        <v>28</v>
      </c>
      <c r="E5" s="3">
        <f>SUM(E2:E4)</f>
        <v>1267</v>
      </c>
      <c r="H5" s="36" t="s">
        <v>61</v>
      </c>
      <c r="I5" s="38">
        <f>E4*1*L5</f>
        <v>323.20000000000005</v>
      </c>
      <c r="J5" s="38">
        <f>E4*L5*2</f>
        <v>646.40000000000009</v>
      </c>
      <c r="K5" t="s">
        <v>64</v>
      </c>
      <c r="L5" s="26">
        <v>0.4</v>
      </c>
      <c r="M5" t="s">
        <v>66</v>
      </c>
    </row>
    <row r="6" spans="1:13" x14ac:dyDescent="0.2">
      <c r="A6" t="s">
        <v>49</v>
      </c>
      <c r="B6" s="29">
        <f>1-B5</f>
        <v>0.19999999999999996</v>
      </c>
      <c r="H6" t="s">
        <v>28</v>
      </c>
      <c r="I6" s="3">
        <f>SUM(I2:I5)</f>
        <v>2387.8000000000002</v>
      </c>
      <c r="J6" s="3">
        <f>SUM(J2:J5)</f>
        <v>1413.2</v>
      </c>
    </row>
    <row r="7" spans="1:13" x14ac:dyDescent="0.2">
      <c r="A7" t="s">
        <v>47</v>
      </c>
      <c r="B7" s="23">
        <v>0</v>
      </c>
      <c r="E7" s="14"/>
      <c r="I7" s="25">
        <f>I6/SUM(I6:J6)</f>
        <v>0.62820310444619842</v>
      </c>
      <c r="J7" s="25">
        <f>J6/SUM(I6:J6)</f>
        <v>0.37179689555380163</v>
      </c>
    </row>
    <row r="8" spans="1:13" x14ac:dyDescent="0.2">
      <c r="A8" t="s">
        <v>55</v>
      </c>
      <c r="B8" s="23">
        <f>0.9*3+0.1*6</f>
        <v>3.3000000000000003</v>
      </c>
    </row>
    <row r="9" spans="1:13" x14ac:dyDescent="0.2">
      <c r="B9" s="23"/>
    </row>
    <row r="10" spans="1:13" ht="16" thickBot="1" x14ac:dyDescent="0.25"/>
    <row r="11" spans="1:13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3" x14ac:dyDescent="0.2">
      <c r="A12" s="4" t="s">
        <v>53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3" x14ac:dyDescent="0.2">
      <c r="A13" s="28" t="s">
        <v>40</v>
      </c>
      <c r="B13" s="24">
        <v>42073</v>
      </c>
      <c r="C13" s="37">
        <f>E5</f>
        <v>1267</v>
      </c>
      <c r="D13" t="s">
        <v>56</v>
      </c>
    </row>
    <row r="14" spans="1:13" x14ac:dyDescent="0.2">
      <c r="A14" s="28" t="s">
        <v>43</v>
      </c>
      <c r="B14" s="24">
        <v>42075</v>
      </c>
      <c r="C14" s="2">
        <f>(B14-B13)*B2</f>
        <v>50</v>
      </c>
    </row>
    <row r="15" spans="1:13" x14ac:dyDescent="0.2">
      <c r="A15" s="28" t="s">
        <v>44</v>
      </c>
      <c r="B15" s="21">
        <f>B14</f>
        <v>42075</v>
      </c>
      <c r="C15" s="2">
        <f>-C14*B3</f>
        <v>-25</v>
      </c>
    </row>
    <row r="16" spans="1:13" x14ac:dyDescent="0.2">
      <c r="A16" s="28" t="s">
        <v>41</v>
      </c>
      <c r="B16" s="20">
        <f>B14</f>
        <v>42075</v>
      </c>
      <c r="C16" s="3">
        <f>SUM(C13:C15)</f>
        <v>1292</v>
      </c>
    </row>
    <row r="17" spans="1:11" x14ac:dyDescent="0.2">
      <c r="A17" s="28"/>
    </row>
    <row r="18" spans="1:11" x14ac:dyDescent="0.2">
      <c r="A18" s="28" t="s">
        <v>42</v>
      </c>
      <c r="B18" s="27">
        <v>42091</v>
      </c>
      <c r="C18" s="2">
        <f>-(B18-B16)*B2*B3</f>
        <v>-200</v>
      </c>
    </row>
    <row r="19" spans="1:11" x14ac:dyDescent="0.2">
      <c r="A19" s="28" t="s">
        <v>41</v>
      </c>
      <c r="B19" s="30">
        <f>B18</f>
        <v>42091</v>
      </c>
      <c r="C19" s="3">
        <f>SUM(C16:C18)</f>
        <v>1092</v>
      </c>
    </row>
    <row r="21" spans="1:11" x14ac:dyDescent="0.2">
      <c r="A21" s="28" t="s">
        <v>45</v>
      </c>
      <c r="B21" s="30">
        <f>B19</f>
        <v>42091</v>
      </c>
      <c r="C21" s="2">
        <f>-B6/3*2*C19</f>
        <v>-145.59999999999997</v>
      </c>
    </row>
    <row r="22" spans="1:11" x14ac:dyDescent="0.2">
      <c r="A22" s="28" t="s">
        <v>50</v>
      </c>
      <c r="B22" s="30">
        <f>B19</f>
        <v>42091</v>
      </c>
      <c r="C22" s="3">
        <f>SUM(C19:C21)</f>
        <v>946.40000000000009</v>
      </c>
    </row>
    <row r="23" spans="1:11" x14ac:dyDescent="0.2">
      <c r="A23" s="28"/>
      <c r="B23" s="30"/>
      <c r="C23" s="43"/>
    </row>
    <row r="24" spans="1:11" x14ac:dyDescent="0.2">
      <c r="A24" s="28" t="s">
        <v>76</v>
      </c>
      <c r="B24" s="30"/>
      <c r="C24" s="43">
        <f>-B4*C22</f>
        <v>-47.320000000000007</v>
      </c>
    </row>
    <row r="25" spans="1:11" x14ac:dyDescent="0.2">
      <c r="A25" s="28" t="s">
        <v>77</v>
      </c>
      <c r="B25" s="30"/>
      <c r="C25" s="3">
        <f>SUM(C22:C24)</f>
        <v>899.08</v>
      </c>
      <c r="D25" t="s">
        <v>46</v>
      </c>
    </row>
    <row r="27" spans="1:11" ht="16" thickBot="1" x14ac:dyDescent="0.25">
      <c r="A27" s="28" t="s">
        <v>32</v>
      </c>
      <c r="C27" s="2">
        <f>B7</f>
        <v>0</v>
      </c>
    </row>
    <row r="28" spans="1:11" ht="16" thickBot="1" x14ac:dyDescent="0.25">
      <c r="A28" s="31" t="s">
        <v>52</v>
      </c>
      <c r="B28" s="32"/>
      <c r="C28" s="33">
        <f>SUM(C25:C27)</f>
        <v>899.08</v>
      </c>
      <c r="D28" t="s">
        <v>51</v>
      </c>
    </row>
    <row r="30" spans="1:11" ht="16" thickBot="1" x14ac:dyDescent="0.25"/>
    <row r="31" spans="1:1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">
      <c r="A32" s="4" t="s">
        <v>54</v>
      </c>
      <c r="B32" s="6"/>
      <c r="C32" s="5" t="s">
        <v>4</v>
      </c>
      <c r="D32" s="5" t="s">
        <v>5</v>
      </c>
      <c r="F32" t="s">
        <v>68</v>
      </c>
      <c r="G32" s="19">
        <f>$D$34/3</f>
        <v>51.77377765500308</v>
      </c>
    </row>
    <row r="33" spans="1:7" x14ac:dyDescent="0.2">
      <c r="A33" s="28" t="s">
        <v>67</v>
      </c>
      <c r="B33" s="6"/>
      <c r="C33" s="7">
        <f>C28*B8</f>
        <v>2966.9640000000004</v>
      </c>
      <c r="D33" s="7">
        <f>C33/12</f>
        <v>247.24700000000004</v>
      </c>
      <c r="F33" t="s">
        <v>69</v>
      </c>
      <c r="G33" s="19">
        <f>$D$34/3</f>
        <v>51.77377765500308</v>
      </c>
    </row>
    <row r="34" spans="1:7" x14ac:dyDescent="0.2">
      <c r="A34" s="40" t="s">
        <v>62</v>
      </c>
      <c r="B34" s="41">
        <f>I7</f>
        <v>0.62820310444619842</v>
      </c>
      <c r="C34" s="42">
        <f>C33*B34</f>
        <v>1863.8559955801109</v>
      </c>
      <c r="D34" s="42">
        <f t="shared" ref="D34:D35" si="0">C34/12</f>
        <v>155.32133296500925</v>
      </c>
      <c r="F34" t="s">
        <v>70</v>
      </c>
      <c r="G34" s="19">
        <f>$D$34/3</f>
        <v>51.77377765500308</v>
      </c>
    </row>
    <row r="35" spans="1:7" x14ac:dyDescent="0.2">
      <c r="A35" s="40" t="s">
        <v>63</v>
      </c>
      <c r="B35" s="41">
        <f>J7</f>
        <v>0.37179689555380163</v>
      </c>
      <c r="C35" s="42">
        <f>B35*C33</f>
        <v>1103.1080044198895</v>
      </c>
      <c r="D35" s="42">
        <f t="shared" si="0"/>
        <v>91.925667034990795</v>
      </c>
      <c r="F35" t="s">
        <v>71</v>
      </c>
      <c r="G35" s="19">
        <f>$D$35/3</f>
        <v>30.641889011663597</v>
      </c>
    </row>
    <row r="36" spans="1:7" x14ac:dyDescent="0.2">
      <c r="F36" t="s">
        <v>72</v>
      </c>
      <c r="G36" s="19">
        <f t="shared" ref="G36:G37" si="1">$D$35/3</f>
        <v>30.641889011663597</v>
      </c>
    </row>
    <row r="37" spans="1:7" x14ac:dyDescent="0.2">
      <c r="F37" t="s">
        <v>73</v>
      </c>
      <c r="G37" s="19">
        <f t="shared" si="1"/>
        <v>30.641889011663597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90" zoomScaleNormal="90" zoomScalePageLayoutView="90" workbookViewId="0">
      <selection activeCell="L7" sqref="L7"/>
    </sheetView>
  </sheetViews>
  <sheetFormatPr baseColWidth="10" defaultColWidth="8.83203125" defaultRowHeight="15" x14ac:dyDescent="0.2"/>
  <cols>
    <col min="1" max="1" width="36.5" bestFit="1" customWidth="1"/>
    <col min="2" max="2" width="10.5" bestFit="1" customWidth="1"/>
    <col min="4" max="4" width="15.6640625" customWidth="1"/>
    <col min="8" max="8" width="23" customWidth="1"/>
    <col min="9" max="9" width="18.5" bestFit="1" customWidth="1"/>
  </cols>
  <sheetData>
    <row r="1" spans="1:13" x14ac:dyDescent="0.2">
      <c r="A1" s="4" t="s">
        <v>38</v>
      </c>
      <c r="I1" s="5" t="s">
        <v>30</v>
      </c>
      <c r="J1" s="5" t="s">
        <v>29</v>
      </c>
    </row>
    <row r="2" spans="1:13" x14ac:dyDescent="0.2">
      <c r="A2" t="s">
        <v>39</v>
      </c>
      <c r="B2" s="23">
        <v>25</v>
      </c>
      <c r="D2" s="36" t="s">
        <v>57</v>
      </c>
      <c r="E2" s="14">
        <v>490</v>
      </c>
      <c r="F2" s="25">
        <f>E2/E$5</f>
        <v>0.30284301606922126</v>
      </c>
      <c r="H2" s="36" t="s">
        <v>57</v>
      </c>
      <c r="I2" s="38">
        <f>E2*3</f>
        <v>1470</v>
      </c>
      <c r="J2" s="39">
        <v>0</v>
      </c>
    </row>
    <row r="3" spans="1:13" x14ac:dyDescent="0.2">
      <c r="A3" t="s">
        <v>74</v>
      </c>
      <c r="B3" s="26">
        <v>0.5</v>
      </c>
      <c r="D3" s="36" t="s">
        <v>58</v>
      </c>
      <c r="E3" s="14">
        <v>156</v>
      </c>
      <c r="F3" s="25">
        <f>E3/E$5</f>
        <v>9.6415327564894932E-2</v>
      </c>
      <c r="H3" s="36" t="s">
        <v>58</v>
      </c>
      <c r="I3" s="39">
        <v>0</v>
      </c>
      <c r="J3" s="38">
        <f>E3*3</f>
        <v>468</v>
      </c>
    </row>
    <row r="4" spans="1:13" x14ac:dyDescent="0.2">
      <c r="A4" t="s">
        <v>75</v>
      </c>
      <c r="B4" s="26">
        <v>0.05</v>
      </c>
      <c r="D4" s="36" t="s">
        <v>59</v>
      </c>
      <c r="E4" s="14">
        <v>972</v>
      </c>
      <c r="F4" s="25">
        <f>E4/E$5</f>
        <v>0.60074165636588384</v>
      </c>
      <c r="H4" s="36" t="s">
        <v>60</v>
      </c>
      <c r="I4" s="38">
        <f>E4*2*L4</f>
        <v>1458</v>
      </c>
      <c r="J4" s="38">
        <f>E4*1*L4</f>
        <v>729</v>
      </c>
      <c r="K4" t="s">
        <v>64</v>
      </c>
      <c r="L4" s="26">
        <v>0.75</v>
      </c>
      <c r="M4" t="s">
        <v>65</v>
      </c>
    </row>
    <row r="5" spans="1:13" x14ac:dyDescent="0.2">
      <c r="A5" t="s">
        <v>48</v>
      </c>
      <c r="B5" s="29">
        <f>C5/SUM($C$5:$C$7)</f>
        <v>0.78862793572311496</v>
      </c>
      <c r="C5">
        <v>1276</v>
      </c>
      <c r="D5" t="s">
        <v>28</v>
      </c>
      <c r="E5" s="3">
        <f>SUM(E2:E4)</f>
        <v>1618</v>
      </c>
      <c r="H5" s="36" t="s">
        <v>61</v>
      </c>
      <c r="I5" s="38">
        <f>E4*1*L5</f>
        <v>243</v>
      </c>
      <c r="J5" s="38">
        <f>E4*L5*2</f>
        <v>486</v>
      </c>
      <c r="K5" t="s">
        <v>64</v>
      </c>
      <c r="L5" s="26">
        <v>0.25</v>
      </c>
      <c r="M5" t="s">
        <v>66</v>
      </c>
    </row>
    <row r="6" spans="1:13" x14ac:dyDescent="0.2">
      <c r="A6" t="s">
        <v>78</v>
      </c>
      <c r="B6" s="29">
        <f>C6/SUM($C$5:$C$7)</f>
        <v>2.4103831891223733E-2</v>
      </c>
      <c r="C6">
        <v>39</v>
      </c>
      <c r="H6" t="s">
        <v>28</v>
      </c>
      <c r="I6" s="3">
        <f>SUM(I2:I5)</f>
        <v>3171</v>
      </c>
      <c r="J6" s="3">
        <f>SUM(J2:J5)</f>
        <v>1683</v>
      </c>
    </row>
    <row r="7" spans="1:13" x14ac:dyDescent="0.2">
      <c r="A7" t="s">
        <v>49</v>
      </c>
      <c r="B7" s="29">
        <f>C7/SUM($C$5:$C$7)</f>
        <v>0.18726823238566132</v>
      </c>
      <c r="C7">
        <v>303</v>
      </c>
      <c r="E7" s="14"/>
      <c r="I7" s="25">
        <f>I6/SUM(I6:J6)</f>
        <v>0.65327564894932011</v>
      </c>
      <c r="J7" s="25">
        <f>J6/SUM(I6:J6)</f>
        <v>0.34672435105067984</v>
      </c>
    </row>
    <row r="8" spans="1:13" x14ac:dyDescent="0.2">
      <c r="A8" t="s">
        <v>47</v>
      </c>
      <c r="B8" s="23">
        <v>0</v>
      </c>
    </row>
    <row r="9" spans="1:13" x14ac:dyDescent="0.2">
      <c r="A9" t="s">
        <v>55</v>
      </c>
      <c r="B9" s="23">
        <f>0.9*3+0.1*6</f>
        <v>3.3000000000000003</v>
      </c>
    </row>
    <row r="10" spans="1:13" ht="16" thickBot="1" x14ac:dyDescent="0.25"/>
    <row r="11" spans="1:13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3" x14ac:dyDescent="0.2">
      <c r="A12" s="4" t="s">
        <v>53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3" x14ac:dyDescent="0.2">
      <c r="A13" s="28" t="s">
        <v>40</v>
      </c>
      <c r="B13" s="24">
        <v>42103</v>
      </c>
      <c r="C13" s="37">
        <f>E5</f>
        <v>1618</v>
      </c>
      <c r="D13" t="s">
        <v>56</v>
      </c>
    </row>
    <row r="14" spans="1:13" x14ac:dyDescent="0.2">
      <c r="A14" s="28" t="s">
        <v>43</v>
      </c>
      <c r="B14" s="24">
        <v>42122</v>
      </c>
      <c r="C14" s="2">
        <f>(B14-B13)*B2</f>
        <v>475</v>
      </c>
    </row>
    <row r="15" spans="1:13" x14ac:dyDescent="0.2">
      <c r="A15" s="28" t="s">
        <v>44</v>
      </c>
      <c r="B15" s="21">
        <f>B14</f>
        <v>42122</v>
      </c>
      <c r="C15" s="2">
        <f>-C14*B3</f>
        <v>-237.5</v>
      </c>
    </row>
    <row r="16" spans="1:13" x14ac:dyDescent="0.2">
      <c r="A16" s="28" t="s">
        <v>41</v>
      </c>
      <c r="B16" s="20">
        <f>B14</f>
        <v>42122</v>
      </c>
      <c r="C16" s="3">
        <f>SUM(C13:C15)</f>
        <v>1855.5</v>
      </c>
    </row>
    <row r="18" spans="1:12" x14ac:dyDescent="0.2">
      <c r="A18" s="28" t="s">
        <v>45</v>
      </c>
      <c r="B18" s="30">
        <f>B16</f>
        <v>42122</v>
      </c>
      <c r="C18" s="2">
        <f>(-B7/3*2*C16)+(-B6/2*C16)</f>
        <v>-254.01313349814586</v>
      </c>
    </row>
    <row r="19" spans="1:12" x14ac:dyDescent="0.2">
      <c r="A19" s="28" t="s">
        <v>50</v>
      </c>
      <c r="B19" s="30">
        <f>B18</f>
        <v>42122</v>
      </c>
      <c r="C19" s="3">
        <f>SUM(C16:C18)</f>
        <v>1601.4868665018541</v>
      </c>
    </row>
    <row r="20" spans="1:12" x14ac:dyDescent="0.2">
      <c r="A20" s="28"/>
      <c r="B20" s="30"/>
      <c r="C20" s="43"/>
    </row>
    <row r="21" spans="1:12" x14ac:dyDescent="0.2">
      <c r="A21" s="28" t="s">
        <v>76</v>
      </c>
      <c r="B21" s="30"/>
      <c r="C21" s="43">
        <f>-B4*C19</f>
        <v>-80.074343325092713</v>
      </c>
    </row>
    <row r="22" spans="1:12" x14ac:dyDescent="0.2">
      <c r="A22" s="28" t="s">
        <v>77</v>
      </c>
      <c r="B22" s="30"/>
      <c r="C22" s="3">
        <f>SUM(C19:C21)</f>
        <v>1521.4125231767614</v>
      </c>
      <c r="D22" t="s">
        <v>46</v>
      </c>
    </row>
    <row r="24" spans="1:12" ht="16" thickBot="1" x14ac:dyDescent="0.25">
      <c r="A24" s="28" t="s">
        <v>32</v>
      </c>
      <c r="C24" s="2">
        <f>B8</f>
        <v>0</v>
      </c>
    </row>
    <row r="25" spans="1:12" ht="16" thickBot="1" x14ac:dyDescent="0.25">
      <c r="A25" s="31" t="s">
        <v>52</v>
      </c>
      <c r="B25" s="32"/>
      <c r="C25" s="33">
        <f>SUM(C22:C24)</f>
        <v>1521.4125231767614</v>
      </c>
      <c r="D25" t="s">
        <v>51</v>
      </c>
    </row>
    <row r="27" spans="1:12" ht="16" thickBot="1" x14ac:dyDescent="0.25"/>
    <row r="28" spans="1:12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2" x14ac:dyDescent="0.2">
      <c r="A29" s="4" t="s">
        <v>54</v>
      </c>
      <c r="B29" s="6"/>
      <c r="C29" s="5" t="s">
        <v>4</v>
      </c>
      <c r="D29" s="5" t="s">
        <v>5</v>
      </c>
      <c r="F29" t="s">
        <v>68</v>
      </c>
      <c r="G29" s="19">
        <f>$D$31/3</f>
        <v>91.10766072814279</v>
      </c>
      <c r="I29">
        <v>55</v>
      </c>
      <c r="J29" t="s">
        <v>79</v>
      </c>
      <c r="L29">
        <f>I29*12</f>
        <v>660</v>
      </c>
    </row>
    <row r="30" spans="1:12" x14ac:dyDescent="0.2">
      <c r="A30" s="28" t="s">
        <v>67</v>
      </c>
      <c r="B30" s="6"/>
      <c r="C30" s="7">
        <f>C25*B9</f>
        <v>5020.6613264833131</v>
      </c>
      <c r="D30" s="7">
        <f>C30/12</f>
        <v>418.38844387360945</v>
      </c>
      <c r="F30" t="s">
        <v>69</v>
      </c>
      <c r="G30" s="19">
        <f>$D$31/3</f>
        <v>91.10766072814279</v>
      </c>
      <c r="I30">
        <v>67</v>
      </c>
      <c r="J30" t="s">
        <v>80</v>
      </c>
    </row>
    <row r="31" spans="1:12" x14ac:dyDescent="0.2">
      <c r="A31" s="40" t="s">
        <v>62</v>
      </c>
      <c r="B31" s="41">
        <f>I7</f>
        <v>0.65327564894932011</v>
      </c>
      <c r="C31" s="42">
        <f>C30*B31</f>
        <v>3279.8757862131406</v>
      </c>
      <c r="D31" s="42">
        <f t="shared" ref="D31:D32" si="0">C31/12</f>
        <v>273.32298218442838</v>
      </c>
      <c r="F31" t="s">
        <v>70</v>
      </c>
      <c r="G31" s="19">
        <f>$D$31/3</f>
        <v>91.10766072814279</v>
      </c>
      <c r="I31" s="2">
        <f>D31-SUM(I29:I30)</f>
        <v>151.32298218442838</v>
      </c>
      <c r="J31" t="s">
        <v>81</v>
      </c>
    </row>
    <row r="32" spans="1:12" x14ac:dyDescent="0.2">
      <c r="A32" s="40" t="s">
        <v>63</v>
      </c>
      <c r="B32" s="41">
        <f>J7</f>
        <v>0.34672435105067984</v>
      </c>
      <c r="C32" s="42">
        <f>B32*C30</f>
        <v>1740.7855402701721</v>
      </c>
      <c r="D32" s="42">
        <f t="shared" si="0"/>
        <v>145.06546168918101</v>
      </c>
      <c r="F32" t="s">
        <v>71</v>
      </c>
      <c r="G32" s="19">
        <f>$D$32/3</f>
        <v>48.355153896393666</v>
      </c>
      <c r="I32">
        <v>120</v>
      </c>
      <c r="J32" t="s">
        <v>82</v>
      </c>
    </row>
    <row r="33" spans="6:10" x14ac:dyDescent="0.2">
      <c r="F33" t="s">
        <v>72</v>
      </c>
      <c r="G33" s="19">
        <f t="shared" ref="G33:G34" si="1">$D$32/3</f>
        <v>48.355153896393666</v>
      </c>
      <c r="I33">
        <v>620</v>
      </c>
      <c r="J33" t="s">
        <v>83</v>
      </c>
    </row>
    <row r="34" spans="6:10" x14ac:dyDescent="0.2">
      <c r="F34" t="s">
        <v>73</v>
      </c>
      <c r="G34" s="19">
        <f t="shared" si="1"/>
        <v>48.355153896393666</v>
      </c>
      <c r="I34">
        <v>126</v>
      </c>
      <c r="J34" t="s">
        <v>84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H3" sqref="H3"/>
    </sheetView>
  </sheetViews>
  <sheetFormatPr baseColWidth="10" defaultColWidth="8.83203125" defaultRowHeight="15" x14ac:dyDescent="0.2"/>
  <sheetData>
    <row r="1" spans="2:9" x14ac:dyDescent="0.2">
      <c r="C1" s="45" t="s">
        <v>57</v>
      </c>
      <c r="D1" s="45" t="s">
        <v>58</v>
      </c>
      <c r="E1" s="45" t="s">
        <v>59</v>
      </c>
      <c r="F1" s="45"/>
      <c r="G1" s="45" t="s">
        <v>57</v>
      </c>
      <c r="H1" s="45" t="s">
        <v>58</v>
      </c>
      <c r="I1" s="45" t="s">
        <v>59</v>
      </c>
    </row>
    <row r="2" spans="2:9" ht="16" thickBot="1" x14ac:dyDescent="0.25">
      <c r="C2" s="46" t="s">
        <v>88</v>
      </c>
      <c r="D2" s="46" t="s">
        <v>88</v>
      </c>
      <c r="E2" s="46" t="s">
        <v>88</v>
      </c>
      <c r="F2" s="46"/>
      <c r="G2" s="46" t="s">
        <v>89</v>
      </c>
      <c r="H2" s="46" t="s">
        <v>89</v>
      </c>
      <c r="I2" s="46" t="s">
        <v>89</v>
      </c>
    </row>
    <row r="3" spans="2:9" x14ac:dyDescent="0.2">
      <c r="B3" s="44" t="s">
        <v>85</v>
      </c>
      <c r="C3">
        <v>267</v>
      </c>
      <c r="D3">
        <v>69</v>
      </c>
      <c r="E3">
        <v>483</v>
      </c>
      <c r="G3">
        <v>8</v>
      </c>
      <c r="H3">
        <v>2</v>
      </c>
      <c r="I3">
        <v>63</v>
      </c>
    </row>
    <row r="4" spans="2:9" x14ac:dyDescent="0.2">
      <c r="B4" s="44" t="s">
        <v>86</v>
      </c>
    </row>
    <row r="5" spans="2:9" x14ac:dyDescent="0.2">
      <c r="B5" s="44" t="s">
        <v>87</v>
      </c>
    </row>
    <row r="6" spans="2:9" x14ac:dyDescent="0.2">
      <c r="B6" s="44"/>
    </row>
    <row r="7" spans="2:9" x14ac:dyDescent="0.2">
      <c r="B7" s="44"/>
    </row>
    <row r="8" spans="2:9" x14ac:dyDescent="0.2">
      <c r="B8" s="44"/>
    </row>
    <row r="9" spans="2:9" x14ac:dyDescent="0.2">
      <c r="B9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" zoomScale="90" zoomScaleNormal="90" zoomScalePageLayoutView="90" workbookViewId="0">
      <selection activeCell="P26" sqref="P26"/>
    </sheetView>
  </sheetViews>
  <sheetFormatPr baseColWidth="10" defaultColWidth="8.83203125" defaultRowHeight="15" x14ac:dyDescent="0.2"/>
  <cols>
    <col min="1" max="1" width="53.5" bestFit="1" customWidth="1"/>
    <col min="2" max="2" width="10.5" bestFit="1" customWidth="1"/>
    <col min="4" max="4" width="15.6640625" customWidth="1"/>
    <col min="8" max="8" width="23" customWidth="1"/>
    <col min="9" max="9" width="18.5" bestFit="1" customWidth="1"/>
  </cols>
  <sheetData>
    <row r="1" spans="1:13" x14ac:dyDescent="0.2">
      <c r="A1" s="4" t="s">
        <v>38</v>
      </c>
      <c r="I1" s="5" t="s">
        <v>30</v>
      </c>
      <c r="J1" s="5" t="s">
        <v>29</v>
      </c>
    </row>
    <row r="2" spans="1:13" x14ac:dyDescent="0.2">
      <c r="A2" t="s">
        <v>39</v>
      </c>
      <c r="B2" s="23">
        <f>750/30</f>
        <v>25</v>
      </c>
      <c r="D2" s="36" t="s">
        <v>57</v>
      </c>
      <c r="E2" s="14">
        <v>533</v>
      </c>
      <c r="F2" s="25">
        <f>E2/E$5</f>
        <v>0.30827067669172931</v>
      </c>
      <c r="H2" s="36" t="s">
        <v>57</v>
      </c>
      <c r="I2" s="38">
        <f>E2*3</f>
        <v>1599</v>
      </c>
      <c r="J2" s="39">
        <v>0</v>
      </c>
    </row>
    <row r="3" spans="1:13" x14ac:dyDescent="0.2">
      <c r="A3" t="s">
        <v>74</v>
      </c>
      <c r="B3" s="26">
        <v>0.65</v>
      </c>
      <c r="D3" s="36" t="s">
        <v>58</v>
      </c>
      <c r="E3" s="14">
        <v>162</v>
      </c>
      <c r="F3" s="25">
        <f>E3/E$5</f>
        <v>9.369577790630422E-2</v>
      </c>
      <c r="H3" s="36" t="s">
        <v>58</v>
      </c>
      <c r="I3" s="39">
        <v>0</v>
      </c>
      <c r="J3" s="38">
        <f>E3*3</f>
        <v>486</v>
      </c>
    </row>
    <row r="4" spans="1:13" x14ac:dyDescent="0.2">
      <c r="A4" t="s">
        <v>75</v>
      </c>
      <c r="B4" s="26">
        <v>0.06</v>
      </c>
      <c r="D4" s="36" t="s">
        <v>59</v>
      </c>
      <c r="E4" s="14">
        <v>1034</v>
      </c>
      <c r="F4" s="25">
        <f>E4/E$5</f>
        <v>0.5980335454019664</v>
      </c>
      <c r="H4" s="36" t="s">
        <v>60</v>
      </c>
      <c r="I4" s="38">
        <f>E4*2*L4</f>
        <v>2068</v>
      </c>
      <c r="J4" s="38">
        <f>E4*1*L4</f>
        <v>1034</v>
      </c>
      <c r="K4" t="s">
        <v>64</v>
      </c>
      <c r="L4" s="26">
        <v>1</v>
      </c>
      <c r="M4" t="s">
        <v>65</v>
      </c>
    </row>
    <row r="5" spans="1:13" x14ac:dyDescent="0.2">
      <c r="A5" t="s">
        <v>47</v>
      </c>
      <c r="B5" s="23">
        <v>0</v>
      </c>
      <c r="D5" t="s">
        <v>28</v>
      </c>
      <c r="E5" s="3">
        <f>SUM(E2:E4)</f>
        <v>1729</v>
      </c>
      <c r="H5" s="36" t="s">
        <v>61</v>
      </c>
      <c r="I5" s="38">
        <f>E4*1*L5</f>
        <v>0</v>
      </c>
      <c r="J5" s="38">
        <f>E4*L5*2</f>
        <v>0</v>
      </c>
      <c r="K5" t="s">
        <v>64</v>
      </c>
      <c r="L5" s="26">
        <v>0</v>
      </c>
      <c r="M5" t="s">
        <v>66</v>
      </c>
    </row>
    <row r="6" spans="1:13" x14ac:dyDescent="0.2">
      <c r="A6" t="s">
        <v>55</v>
      </c>
      <c r="B6" s="47">
        <f>((1729-127)/1729)*3+(127/1729)*6</f>
        <v>3.2203585887796411</v>
      </c>
      <c r="H6" t="s">
        <v>28</v>
      </c>
      <c r="I6" s="3">
        <f>SUM(I2:I5)</f>
        <v>3667</v>
      </c>
      <c r="J6" s="3">
        <f>SUM(J2:J5)</f>
        <v>1520</v>
      </c>
    </row>
    <row r="7" spans="1:13" x14ac:dyDescent="0.2">
      <c r="B7" s="29"/>
      <c r="C7">
        <f>650/12</f>
        <v>54.166666666666664</v>
      </c>
      <c r="E7" s="14"/>
      <c r="I7" s="25">
        <f>I6/SUM(I6:J6)</f>
        <v>0.706959706959707</v>
      </c>
      <c r="J7" s="25">
        <f>J6/SUM(I6:J6)</f>
        <v>0.29304029304029305</v>
      </c>
    </row>
    <row r="8" spans="1:13" ht="16" thickBot="1" x14ac:dyDescent="0.25">
      <c r="C8">
        <f>400/12</f>
        <v>33.333333333333336</v>
      </c>
      <c r="D8">
        <f>28*12</f>
        <v>336</v>
      </c>
    </row>
    <row r="9" spans="1:13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3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3" x14ac:dyDescent="0.2">
      <c r="A11" s="28" t="s">
        <v>90</v>
      </c>
      <c r="B11" s="24">
        <v>42178</v>
      </c>
      <c r="C11" s="37">
        <f>E5</f>
        <v>1729</v>
      </c>
      <c r="D11" t="s">
        <v>56</v>
      </c>
    </row>
    <row r="12" spans="1:13" x14ac:dyDescent="0.2">
      <c r="A12" s="28" t="s">
        <v>43</v>
      </c>
      <c r="B12" s="24">
        <v>42183</v>
      </c>
      <c r="C12" s="2">
        <f>(B12-B11)*B2</f>
        <v>125</v>
      </c>
    </row>
    <row r="13" spans="1:13" x14ac:dyDescent="0.2">
      <c r="A13" s="28" t="s">
        <v>44</v>
      </c>
      <c r="B13" s="21">
        <f>B12</f>
        <v>42183</v>
      </c>
      <c r="C13" s="2">
        <f>-C12*B3</f>
        <v>-81.25</v>
      </c>
    </row>
    <row r="14" spans="1:13" x14ac:dyDescent="0.2">
      <c r="A14" s="28" t="s">
        <v>91</v>
      </c>
      <c r="B14" s="20">
        <f>B12</f>
        <v>42183</v>
      </c>
      <c r="C14" s="3">
        <f>SUM(C11:C13)</f>
        <v>1772.75</v>
      </c>
    </row>
    <row r="16" spans="1:13" x14ac:dyDescent="0.2">
      <c r="A16" s="28" t="s">
        <v>76</v>
      </c>
      <c r="B16" s="30"/>
      <c r="C16" s="43">
        <f>-B4*C14</f>
        <v>-106.36499999999999</v>
      </c>
    </row>
    <row r="17" spans="1:11" x14ac:dyDescent="0.2">
      <c r="A17" s="28" t="s">
        <v>77</v>
      </c>
      <c r="B17" s="30"/>
      <c r="C17" s="3">
        <f>SUM(C14:C16)</f>
        <v>1666.385</v>
      </c>
      <c r="D17" t="s">
        <v>46</v>
      </c>
    </row>
    <row r="19" spans="1:11" ht="16" thickBot="1" x14ac:dyDescent="0.25">
      <c r="A19" s="28" t="s">
        <v>32</v>
      </c>
      <c r="C19" s="2">
        <f>B5</f>
        <v>0</v>
      </c>
    </row>
    <row r="20" spans="1:11" ht="16" thickBot="1" x14ac:dyDescent="0.25">
      <c r="A20" s="31" t="s">
        <v>52</v>
      </c>
      <c r="B20" s="32"/>
      <c r="C20" s="33">
        <f>SUM(C17:C19)</f>
        <v>1666.385</v>
      </c>
      <c r="D20" t="s">
        <v>51</v>
      </c>
    </row>
    <row r="22" spans="1:11" ht="16" thickBot="1" x14ac:dyDescent="0.25"/>
    <row r="23" spans="1:1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">
      <c r="A24" s="4" t="s">
        <v>54</v>
      </c>
      <c r="B24" s="6"/>
      <c r="C24" s="5" t="s">
        <v>4</v>
      </c>
      <c r="D24" s="5" t="s">
        <v>5</v>
      </c>
      <c r="F24" t="s">
        <v>68</v>
      </c>
      <c r="G24" s="19">
        <f>$D$26/3</f>
        <v>105.3832874098461</v>
      </c>
      <c r="K24">
        <v>112</v>
      </c>
    </row>
    <row r="25" spans="1:11" x14ac:dyDescent="0.2">
      <c r="A25" s="28" t="s">
        <v>67</v>
      </c>
      <c r="B25" s="6"/>
      <c r="C25" s="7">
        <f>C20*B6</f>
        <v>5366.3572469635619</v>
      </c>
      <c r="D25" s="7">
        <f>C25/12</f>
        <v>447.19643724696351</v>
      </c>
      <c r="F25" t="s">
        <v>69</v>
      </c>
      <c r="G25" s="19">
        <f>$D$26/3</f>
        <v>105.3832874098461</v>
      </c>
      <c r="K25">
        <v>112</v>
      </c>
    </row>
    <row r="26" spans="1:11" x14ac:dyDescent="0.2">
      <c r="A26" s="40" t="s">
        <v>62</v>
      </c>
      <c r="B26" s="41">
        <f>I7</f>
        <v>0.706959706959707</v>
      </c>
      <c r="C26" s="42">
        <f>C25*B26</f>
        <v>3793.7983467544595</v>
      </c>
      <c r="D26" s="42">
        <f t="shared" ref="D26:D27" si="0">C26/12</f>
        <v>316.14986222953831</v>
      </c>
      <c r="F26" t="s">
        <v>70</v>
      </c>
      <c r="G26" s="19">
        <f>$D$26/3</f>
        <v>105.3832874098461</v>
      </c>
      <c r="H26" s="19">
        <f>(SUM(G24:G26)-56)/2</f>
        <v>130.07493111476916</v>
      </c>
      <c r="I26" s="2"/>
      <c r="K26" s="2">
        <v>95</v>
      </c>
    </row>
    <row r="27" spans="1:11" x14ac:dyDescent="0.2">
      <c r="A27" s="40" t="s">
        <v>63</v>
      </c>
      <c r="B27" s="41">
        <f>J7</f>
        <v>0.29304029304029305</v>
      </c>
      <c r="C27" s="42">
        <f>B27*C25</f>
        <v>1572.5589002091024</v>
      </c>
      <c r="D27" s="42">
        <f t="shared" si="0"/>
        <v>131.0465750174252</v>
      </c>
      <c r="F27" t="s">
        <v>71</v>
      </c>
      <c r="G27" s="19">
        <f>$D$27/3</f>
        <v>43.682191672475064</v>
      </c>
      <c r="K27">
        <v>56</v>
      </c>
    </row>
    <row r="28" spans="1:11" x14ac:dyDescent="0.2">
      <c r="F28" t="s">
        <v>72</v>
      </c>
      <c r="G28" s="19">
        <f t="shared" ref="G28:G29" si="1">$D$27/3</f>
        <v>43.682191672475064</v>
      </c>
      <c r="K28">
        <v>56</v>
      </c>
    </row>
    <row r="29" spans="1:11" x14ac:dyDescent="0.2">
      <c r="F29" t="s">
        <v>73</v>
      </c>
      <c r="G29" s="19">
        <f t="shared" si="1"/>
        <v>43.682191672475064</v>
      </c>
      <c r="K29">
        <v>50</v>
      </c>
    </row>
    <row r="30" spans="1:11" x14ac:dyDescent="0.2">
      <c r="H30" s="19">
        <f>SUM(G27:G29)-56</f>
        <v>75.046575017425198</v>
      </c>
    </row>
    <row r="31" spans="1:11" x14ac:dyDescent="0.2">
      <c r="G31" s="19"/>
      <c r="K31" s="19">
        <f>SUM(K24:K29)</f>
        <v>481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zoomScale="132" zoomScaleNormal="132" zoomScalePageLayoutView="132" workbookViewId="0">
      <selection activeCell="I23" sqref="I23"/>
    </sheetView>
  </sheetViews>
  <sheetFormatPr baseColWidth="10" defaultColWidth="8.83203125" defaultRowHeight="15" x14ac:dyDescent="0.2"/>
  <cols>
    <col min="1" max="1" width="53.5" bestFit="1" customWidth="1"/>
    <col min="2" max="2" width="10.5" bestFit="1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35" thickBot="1" x14ac:dyDescent="0.25">
      <c r="A1" s="4" t="s">
        <v>38</v>
      </c>
      <c r="E1" s="49" t="s">
        <v>94</v>
      </c>
      <c r="F1" s="49" t="s">
        <v>95</v>
      </c>
      <c r="K1" s="5" t="s">
        <v>30</v>
      </c>
      <c r="L1" s="5" t="s">
        <v>29</v>
      </c>
    </row>
    <row r="2" spans="1:15" x14ac:dyDescent="0.2">
      <c r="A2" t="s">
        <v>39</v>
      </c>
      <c r="B2" s="54">
        <f>750/30</f>
        <v>25</v>
      </c>
      <c r="D2" s="36" t="s">
        <v>57</v>
      </c>
      <c r="E2" s="55">
        <v>389</v>
      </c>
      <c r="F2" s="55">
        <v>137</v>
      </c>
      <c r="G2" s="48">
        <f>SUM(E2:F2)</f>
        <v>526</v>
      </c>
      <c r="H2" s="25">
        <f>G2/G$5</f>
        <v>0.29971509971509974</v>
      </c>
      <c r="J2" s="36" t="s">
        <v>57</v>
      </c>
      <c r="K2" s="38">
        <f>G2*3</f>
        <v>1578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113</v>
      </c>
      <c r="F3" s="55">
        <v>47</v>
      </c>
      <c r="G3" s="48">
        <f>SUM(E3:F3)</f>
        <v>160</v>
      </c>
      <c r="H3" s="25">
        <f t="shared" ref="H3:H4" si="0">G3/G$5</f>
        <v>9.1168091168091173E-2</v>
      </c>
      <c r="J3" s="36" t="s">
        <v>58</v>
      </c>
      <c r="K3" s="39">
        <v>0</v>
      </c>
      <c r="L3" s="38">
        <f>E3*3</f>
        <v>339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752</v>
      </c>
      <c r="F4" s="55">
        <v>317</v>
      </c>
      <c r="G4" s="48">
        <f>SUM(E4:F4)</f>
        <v>1069</v>
      </c>
      <c r="H4" s="25">
        <f t="shared" si="0"/>
        <v>0.6091168091168091</v>
      </c>
      <c r="J4" s="36" t="s">
        <v>60</v>
      </c>
      <c r="K4" s="38">
        <f>G4*2*N4</f>
        <v>1496.6</v>
      </c>
      <c r="L4" s="38">
        <f>G4*1*N4</f>
        <v>748.3</v>
      </c>
      <c r="M4" t="s">
        <v>64</v>
      </c>
      <c r="N4" s="57">
        <v>0.7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1254</v>
      </c>
      <c r="F5" s="3">
        <f>SUM(F2:F4)</f>
        <v>501</v>
      </c>
      <c r="G5" s="3">
        <f>SUM(G2:G4)</f>
        <v>1755</v>
      </c>
      <c r="H5" s="3"/>
      <c r="J5" s="36" t="s">
        <v>61</v>
      </c>
      <c r="K5" s="38">
        <f>G4*1*N5</f>
        <v>320.70000000000005</v>
      </c>
      <c r="L5" s="38">
        <f>G4*N5*2</f>
        <v>641.40000000000009</v>
      </c>
      <c r="M5" t="s">
        <v>64</v>
      </c>
      <c r="N5" s="29">
        <f>1-N4</f>
        <v>0.30000000000000004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3395.3</v>
      </c>
      <c r="L6" s="3">
        <f>SUM(L2:L5)</f>
        <v>1728.7</v>
      </c>
    </row>
    <row r="7" spans="1:15" x14ac:dyDescent="0.2">
      <c r="B7" s="29"/>
      <c r="E7" s="14"/>
      <c r="F7" s="14"/>
      <c r="G7" s="14"/>
      <c r="K7" s="25">
        <f>K6/SUM(K6:L6)</f>
        <v>0.66262685402029664</v>
      </c>
      <c r="L7" s="25">
        <f>L6/SUM(K6:L6)</f>
        <v>0.33737314597970336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92</v>
      </c>
      <c r="B11" s="56">
        <v>42192</v>
      </c>
      <c r="C11" s="37">
        <f>G5</f>
        <v>1755</v>
      </c>
      <c r="D11" t="s">
        <v>56</v>
      </c>
    </row>
    <row r="12" spans="1:15" x14ac:dyDescent="0.2">
      <c r="A12" s="28" t="s">
        <v>43</v>
      </c>
      <c r="B12" s="24">
        <v>42213</v>
      </c>
      <c r="C12" s="2">
        <f>(B12-B11)*B2</f>
        <v>525</v>
      </c>
    </row>
    <row r="13" spans="1:15" x14ac:dyDescent="0.2">
      <c r="A13" s="28" t="s">
        <v>44</v>
      </c>
      <c r="B13" s="21">
        <f>B12</f>
        <v>42213</v>
      </c>
      <c r="C13" s="2">
        <f>-C12*B3</f>
        <v>-367.5</v>
      </c>
    </row>
    <row r="14" spans="1:15" x14ac:dyDescent="0.2">
      <c r="A14" s="28" t="s">
        <v>91</v>
      </c>
      <c r="B14" s="20">
        <f>B12</f>
        <v>42213</v>
      </c>
      <c r="C14" s="3">
        <f>SUM(C11:C13)</f>
        <v>1912.5</v>
      </c>
      <c r="F14" s="2"/>
    </row>
    <row r="15" spans="1:15" x14ac:dyDescent="0.2">
      <c r="A15" s="28" t="s">
        <v>97</v>
      </c>
      <c r="B15" s="20"/>
      <c r="C15" s="43">
        <f>-C14*B4</f>
        <v>-143.4375</v>
      </c>
      <c r="F15" s="2"/>
    </row>
    <row r="16" spans="1:15" ht="16" thickBot="1" x14ac:dyDescent="0.25">
      <c r="A16" s="28" t="s">
        <v>32</v>
      </c>
      <c r="C16" s="2">
        <f>B5</f>
        <v>100</v>
      </c>
    </row>
    <row r="17" spans="1:13" ht="16" thickBot="1" x14ac:dyDescent="0.25">
      <c r="A17" s="31" t="s">
        <v>52</v>
      </c>
      <c r="B17" s="32"/>
      <c r="C17" s="33">
        <f>SUM(C14:C16)</f>
        <v>1869.0625</v>
      </c>
      <c r="D17" t="s">
        <v>51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H21" s="50" t="s">
        <v>68</v>
      </c>
      <c r="I21" s="51">
        <f>$D$23/3</f>
        <v>110.78847619333567</v>
      </c>
      <c r="L21">
        <f>56*2</f>
        <v>112</v>
      </c>
    </row>
    <row r="22" spans="1:13" x14ac:dyDescent="0.2">
      <c r="A22" s="28" t="s">
        <v>67</v>
      </c>
      <c r="B22" s="6"/>
      <c r="C22" s="7">
        <f>C17*B6</f>
        <v>6019.0514748409478</v>
      </c>
      <c r="D22" s="7">
        <f>C22/12</f>
        <v>501.5876229034123</v>
      </c>
      <c r="H22" s="50" t="s">
        <v>69</v>
      </c>
      <c r="I22" s="51">
        <f>$D$23/3</f>
        <v>110.78847619333567</v>
      </c>
    </row>
    <row r="23" spans="1:13" x14ac:dyDescent="0.2">
      <c r="A23" s="40" t="s">
        <v>62</v>
      </c>
      <c r="B23" s="41">
        <f>K7</f>
        <v>0.66262685402029664</v>
      </c>
      <c r="C23" s="42">
        <f>C22*B23</f>
        <v>3988.3851429600841</v>
      </c>
      <c r="D23" s="42">
        <f t="shared" ref="D23:D24" si="1">C23/12</f>
        <v>332.36542858000701</v>
      </c>
      <c r="H23" s="50" t="s">
        <v>70</v>
      </c>
      <c r="I23" s="51">
        <f>$D$23/3</f>
        <v>110.78847619333567</v>
      </c>
      <c r="K23" s="2"/>
      <c r="M23" s="2"/>
    </row>
    <row r="24" spans="1:13" x14ac:dyDescent="0.2">
      <c r="A24" s="40" t="s">
        <v>63</v>
      </c>
      <c r="B24" s="41">
        <f>L7</f>
        <v>0.33737314597970336</v>
      </c>
      <c r="C24" s="42">
        <f>B24*C22</f>
        <v>2030.6663318808639</v>
      </c>
      <c r="D24" s="42">
        <f t="shared" si="1"/>
        <v>169.22219432340532</v>
      </c>
      <c r="H24" s="52" t="s">
        <v>71</v>
      </c>
      <c r="I24" s="53">
        <f>$D$24/3</f>
        <v>56.407398107801775</v>
      </c>
    </row>
    <row r="25" spans="1:13" x14ac:dyDescent="0.2">
      <c r="H25" s="52" t="s">
        <v>72</v>
      </c>
      <c r="I25" s="53">
        <f t="shared" ref="I25:I26" si="2">$D$24/3</f>
        <v>56.407398107801775</v>
      </c>
    </row>
    <row r="26" spans="1:13" x14ac:dyDescent="0.2">
      <c r="H26" s="52" t="s">
        <v>73</v>
      </c>
      <c r="I26" s="53">
        <f t="shared" si="2"/>
        <v>56.407398107801775</v>
      </c>
    </row>
    <row r="28" spans="1:13" x14ac:dyDescent="0.2">
      <c r="I28" s="19"/>
      <c r="M28" s="19"/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zoomScale="132" zoomScaleNormal="132" zoomScalePageLayoutView="132" workbookViewId="0">
      <selection activeCell="C18" sqref="C18"/>
    </sheetView>
  </sheetViews>
  <sheetFormatPr baseColWidth="10" defaultColWidth="8.83203125" defaultRowHeight="15" x14ac:dyDescent="0.2"/>
  <cols>
    <col min="1" max="1" width="53.5" bestFit="1" customWidth="1"/>
    <col min="2" max="2" width="25.33203125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35" thickBot="1" x14ac:dyDescent="0.25">
      <c r="A1" s="4" t="s">
        <v>38</v>
      </c>
      <c r="E1" s="49" t="s">
        <v>101</v>
      </c>
      <c r="F1" s="49" t="s">
        <v>99</v>
      </c>
      <c r="K1" s="5" t="s">
        <v>30</v>
      </c>
      <c r="L1" s="5" t="s">
        <v>29</v>
      </c>
    </row>
    <row r="2" spans="1:15" x14ac:dyDescent="0.2">
      <c r="A2" t="s">
        <v>39</v>
      </c>
      <c r="B2" s="54">
        <v>35</v>
      </c>
      <c r="D2" s="36" t="s">
        <v>57</v>
      </c>
      <c r="E2" s="55">
        <v>277</v>
      </c>
      <c r="F2" s="55">
        <v>160</v>
      </c>
      <c r="G2" s="48">
        <f>SUM(E2:F2)</f>
        <v>437</v>
      </c>
      <c r="H2" s="25">
        <f>G2/G$5</f>
        <v>0.28883013879709185</v>
      </c>
      <c r="J2" s="36" t="s">
        <v>57</v>
      </c>
      <c r="K2" s="38">
        <f>G2*3</f>
        <v>1311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81</v>
      </c>
      <c r="F3" s="55">
        <v>63</v>
      </c>
      <c r="G3" s="48">
        <f>SUM(E3:F3)</f>
        <v>144</v>
      </c>
      <c r="H3" s="25">
        <f t="shared" ref="H3:H4" si="0">G3/G$5</f>
        <v>9.517514871116986E-2</v>
      </c>
      <c r="J3" s="36" t="s">
        <v>58</v>
      </c>
      <c r="K3" s="39">
        <v>0</v>
      </c>
      <c r="L3" s="38">
        <f>E3*3</f>
        <v>243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551</v>
      </c>
      <c r="F4" s="55">
        <v>381</v>
      </c>
      <c r="G4" s="48">
        <f>SUM(E4:F4)</f>
        <v>932</v>
      </c>
      <c r="H4" s="25">
        <f t="shared" si="0"/>
        <v>0.61599471249173832</v>
      </c>
      <c r="J4" s="36" t="s">
        <v>60</v>
      </c>
      <c r="K4" s="38">
        <f>G4*2*N4</f>
        <v>1118.3999999999999</v>
      </c>
      <c r="L4" s="38">
        <f>G4*1*N4</f>
        <v>559.19999999999993</v>
      </c>
      <c r="M4" t="s">
        <v>64</v>
      </c>
      <c r="N4" s="57">
        <v>0.6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909</v>
      </c>
      <c r="F5" s="3">
        <f>SUM(F2:F4)</f>
        <v>604</v>
      </c>
      <c r="G5" s="3">
        <f>SUM(G2:G4)</f>
        <v>1513</v>
      </c>
      <c r="H5" s="3"/>
      <c r="J5" s="36" t="s">
        <v>61</v>
      </c>
      <c r="K5" s="38">
        <f>G4*1*N5</f>
        <v>372.8</v>
      </c>
      <c r="L5" s="38">
        <f>G4*N5*2</f>
        <v>745.6</v>
      </c>
      <c r="M5" t="s">
        <v>64</v>
      </c>
      <c r="N5" s="29">
        <f>1-N4</f>
        <v>0.4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2802.2</v>
      </c>
      <c r="L6" s="3">
        <f>SUM(L2:L5)</f>
        <v>1547.8</v>
      </c>
    </row>
    <row r="7" spans="1:15" x14ac:dyDescent="0.2">
      <c r="B7" s="29"/>
      <c r="E7" s="14"/>
      <c r="F7" s="14"/>
      <c r="G7" s="14"/>
      <c r="K7" s="25">
        <f>K6/SUM(K6:L6)</f>
        <v>0.64418390804597692</v>
      </c>
      <c r="L7" s="25">
        <f>L6/SUM(K6:L6)</f>
        <v>0.35581609195402297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98</v>
      </c>
      <c r="B11" s="56">
        <v>42248</v>
      </c>
      <c r="C11" s="37">
        <f>G5</f>
        <v>1513</v>
      </c>
      <c r="D11" t="s">
        <v>56</v>
      </c>
    </row>
    <row r="12" spans="1:15" x14ac:dyDescent="0.2">
      <c r="A12" s="28" t="s">
        <v>43</v>
      </c>
      <c r="B12" s="24">
        <v>42275</v>
      </c>
      <c r="C12" s="2">
        <f>(B12-B11)*B2</f>
        <v>945</v>
      </c>
    </row>
    <row r="13" spans="1:15" x14ac:dyDescent="0.2">
      <c r="A13" s="28" t="s">
        <v>44</v>
      </c>
      <c r="B13" s="21">
        <f>B12</f>
        <v>42275</v>
      </c>
      <c r="C13" s="2">
        <f>-C12*B3</f>
        <v>-661.5</v>
      </c>
    </row>
    <row r="14" spans="1:15" x14ac:dyDescent="0.2">
      <c r="A14" s="28" t="s">
        <v>100</v>
      </c>
      <c r="B14" s="20">
        <f>B12</f>
        <v>42275</v>
      </c>
      <c r="C14" s="3">
        <f>SUM(C11:C13)</f>
        <v>1796.5</v>
      </c>
      <c r="F14" s="2"/>
    </row>
    <row r="15" spans="1:15" x14ac:dyDescent="0.2">
      <c r="A15" s="28" t="s">
        <v>97</v>
      </c>
      <c r="B15" s="20"/>
      <c r="C15" s="43">
        <f>-C14*B4</f>
        <v>-134.73749999999998</v>
      </c>
      <c r="F15" s="2"/>
    </row>
    <row r="16" spans="1:15" ht="16" thickBot="1" x14ac:dyDescent="0.25">
      <c r="A16" s="28" t="s">
        <v>32</v>
      </c>
      <c r="C16" s="2">
        <f>B5</f>
        <v>100</v>
      </c>
    </row>
    <row r="17" spans="1:13" ht="16" thickBot="1" x14ac:dyDescent="0.25">
      <c r="A17" s="31" t="s">
        <v>52</v>
      </c>
      <c r="B17" s="32"/>
      <c r="C17" s="33">
        <f>SUM(C14:C16)</f>
        <v>1761.7625</v>
      </c>
      <c r="D17" t="s">
        <v>51</v>
      </c>
    </row>
    <row r="18" spans="1:13" x14ac:dyDescent="0.2">
      <c r="A18" s="66" t="s">
        <v>153</v>
      </c>
      <c r="C18">
        <v>1258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F21" s="50" t="s">
        <v>68</v>
      </c>
      <c r="G21" s="51">
        <f>$D$23/3</f>
        <v>101.52171973523549</v>
      </c>
    </row>
    <row r="22" spans="1:13" x14ac:dyDescent="0.2">
      <c r="A22" s="28" t="s">
        <v>67</v>
      </c>
      <c r="B22" s="6"/>
      <c r="C22" s="7">
        <f>C17*B6</f>
        <v>5673.5069982648929</v>
      </c>
      <c r="D22" s="7">
        <f>C22/12</f>
        <v>472.79224985540776</v>
      </c>
      <c r="F22" s="50" t="s">
        <v>69</v>
      </c>
      <c r="G22" s="51">
        <f>$D$23/3</f>
        <v>101.52171973523549</v>
      </c>
    </row>
    <row r="23" spans="1:13" x14ac:dyDescent="0.2">
      <c r="A23" s="40" t="s">
        <v>62</v>
      </c>
      <c r="B23" s="41">
        <f>K7</f>
        <v>0.64418390804597692</v>
      </c>
      <c r="C23" s="42">
        <f>C22*B23</f>
        <v>3654.7819104684781</v>
      </c>
      <c r="D23" s="42">
        <f>C23/12</f>
        <v>304.56515920570649</v>
      </c>
      <c r="F23" s="50" t="s">
        <v>70</v>
      </c>
      <c r="G23" s="51">
        <f>$D$23/3</f>
        <v>101.52171973523549</v>
      </c>
      <c r="K23" s="2"/>
      <c r="M23" s="2"/>
    </row>
    <row r="24" spans="1:13" x14ac:dyDescent="0.2">
      <c r="A24" s="40" t="s">
        <v>63</v>
      </c>
      <c r="B24" s="41">
        <f>L7</f>
        <v>0.35581609195402297</v>
      </c>
      <c r="C24" s="42">
        <f>B24*C22</f>
        <v>2018.7250877964141</v>
      </c>
      <c r="D24" s="42">
        <f t="shared" ref="D23:D24" si="1">C24/12</f>
        <v>168.22709064970118</v>
      </c>
      <c r="F24" s="52" t="s">
        <v>71</v>
      </c>
      <c r="G24" s="53">
        <f>$D$24/3</f>
        <v>56.075696883233725</v>
      </c>
    </row>
    <row r="25" spans="1:13" x14ac:dyDescent="0.2">
      <c r="F25" s="52" t="s">
        <v>72</v>
      </c>
      <c r="G25" s="53">
        <f t="shared" ref="G25:G26" si="2">$D$24/3</f>
        <v>56.075696883233725</v>
      </c>
    </row>
    <row r="26" spans="1:13" x14ac:dyDescent="0.2">
      <c r="A26" t="s">
        <v>110</v>
      </c>
      <c r="F26" s="52" t="s">
        <v>73</v>
      </c>
      <c r="G26" s="53">
        <f t="shared" si="2"/>
        <v>56.075696883233725</v>
      </c>
    </row>
    <row r="27" spans="1:13" x14ac:dyDescent="0.2">
      <c r="A27" t="s">
        <v>102</v>
      </c>
      <c r="B27" t="s">
        <v>111</v>
      </c>
      <c r="C27" t="s">
        <v>119</v>
      </c>
      <c r="D27" t="s">
        <v>120</v>
      </c>
    </row>
    <row r="28" spans="1:13" x14ac:dyDescent="0.2">
      <c r="A28" t="s">
        <v>103</v>
      </c>
      <c r="B28" t="s">
        <v>112</v>
      </c>
      <c r="C28">
        <v>56</v>
      </c>
      <c r="I28" s="19"/>
      <c r="M28" s="19"/>
    </row>
    <row r="29" spans="1:13" x14ac:dyDescent="0.2">
      <c r="A29" t="s">
        <v>104</v>
      </c>
      <c r="B29" t="s">
        <v>113</v>
      </c>
      <c r="C29">
        <v>55</v>
      </c>
    </row>
    <row r="30" spans="1:13" x14ac:dyDescent="0.2">
      <c r="A30" t="s">
        <v>105</v>
      </c>
      <c r="B30" t="s">
        <v>114</v>
      </c>
      <c r="C30">
        <v>56</v>
      </c>
    </row>
    <row r="31" spans="1:13" x14ac:dyDescent="0.2">
      <c r="A31" t="s">
        <v>106</v>
      </c>
      <c r="B31" s="60" t="s">
        <v>115</v>
      </c>
      <c r="C31">
        <v>112</v>
      </c>
    </row>
    <row r="32" spans="1:13" x14ac:dyDescent="0.2">
      <c r="A32" t="s">
        <v>107</v>
      </c>
      <c r="B32" s="60" t="s">
        <v>116</v>
      </c>
      <c r="C32">
        <v>112</v>
      </c>
    </row>
    <row r="33" spans="1:3" x14ac:dyDescent="0.2">
      <c r="A33" t="s">
        <v>108</v>
      </c>
      <c r="B33" s="60" t="s">
        <v>117</v>
      </c>
      <c r="C33">
        <v>112</v>
      </c>
    </row>
    <row r="34" spans="1:3" x14ac:dyDescent="0.2">
      <c r="A34" t="s">
        <v>109</v>
      </c>
      <c r="B34" t="s">
        <v>118</v>
      </c>
      <c r="C34">
        <v>2000</v>
      </c>
    </row>
    <row r="40" spans="1:3" x14ac:dyDescent="0.2">
      <c r="B40" t="s">
        <v>152</v>
      </c>
      <c r="C40">
        <v>1258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132" zoomScaleNormal="132" zoomScalePageLayoutView="132" workbookViewId="0">
      <selection activeCell="B35" sqref="B35"/>
    </sheetView>
  </sheetViews>
  <sheetFormatPr baseColWidth="10" defaultColWidth="8.83203125" defaultRowHeight="15" x14ac:dyDescent="0.2"/>
  <cols>
    <col min="1" max="1" width="54.83203125" customWidth="1"/>
    <col min="2" max="2" width="25.33203125" customWidth="1"/>
    <col min="4" max="4" width="15.6640625" customWidth="1"/>
    <col min="5" max="6" width="19" customWidth="1"/>
    <col min="10" max="10" width="23" customWidth="1"/>
    <col min="11" max="11" width="18.5" bestFit="1" customWidth="1"/>
  </cols>
  <sheetData>
    <row r="1" spans="1:15" ht="46" thickBot="1" x14ac:dyDescent="0.25">
      <c r="A1" s="4" t="s">
        <v>38</v>
      </c>
      <c r="E1" s="49" t="s">
        <v>124</v>
      </c>
      <c r="F1" s="49" t="s">
        <v>123</v>
      </c>
      <c r="K1" s="5" t="s">
        <v>30</v>
      </c>
      <c r="L1" s="5" t="s">
        <v>29</v>
      </c>
    </row>
    <row r="2" spans="1:15" x14ac:dyDescent="0.2">
      <c r="A2" t="s">
        <v>39</v>
      </c>
      <c r="B2" s="54">
        <v>10</v>
      </c>
      <c r="D2" s="36" t="s">
        <v>57</v>
      </c>
      <c r="E2" s="55">
        <v>127</v>
      </c>
      <c r="F2" s="55">
        <v>361</v>
      </c>
      <c r="G2" s="48">
        <f>SUM(E2:F2)</f>
        <v>488</v>
      </c>
      <c r="H2" s="25">
        <f>G2/G$5</f>
        <v>0.28175519630484991</v>
      </c>
      <c r="J2" s="36" t="s">
        <v>57</v>
      </c>
      <c r="K2" s="38">
        <f>G2*3</f>
        <v>1464</v>
      </c>
      <c r="L2" s="39">
        <v>0</v>
      </c>
    </row>
    <row r="3" spans="1:15" x14ac:dyDescent="0.2">
      <c r="A3" t="s">
        <v>93</v>
      </c>
      <c r="B3" s="57">
        <v>0.7</v>
      </c>
      <c r="D3" s="36" t="s">
        <v>58</v>
      </c>
      <c r="E3" s="55">
        <v>52</v>
      </c>
      <c r="F3" s="55">
        <v>108</v>
      </c>
      <c r="G3" s="48">
        <f>SUM(E3:F3)</f>
        <v>160</v>
      </c>
      <c r="H3" s="25">
        <f>G3/G$5</f>
        <v>9.237875288683603E-2</v>
      </c>
      <c r="J3" s="36" t="s">
        <v>58</v>
      </c>
      <c r="K3" s="39">
        <v>0</v>
      </c>
      <c r="L3" s="38">
        <f>E3*3</f>
        <v>156</v>
      </c>
    </row>
    <row r="4" spans="1:15" x14ac:dyDescent="0.2">
      <c r="A4" t="s">
        <v>96</v>
      </c>
      <c r="B4" s="59">
        <f>15%/2</f>
        <v>7.4999999999999997E-2</v>
      </c>
      <c r="D4" s="36" t="s">
        <v>59</v>
      </c>
      <c r="E4" s="55">
        <v>311</v>
      </c>
      <c r="F4" s="55">
        <v>773</v>
      </c>
      <c r="G4" s="48">
        <f>SUM(E4:F4)</f>
        <v>1084</v>
      </c>
      <c r="H4" s="25">
        <f t="shared" ref="H4" si="0">G4/G$5</f>
        <v>0.62586605080831403</v>
      </c>
      <c r="J4" s="36" t="s">
        <v>60</v>
      </c>
      <c r="K4" s="38">
        <f>G4*2*N4</f>
        <v>1300.8</v>
      </c>
      <c r="L4" s="38">
        <f>G4*1*N4</f>
        <v>650.4</v>
      </c>
      <c r="M4" t="s">
        <v>64</v>
      </c>
      <c r="N4" s="57">
        <v>0.6</v>
      </c>
      <c r="O4" t="s">
        <v>65</v>
      </c>
    </row>
    <row r="5" spans="1:15" x14ac:dyDescent="0.2">
      <c r="A5" t="s">
        <v>47</v>
      </c>
      <c r="B5" s="54">
        <v>100</v>
      </c>
      <c r="D5" t="s">
        <v>28</v>
      </c>
      <c r="E5" s="3">
        <f>SUM(E2:E4)</f>
        <v>490</v>
      </c>
      <c r="F5" s="3">
        <f>SUM(F2:F4)</f>
        <v>1242</v>
      </c>
      <c r="G5" s="3">
        <f>SUM(G2:G4)</f>
        <v>1732</v>
      </c>
      <c r="H5" s="3"/>
      <c r="J5" s="36" t="s">
        <v>61</v>
      </c>
      <c r="K5" s="38">
        <f>G4*1*N5</f>
        <v>433.6</v>
      </c>
      <c r="L5" s="38">
        <f>G4*N5*2</f>
        <v>867.2</v>
      </c>
      <c r="M5" t="s">
        <v>64</v>
      </c>
      <c r="N5" s="29">
        <f>1-N4</f>
        <v>0.4</v>
      </c>
      <c r="O5" t="s">
        <v>66</v>
      </c>
    </row>
    <row r="6" spans="1:15" x14ac:dyDescent="0.2">
      <c r="A6" t="s">
        <v>55</v>
      </c>
      <c r="B6" s="58">
        <f>((1729-127)/1729)*3+(127/1729)*6</f>
        <v>3.2203585887796411</v>
      </c>
      <c r="J6" t="s">
        <v>28</v>
      </c>
      <c r="K6" s="3">
        <f>SUM(K2:K5)</f>
        <v>3198.4</v>
      </c>
      <c r="L6" s="3">
        <f>SUM(L2:L5)</f>
        <v>1673.6</v>
      </c>
    </row>
    <row r="7" spans="1:15" x14ac:dyDescent="0.2">
      <c r="B7" s="29"/>
      <c r="E7" s="14"/>
      <c r="F7" s="14"/>
      <c r="G7" s="14"/>
      <c r="K7" s="25">
        <f>K6/SUM(K6:L6)</f>
        <v>0.65648604269293931</v>
      </c>
      <c r="L7" s="25">
        <f>L6/SUM(K6:L6)</f>
        <v>0.34351395730706075</v>
      </c>
    </row>
    <row r="8" spans="1:15" ht="16" thickBot="1" x14ac:dyDescent="0.25"/>
    <row r="9" spans="1:1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5" x14ac:dyDescent="0.2">
      <c r="A10" s="4" t="s">
        <v>53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5" x14ac:dyDescent="0.2">
      <c r="A11" s="28" t="s">
        <v>121</v>
      </c>
      <c r="B11" s="56">
        <v>42287</v>
      </c>
      <c r="C11" s="37">
        <f>G5</f>
        <v>1732</v>
      </c>
      <c r="D11" t="s">
        <v>56</v>
      </c>
    </row>
    <row r="12" spans="1:15" x14ac:dyDescent="0.2">
      <c r="A12" s="28" t="s">
        <v>43</v>
      </c>
      <c r="B12" s="24">
        <v>42305</v>
      </c>
      <c r="C12" s="2">
        <f>(B12-B11)*B2</f>
        <v>180</v>
      </c>
    </row>
    <row r="13" spans="1:15" x14ac:dyDescent="0.2">
      <c r="A13" s="28" t="s">
        <v>44</v>
      </c>
      <c r="B13" s="21">
        <f>B12</f>
        <v>42305</v>
      </c>
      <c r="C13" s="2">
        <f>-C12*B3</f>
        <v>-125.99999999999999</v>
      </c>
    </row>
    <row r="14" spans="1:15" x14ac:dyDescent="0.2">
      <c r="A14" s="28" t="s">
        <v>122</v>
      </c>
      <c r="B14" s="20">
        <f>B12</f>
        <v>42305</v>
      </c>
      <c r="C14" s="3">
        <f>SUM(C11:C13)</f>
        <v>1786</v>
      </c>
      <c r="F14" s="2"/>
    </row>
    <row r="15" spans="1:15" x14ac:dyDescent="0.2">
      <c r="A15" s="28" t="s">
        <v>97</v>
      </c>
      <c r="B15" s="20"/>
      <c r="C15" s="43">
        <f>-C14*B4</f>
        <v>-133.94999999999999</v>
      </c>
      <c r="F15" s="2"/>
    </row>
    <row r="16" spans="1:15" ht="16" thickBot="1" x14ac:dyDescent="0.25">
      <c r="A16" s="28" t="s">
        <v>32</v>
      </c>
      <c r="C16" s="2">
        <f>B5</f>
        <v>100</v>
      </c>
    </row>
    <row r="17" spans="1:13" ht="16" thickBot="1" x14ac:dyDescent="0.25">
      <c r="A17" s="31" t="s">
        <v>52</v>
      </c>
      <c r="B17" s="32"/>
      <c r="C17" s="33">
        <f>SUM(C14:C16)</f>
        <v>1752.05</v>
      </c>
      <c r="D17" t="s">
        <v>51</v>
      </c>
    </row>
    <row r="18" spans="1:13" x14ac:dyDescent="0.2">
      <c r="A18" s="66" t="s">
        <v>152</v>
      </c>
      <c r="C18">
        <v>1500</v>
      </c>
    </row>
    <row r="19" spans="1:13" ht="16" thickBot="1" x14ac:dyDescent="0.25"/>
    <row r="20" spans="1:13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 x14ac:dyDescent="0.2">
      <c r="A21" s="4" t="s">
        <v>54</v>
      </c>
      <c r="B21" s="6"/>
      <c r="C21" s="5" t="s">
        <v>4</v>
      </c>
      <c r="D21" s="5" t="s">
        <v>5</v>
      </c>
      <c r="F21" s="50" t="s">
        <v>68</v>
      </c>
      <c r="G21" s="51">
        <f>$D$23/3</f>
        <v>102.89013229043304</v>
      </c>
    </row>
    <row r="22" spans="1:13" x14ac:dyDescent="0.2">
      <c r="A22" s="28" t="s">
        <v>67</v>
      </c>
      <c r="B22" s="6"/>
      <c r="C22" s="7">
        <f>C17*B6</f>
        <v>5642.2292654713701</v>
      </c>
      <c r="D22" s="7">
        <f>C22/12</f>
        <v>470.1857721226142</v>
      </c>
      <c r="F22" s="50" t="s">
        <v>69</v>
      </c>
      <c r="G22" s="51">
        <f>$D$23/3</f>
        <v>102.89013229043304</v>
      </c>
    </row>
    <row r="23" spans="1:13" x14ac:dyDescent="0.2">
      <c r="A23" s="40" t="s">
        <v>62</v>
      </c>
      <c r="B23" s="41">
        <f>K7</f>
        <v>0.65648604269293931</v>
      </c>
      <c r="C23" s="42">
        <f>C22*B23</f>
        <v>3704.0447624555895</v>
      </c>
      <c r="D23" s="42">
        <f t="shared" ref="D23:D24" si="1">C23/12</f>
        <v>308.67039687129915</v>
      </c>
      <c r="F23" s="50" t="s">
        <v>70</v>
      </c>
      <c r="G23" s="51">
        <f>$D$23/3</f>
        <v>102.89013229043304</v>
      </c>
      <c r="K23" s="2"/>
      <c r="M23" s="2"/>
    </row>
    <row r="24" spans="1:13" x14ac:dyDescent="0.2">
      <c r="A24" s="40" t="s">
        <v>63</v>
      </c>
      <c r="B24" s="41">
        <f>L7</f>
        <v>0.34351395730706075</v>
      </c>
      <c r="C24" s="42">
        <f>B24*C22</f>
        <v>1938.184503015781</v>
      </c>
      <c r="D24" s="42">
        <f t="shared" si="1"/>
        <v>161.51537525131508</v>
      </c>
      <c r="F24" s="52" t="s">
        <v>71</v>
      </c>
      <c r="G24" s="53">
        <f>$D$24/3</f>
        <v>53.838458417105024</v>
      </c>
    </row>
    <row r="25" spans="1:13" x14ac:dyDescent="0.2">
      <c r="F25" s="52" t="s">
        <v>72</v>
      </c>
      <c r="G25" s="53">
        <f t="shared" ref="G25:G26" si="2">$D$24/3</f>
        <v>53.838458417105024</v>
      </c>
    </row>
    <row r="26" spans="1:13" x14ac:dyDescent="0.2">
      <c r="F26" s="52" t="s">
        <v>73</v>
      </c>
      <c r="G26" s="53">
        <f t="shared" si="2"/>
        <v>53.838458417105024</v>
      </c>
    </row>
    <row r="28" spans="1:13" x14ac:dyDescent="0.2">
      <c r="I28" s="19"/>
      <c r="M28" s="19"/>
    </row>
    <row r="31" spans="1:13" x14ac:dyDescent="0.2">
      <c r="B31" s="60"/>
    </row>
    <row r="32" spans="1:13" x14ac:dyDescent="0.2">
      <c r="B32" s="60"/>
    </row>
    <row r="33" spans="2:2" x14ac:dyDescent="0.2">
      <c r="B33" s="60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 Est</vt:lpstr>
      <vt:lpstr>Mar Est</vt:lpstr>
      <vt:lpstr>Apr Est</vt:lpstr>
      <vt:lpstr>May Est</vt:lpstr>
      <vt:lpstr>May Act</vt:lpstr>
      <vt:lpstr>July Est</vt:lpstr>
      <vt:lpstr>Aug Est</vt:lpstr>
      <vt:lpstr>Oct Est</vt:lpstr>
      <vt:lpstr>Nov Est</vt:lpstr>
      <vt:lpstr>Dec Est</vt:lpstr>
      <vt:lpstr>Jan 2016 Est</vt:lpstr>
      <vt:lpstr>Feb 2016 Est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2015-01-07T19:43:34Z</dcterms:created>
  <dcterms:modified xsi:type="dcterms:W3CDTF">2015-11-03T16:09:31Z</dcterms:modified>
</cp:coreProperties>
</file>