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idrologia\Novas Apresentações\"/>
    </mc:Choice>
  </mc:AlternateContent>
  <bookViews>
    <workbookView xWindow="0" yWindow="0" windowWidth="21600" windowHeight="9630" tabRatio="833" firstSheet="1" activeTab="8"/>
  </bookViews>
  <sheets>
    <sheet name="Probabilidade Empírica" sheetId="1" r:id="rId1"/>
    <sheet name="Gráfico" sheetId="2" r:id="rId2"/>
    <sheet name="Inferência" sheetId="3" r:id="rId3"/>
    <sheet name="Normal" sheetId="4" r:id="rId4"/>
    <sheet name="Gráficos" sheetId="5" r:id="rId5"/>
    <sheet name="Gumbel " sheetId="7" r:id="rId6"/>
    <sheet name="Cálculo no Excel" sheetId="6" r:id="rId7"/>
    <sheet name="Série Anual de Máximas Mensais" sheetId="8" r:id="rId8"/>
    <sheet name="Tendência" sheetId="9" r:id="rId9"/>
  </sheets>
  <definedNames>
    <definedName name="_xlnm._FilterDatabase" localSheetId="7" hidden="1">'Série Anual de Máximas Mensais'!$I$61:$I$65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9" i="8" l="1"/>
  <c r="B14" i="8"/>
  <c r="B15" i="8"/>
  <c r="F19" i="6"/>
  <c r="G19" i="6" s="1"/>
  <c r="F20" i="6"/>
  <c r="G20" i="6" s="1"/>
  <c r="F21" i="6"/>
  <c r="G21" i="6" s="1"/>
  <c r="F18" i="6"/>
  <c r="G18" i="6" s="1"/>
  <c r="F17" i="6"/>
  <c r="F16" i="6"/>
  <c r="G16" i="6" s="1"/>
  <c r="F15" i="6"/>
  <c r="G15" i="6" s="1"/>
  <c r="A16" i="6"/>
  <c r="A17" i="6"/>
  <c r="A18" i="6"/>
  <c r="A19" i="6"/>
  <c r="A20" i="6"/>
  <c r="A21" i="6"/>
  <c r="A15" i="6"/>
  <c r="B8" i="6"/>
  <c r="B7" i="6"/>
  <c r="G17" i="6"/>
  <c r="C18" i="7"/>
  <c r="C19" i="7"/>
  <c r="L11" i="8"/>
  <c r="M11" i="8" s="1"/>
  <c r="L10" i="8"/>
  <c r="L9" i="8"/>
  <c r="M9" i="8" s="1"/>
  <c r="L8" i="8"/>
  <c r="L7" i="8"/>
  <c r="M8" i="8" s="1"/>
  <c r="L6" i="8"/>
  <c r="L5" i="8"/>
  <c r="M5" i="8" s="1"/>
  <c r="L4" i="8"/>
  <c r="L3" i="8"/>
  <c r="M4" i="8" s="1"/>
  <c r="L2" i="8"/>
  <c r="M2" i="8" s="1"/>
  <c r="I61" i="8"/>
  <c r="I60" i="8"/>
  <c r="I65" i="8"/>
  <c r="I64" i="8"/>
  <c r="I63" i="8"/>
  <c r="I62" i="8"/>
  <c r="M3" i="8" l="1"/>
  <c r="M7" i="8"/>
  <c r="M6" i="8"/>
  <c r="M10" i="8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5" i="1"/>
  <c r="D74" i="4"/>
  <c r="D76" i="4" s="1"/>
  <c r="G5" i="6" l="1"/>
  <c r="G6" i="6"/>
  <c r="G7" i="6"/>
  <c r="G8" i="6"/>
  <c r="G9" i="6"/>
  <c r="G10" i="6"/>
  <c r="G4" i="6"/>
  <c r="F5" i="6"/>
  <c r="F6" i="6"/>
  <c r="F7" i="6"/>
  <c r="F8" i="6"/>
  <c r="F9" i="6"/>
  <c r="F10" i="6"/>
  <c r="F4" i="6"/>
  <c r="D40" i="4"/>
  <c r="D38" i="4"/>
  <c r="T4" i="5"/>
  <c r="T5" i="5"/>
  <c r="T6" i="5"/>
  <c r="T7" i="5"/>
  <c r="T8" i="5"/>
  <c r="T9" i="5"/>
  <c r="T3" i="5"/>
  <c r="T2" i="5"/>
  <c r="S10" i="5"/>
  <c r="S9" i="5"/>
  <c r="S8" i="5"/>
  <c r="S7" i="5"/>
  <c r="S6" i="5"/>
  <c r="S5" i="5"/>
  <c r="S4" i="5"/>
  <c r="S3" i="5"/>
  <c r="S2" i="5"/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4" i="2"/>
  <c r="C66" i="1"/>
  <c r="C65" i="1"/>
  <c r="C64" i="1"/>
  <c r="C63" i="1"/>
  <c r="C62" i="1"/>
  <c r="C61" i="1"/>
</calcChain>
</file>

<file path=xl/sharedStrings.xml><?xml version="1.0" encoding="utf-8"?>
<sst xmlns="http://schemas.openxmlformats.org/spreadsheetml/2006/main" count="315" uniqueCount="211">
  <si>
    <r>
      <t>Precipitação pluviométrica (P</t>
    </r>
    <r>
      <rPr>
        <b/>
        <vertAlign val="subscript"/>
        <sz val="12"/>
        <color rgb="FF000000"/>
        <rFont val="Calibri"/>
        <family val="2"/>
        <scheme val="minor"/>
      </rPr>
      <t>out</t>
    </r>
    <r>
      <rPr>
        <b/>
        <sz val="12"/>
        <color rgb="FF000000"/>
        <rFont val="Calibri"/>
        <family val="2"/>
        <scheme val="minor"/>
      </rPr>
      <t>) em Florianópolis/SC no mês de outubro.</t>
    </r>
    <r>
      <rPr>
        <sz val="12"/>
        <color rgb="FF000000"/>
        <rFont val="Calibri"/>
        <family val="2"/>
        <scheme val="minor"/>
      </rPr>
      <t> </t>
    </r>
  </si>
  <si>
    <r>
      <t>Ano</t>
    </r>
    <r>
      <rPr>
        <sz val="12"/>
        <color rgb="FF000000"/>
        <rFont val="Calibri"/>
        <family val="2"/>
      </rPr>
      <t> </t>
    </r>
  </si>
  <si>
    <r>
      <t>Ordem</t>
    </r>
    <r>
      <rPr>
        <sz val="12"/>
        <color rgb="FF000000"/>
        <rFont val="Calibri"/>
        <family val="2"/>
      </rPr>
      <t> </t>
    </r>
  </si>
  <si>
    <r>
      <t>Prob P</t>
    </r>
    <r>
      <rPr>
        <b/>
        <vertAlign val="subscript"/>
        <sz val="12"/>
        <color rgb="FF000000"/>
        <rFont val="Calibri"/>
        <family val="2"/>
      </rPr>
      <t>out</t>
    </r>
    <r>
      <rPr>
        <b/>
        <sz val="12"/>
        <color rgb="FF000000"/>
        <rFont val="Calibri"/>
        <family val="2"/>
      </rPr>
      <t> &gt; X</t>
    </r>
    <r>
      <rPr>
        <sz val="12"/>
        <color rgb="FF000000"/>
        <rFont val="Calibri"/>
        <family val="2"/>
      </rPr>
      <t> </t>
    </r>
  </si>
  <si>
    <r>
      <t>Tr (anos)</t>
    </r>
    <r>
      <rPr>
        <sz val="12"/>
        <color rgb="FF000000"/>
        <rFont val="Calibri"/>
        <family val="2"/>
      </rPr>
      <t> </t>
    </r>
  </si>
  <si>
    <r>
      <t>P</t>
    </r>
    <r>
      <rPr>
        <b/>
        <vertAlign val="subscript"/>
        <sz val="12"/>
        <color rgb="FF000000"/>
        <rFont val="Calibri"/>
        <family val="2"/>
      </rPr>
      <t>out</t>
    </r>
    <r>
      <rPr>
        <b/>
        <sz val="12"/>
        <color rgb="FF000000"/>
        <rFont val="Calibri"/>
        <family val="2"/>
      </rPr>
      <t> </t>
    </r>
    <r>
      <rPr>
        <sz val="12"/>
        <color rgb="FF000000"/>
        <rFont val="Calibri"/>
        <family val="2"/>
      </rPr>
      <t> (mm)</t>
    </r>
  </si>
  <si>
    <r>
      <t>P</t>
    </r>
    <r>
      <rPr>
        <b/>
        <vertAlign val="subscript"/>
        <sz val="12"/>
        <color rgb="FF000000"/>
        <rFont val="Calibri"/>
        <family val="2"/>
      </rPr>
      <t>out</t>
    </r>
    <r>
      <rPr>
        <vertAlign val="subscript"/>
        <sz val="12"/>
        <rFont val="Calibri"/>
        <family val="2"/>
      </rPr>
      <t> </t>
    </r>
    <r>
      <rPr>
        <sz val="12"/>
        <rFont val="Calibri"/>
        <family val="2"/>
      </rPr>
      <t> (mm)</t>
    </r>
  </si>
  <si>
    <r>
      <t xml:space="preserve">ordenada </t>
    </r>
    <r>
      <rPr>
        <sz val="11"/>
        <color theme="1"/>
        <rFont val="Calibri"/>
        <family val="2"/>
      </rPr>
      <t>↓</t>
    </r>
  </si>
  <si>
    <r>
      <t>1961</t>
    </r>
    <r>
      <rPr>
        <sz val="11"/>
        <color rgb="FF000000"/>
        <rFont val="Calibri"/>
        <family val="2"/>
      </rPr>
      <t> </t>
    </r>
  </si>
  <si>
    <r>
      <t>1962</t>
    </r>
    <r>
      <rPr>
        <sz val="11"/>
        <color rgb="FF000000"/>
        <rFont val="Calibri"/>
        <family val="2"/>
      </rPr>
      <t> </t>
    </r>
  </si>
  <si>
    <r>
      <t>1963</t>
    </r>
    <r>
      <rPr>
        <sz val="11"/>
        <color rgb="FF000000"/>
        <rFont val="Calibri"/>
        <family val="2"/>
      </rPr>
      <t> </t>
    </r>
  </si>
  <si>
    <r>
      <t>1964</t>
    </r>
    <r>
      <rPr>
        <sz val="11"/>
        <color rgb="FF000000"/>
        <rFont val="Calibri"/>
        <family val="2"/>
      </rPr>
      <t> </t>
    </r>
  </si>
  <si>
    <r>
      <t>1965</t>
    </r>
    <r>
      <rPr>
        <sz val="11"/>
        <color rgb="FF000000"/>
        <rFont val="Calibri"/>
        <family val="2"/>
      </rPr>
      <t> </t>
    </r>
  </si>
  <si>
    <r>
      <t>1966</t>
    </r>
    <r>
      <rPr>
        <sz val="11"/>
        <color rgb="FF000000"/>
        <rFont val="Calibri"/>
        <family val="2"/>
      </rPr>
      <t> </t>
    </r>
  </si>
  <si>
    <r>
      <t>1967</t>
    </r>
    <r>
      <rPr>
        <sz val="11"/>
        <color rgb="FF000000"/>
        <rFont val="Calibri"/>
        <family val="2"/>
      </rPr>
      <t> </t>
    </r>
  </si>
  <si>
    <r>
      <t>1968</t>
    </r>
    <r>
      <rPr>
        <sz val="11"/>
        <color rgb="FF000000"/>
        <rFont val="Calibri"/>
        <family val="2"/>
      </rPr>
      <t> </t>
    </r>
  </si>
  <si>
    <r>
      <t>1969</t>
    </r>
    <r>
      <rPr>
        <sz val="11"/>
        <color rgb="FF000000"/>
        <rFont val="Calibri"/>
        <family val="2"/>
      </rPr>
      <t> </t>
    </r>
  </si>
  <si>
    <r>
      <t>1970</t>
    </r>
    <r>
      <rPr>
        <sz val="11"/>
        <color rgb="FF000000"/>
        <rFont val="Calibri"/>
        <family val="2"/>
      </rPr>
      <t> </t>
    </r>
  </si>
  <si>
    <r>
      <t>1971</t>
    </r>
    <r>
      <rPr>
        <sz val="11"/>
        <color rgb="FF000000"/>
        <rFont val="Calibri"/>
        <family val="2"/>
      </rPr>
      <t> </t>
    </r>
  </si>
  <si>
    <r>
      <t>1972</t>
    </r>
    <r>
      <rPr>
        <sz val="11"/>
        <color rgb="FF000000"/>
        <rFont val="Calibri"/>
        <family val="2"/>
      </rPr>
      <t> </t>
    </r>
  </si>
  <si>
    <r>
      <t>1973</t>
    </r>
    <r>
      <rPr>
        <sz val="11"/>
        <color rgb="FF000000"/>
        <rFont val="Calibri"/>
        <family val="2"/>
      </rPr>
      <t> </t>
    </r>
  </si>
  <si>
    <r>
      <t>1974</t>
    </r>
    <r>
      <rPr>
        <sz val="11"/>
        <color rgb="FF000000"/>
        <rFont val="Calibri"/>
        <family val="2"/>
      </rPr>
      <t> </t>
    </r>
  </si>
  <si>
    <r>
      <t>1975</t>
    </r>
    <r>
      <rPr>
        <sz val="11"/>
        <color rgb="FF000000"/>
        <rFont val="Calibri"/>
        <family val="2"/>
      </rPr>
      <t> </t>
    </r>
  </si>
  <si>
    <r>
      <t>1976</t>
    </r>
    <r>
      <rPr>
        <sz val="11"/>
        <color rgb="FF000000"/>
        <rFont val="Calibri"/>
        <family val="2"/>
      </rPr>
      <t> </t>
    </r>
  </si>
  <si>
    <r>
      <t>1977</t>
    </r>
    <r>
      <rPr>
        <sz val="11"/>
        <color rgb="FF000000"/>
        <rFont val="Calibri"/>
        <family val="2"/>
      </rPr>
      <t> </t>
    </r>
  </si>
  <si>
    <r>
      <t>1978</t>
    </r>
    <r>
      <rPr>
        <sz val="11"/>
        <color rgb="FF000000"/>
        <rFont val="Calibri"/>
        <family val="2"/>
      </rPr>
      <t> </t>
    </r>
  </si>
  <si>
    <r>
      <t>1979</t>
    </r>
    <r>
      <rPr>
        <sz val="11"/>
        <color rgb="FF000000"/>
        <rFont val="Calibri"/>
        <family val="2"/>
      </rPr>
      <t> </t>
    </r>
  </si>
  <si>
    <r>
      <t>1980</t>
    </r>
    <r>
      <rPr>
        <sz val="11"/>
        <color rgb="FF000000"/>
        <rFont val="Calibri"/>
        <family val="2"/>
      </rPr>
      <t> </t>
    </r>
  </si>
  <si>
    <r>
      <t>1981</t>
    </r>
    <r>
      <rPr>
        <sz val="11"/>
        <color rgb="FF000000"/>
        <rFont val="Calibri"/>
        <family val="2"/>
      </rPr>
      <t> </t>
    </r>
  </si>
  <si>
    <r>
      <t>1982</t>
    </r>
    <r>
      <rPr>
        <sz val="11"/>
        <color rgb="FF000000"/>
        <rFont val="Calibri"/>
        <family val="2"/>
      </rPr>
      <t> </t>
    </r>
  </si>
  <si>
    <r>
      <t>1983</t>
    </r>
    <r>
      <rPr>
        <sz val="11"/>
        <color rgb="FF000000"/>
        <rFont val="Calibri"/>
        <family val="2"/>
      </rPr>
      <t> </t>
    </r>
  </si>
  <si>
    <r>
      <t>1984</t>
    </r>
    <r>
      <rPr>
        <sz val="11"/>
        <color rgb="FF000000"/>
        <rFont val="Calibri"/>
        <family val="2"/>
      </rPr>
      <t> </t>
    </r>
  </si>
  <si>
    <r>
      <t>1985</t>
    </r>
    <r>
      <rPr>
        <sz val="11"/>
        <color rgb="FF000000"/>
        <rFont val="Calibri"/>
        <family val="2"/>
      </rPr>
      <t> </t>
    </r>
  </si>
  <si>
    <r>
      <t>1986</t>
    </r>
    <r>
      <rPr>
        <sz val="11"/>
        <color rgb="FF000000"/>
        <rFont val="Calibri"/>
        <family val="2"/>
      </rPr>
      <t> </t>
    </r>
  </si>
  <si>
    <r>
      <t>1987</t>
    </r>
    <r>
      <rPr>
        <sz val="11"/>
        <color rgb="FF000000"/>
        <rFont val="Calibri"/>
        <family val="2"/>
      </rPr>
      <t> </t>
    </r>
  </si>
  <si>
    <r>
      <t>1988</t>
    </r>
    <r>
      <rPr>
        <sz val="11"/>
        <color rgb="FF000000"/>
        <rFont val="Calibri"/>
        <family val="2"/>
      </rPr>
      <t> </t>
    </r>
  </si>
  <si>
    <r>
      <t>1989</t>
    </r>
    <r>
      <rPr>
        <sz val="11"/>
        <color rgb="FF000000"/>
        <rFont val="Calibri"/>
        <family val="2"/>
      </rPr>
      <t> </t>
    </r>
  </si>
  <si>
    <r>
      <t>1990</t>
    </r>
    <r>
      <rPr>
        <sz val="11"/>
        <color rgb="FF000000"/>
        <rFont val="Calibri"/>
        <family val="2"/>
      </rPr>
      <t> </t>
    </r>
  </si>
  <si>
    <r>
      <t>1991</t>
    </r>
    <r>
      <rPr>
        <sz val="11"/>
        <color rgb="FF000000"/>
        <rFont val="Calibri"/>
        <family val="2"/>
      </rPr>
      <t> </t>
    </r>
  </si>
  <si>
    <r>
      <t>1992</t>
    </r>
    <r>
      <rPr>
        <sz val="11"/>
        <color rgb="FF000000"/>
        <rFont val="Calibri"/>
        <family val="2"/>
      </rPr>
      <t> </t>
    </r>
  </si>
  <si>
    <r>
      <t>1993</t>
    </r>
    <r>
      <rPr>
        <sz val="11"/>
        <color rgb="FF000000"/>
        <rFont val="Calibri"/>
        <family val="2"/>
      </rPr>
      <t> </t>
    </r>
  </si>
  <si>
    <r>
      <t>1994</t>
    </r>
    <r>
      <rPr>
        <sz val="11"/>
        <color rgb="FF000000"/>
        <rFont val="Calibri"/>
        <family val="2"/>
      </rPr>
      <t> </t>
    </r>
  </si>
  <si>
    <r>
      <t>1995</t>
    </r>
    <r>
      <rPr>
        <sz val="11"/>
        <color rgb="FF000000"/>
        <rFont val="Calibri"/>
        <family val="2"/>
      </rPr>
      <t> </t>
    </r>
  </si>
  <si>
    <r>
      <t>1996</t>
    </r>
    <r>
      <rPr>
        <sz val="11"/>
        <color rgb="FF000000"/>
        <rFont val="Calibri"/>
        <family val="2"/>
      </rPr>
      <t> </t>
    </r>
  </si>
  <si>
    <r>
      <t>1997</t>
    </r>
    <r>
      <rPr>
        <sz val="11"/>
        <color rgb="FF000000"/>
        <rFont val="Calibri"/>
        <family val="2"/>
      </rPr>
      <t> </t>
    </r>
  </si>
  <si>
    <r>
      <t>1998</t>
    </r>
    <r>
      <rPr>
        <sz val="11"/>
        <color rgb="FF000000"/>
        <rFont val="Calibri"/>
        <family val="2"/>
      </rPr>
      <t> </t>
    </r>
  </si>
  <si>
    <r>
      <t>1999</t>
    </r>
    <r>
      <rPr>
        <sz val="11"/>
        <color rgb="FF000000"/>
        <rFont val="Calibri"/>
        <family val="2"/>
      </rPr>
      <t> </t>
    </r>
  </si>
  <si>
    <r>
      <t>2000</t>
    </r>
    <r>
      <rPr>
        <sz val="11"/>
        <color rgb="FF000000"/>
        <rFont val="Calibri"/>
        <family val="2"/>
      </rPr>
      <t> </t>
    </r>
  </si>
  <si>
    <r>
      <t>2001</t>
    </r>
    <r>
      <rPr>
        <sz val="11"/>
        <color rgb="FF000000"/>
        <rFont val="Calibri"/>
        <family val="2"/>
      </rPr>
      <t> </t>
    </r>
  </si>
  <si>
    <r>
      <t>2002</t>
    </r>
    <r>
      <rPr>
        <sz val="11"/>
        <color rgb="FF000000"/>
        <rFont val="Calibri"/>
        <family val="2"/>
      </rPr>
      <t> </t>
    </r>
  </si>
  <si>
    <r>
      <t>2003</t>
    </r>
    <r>
      <rPr>
        <sz val="11"/>
        <color rgb="FF000000"/>
        <rFont val="Calibri"/>
        <family val="2"/>
      </rPr>
      <t> </t>
    </r>
  </si>
  <si>
    <r>
      <t>2004</t>
    </r>
    <r>
      <rPr>
        <sz val="11"/>
        <color rgb="FF000000"/>
        <rFont val="Calibri"/>
        <family val="2"/>
      </rPr>
      <t> </t>
    </r>
  </si>
  <si>
    <r>
      <t>2005</t>
    </r>
    <r>
      <rPr>
        <sz val="11"/>
        <color rgb="FF000000"/>
        <rFont val="Calibri"/>
        <family val="2"/>
      </rPr>
      <t> </t>
    </r>
  </si>
  <si>
    <r>
      <t>2006</t>
    </r>
    <r>
      <rPr>
        <sz val="11"/>
        <color rgb="FF000000"/>
        <rFont val="Calibri"/>
        <family val="2"/>
      </rPr>
      <t> </t>
    </r>
  </si>
  <si>
    <r>
      <t>2007</t>
    </r>
    <r>
      <rPr>
        <sz val="11"/>
        <color rgb="FF000000"/>
        <rFont val="Calibri"/>
        <family val="2"/>
      </rPr>
      <t> </t>
    </r>
  </si>
  <si>
    <r>
      <t>2008</t>
    </r>
    <r>
      <rPr>
        <sz val="11"/>
        <color rgb="FF000000"/>
        <rFont val="Calibri"/>
        <family val="2"/>
      </rPr>
      <t> </t>
    </r>
  </si>
  <si>
    <r>
      <t>2009</t>
    </r>
    <r>
      <rPr>
        <sz val="11"/>
        <color rgb="FF000000"/>
        <rFont val="Calibri"/>
        <family val="2"/>
      </rPr>
      <t> </t>
    </r>
  </si>
  <si>
    <r>
      <t>2010</t>
    </r>
    <r>
      <rPr>
        <sz val="11"/>
        <color rgb="FF000000"/>
        <rFont val="Calibri"/>
        <family val="2"/>
      </rPr>
      <t> </t>
    </r>
  </si>
  <si>
    <r>
      <t>2011</t>
    </r>
    <r>
      <rPr>
        <sz val="11"/>
        <color rgb="FF000000"/>
        <rFont val="Calibri"/>
        <family val="2"/>
      </rPr>
      <t> </t>
    </r>
  </si>
  <si>
    <r>
      <t>2012</t>
    </r>
    <r>
      <rPr>
        <sz val="11"/>
        <color rgb="FF000000"/>
        <rFont val="Calibri"/>
        <family val="2"/>
      </rPr>
      <t> </t>
    </r>
  </si>
  <si>
    <r>
      <t>2013</t>
    </r>
    <r>
      <rPr>
        <sz val="11"/>
        <color rgb="FF000000"/>
        <rFont val="Calibri"/>
        <family val="2"/>
      </rPr>
      <t> </t>
    </r>
  </si>
  <si>
    <r>
      <t>2014</t>
    </r>
    <r>
      <rPr>
        <sz val="11"/>
        <color rgb="FF000000"/>
        <rFont val="Calibri"/>
        <family val="2"/>
      </rPr>
      <t> </t>
    </r>
  </si>
  <si>
    <r>
      <t>2015</t>
    </r>
    <r>
      <rPr>
        <sz val="11"/>
        <color rgb="FF000000"/>
        <rFont val="Calibri"/>
        <family val="2"/>
      </rPr>
      <t> </t>
    </r>
  </si>
  <si>
    <r>
      <t>2016</t>
    </r>
    <r>
      <rPr>
        <sz val="11"/>
        <color rgb="FF000000"/>
        <rFont val="Calibri"/>
        <family val="2"/>
      </rPr>
      <t> </t>
    </r>
  </si>
  <si>
    <r>
      <t>n</t>
    </r>
    <r>
      <rPr>
        <sz val="11"/>
        <color rgb="FF000000"/>
        <rFont val="Calibri"/>
        <family val="2"/>
      </rPr>
      <t> </t>
    </r>
  </si>
  <si>
    <r>
      <t>Mínima</t>
    </r>
    <r>
      <rPr>
        <sz val="11"/>
        <color rgb="FF000000"/>
        <rFont val="Calibri"/>
        <family val="2"/>
      </rPr>
      <t> </t>
    </r>
  </si>
  <si>
    <r>
      <t>Média</t>
    </r>
    <r>
      <rPr>
        <sz val="11"/>
        <color rgb="FF000000"/>
        <rFont val="Calibri"/>
        <family val="2"/>
      </rPr>
      <t> </t>
    </r>
  </si>
  <si>
    <r>
      <t>Mediana</t>
    </r>
    <r>
      <rPr>
        <sz val="11"/>
        <color rgb="FF000000"/>
        <rFont val="Calibri"/>
        <family val="2"/>
      </rPr>
      <t> </t>
    </r>
  </si>
  <si>
    <r>
      <t>Máxima</t>
    </r>
    <r>
      <rPr>
        <sz val="11"/>
        <color rgb="FF000000"/>
        <rFont val="Calibri"/>
        <family val="2"/>
      </rPr>
      <t> </t>
    </r>
  </si>
  <si>
    <t>DP</t>
  </si>
  <si>
    <t>valor de referência na linha da coluna</t>
  </si>
  <si>
    <r>
      <rPr>
        <b/>
        <sz val="12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:</t>
    </r>
  </si>
  <si>
    <r>
      <rPr>
        <b/>
        <sz val="12"/>
        <color theme="1"/>
        <rFont val="Calibri"/>
        <family val="2"/>
        <scheme val="minor"/>
      </rPr>
      <t>Ordem</t>
    </r>
    <r>
      <rPr>
        <sz val="11"/>
        <color theme="1"/>
        <rFont val="Calibri"/>
        <family val="2"/>
        <scheme val="minor"/>
      </rPr>
      <t xml:space="preserve">: </t>
    </r>
  </si>
  <si>
    <t>número da posição do valor X</t>
  </si>
  <si>
    <r>
      <rPr>
        <b/>
        <sz val="12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: </t>
    </r>
  </si>
  <si>
    <t>número de anos da série</t>
  </si>
  <si>
    <r>
      <rPr>
        <b/>
        <sz val="12"/>
        <color theme="1"/>
        <rFont val="Calibri"/>
        <family val="2"/>
        <scheme val="minor"/>
      </rPr>
      <t>n+1</t>
    </r>
    <r>
      <rPr>
        <sz val="11"/>
        <color theme="1"/>
        <rFont val="Calibri"/>
        <family val="2"/>
        <scheme val="minor"/>
      </rPr>
      <t xml:space="preserve">: </t>
    </r>
  </si>
  <si>
    <t>fator para evitar certeza de não ocorrência de valor &gt; X</t>
  </si>
  <si>
    <t>EXEMPLO 1</t>
  </si>
  <si>
    <t>EXEMPLO 2</t>
  </si>
  <si>
    <r>
      <t>Tr é o tempo de retorno ou tempo de recorrência </t>
    </r>
    <r>
      <rPr>
        <b/>
        <sz val="16"/>
        <color rgb="FF000000"/>
        <rFont val="Wingdings"/>
        <charset val="2"/>
      </rPr>
      <t>à</t>
    </r>
    <r>
      <rPr>
        <sz val="16"/>
        <color rgb="FF000000"/>
        <rFont val="Calibri"/>
        <family val="2"/>
        <scheme val="minor"/>
      </rPr>
      <t> número médio de anos para a precipitação X ser superada.  </t>
    </r>
  </si>
  <si>
    <t>Distribuição Normal</t>
  </si>
  <si>
    <t>m</t>
  </si>
  <si>
    <t>s</t>
  </si>
  <si>
    <t>Média</t>
  </si>
  <si>
    <t>m =</t>
  </si>
  <si>
    <t>mm</t>
  </si>
  <si>
    <t>&lt;40</t>
  </si>
  <si>
    <t>&lt;80</t>
  </si>
  <si>
    <t>&lt;120</t>
  </si>
  <si>
    <t>&lt;160</t>
  </si>
  <si>
    <t>&lt;200</t>
  </si>
  <si>
    <t>&lt;240</t>
  </si>
  <si>
    <t>&lt;280</t>
  </si>
  <si>
    <t>&lt;320</t>
  </si>
  <si>
    <t>&gt;320</t>
  </si>
  <si>
    <t>&lt; 40</t>
  </si>
  <si>
    <t>40-80</t>
  </si>
  <si>
    <t>80-120</t>
  </si>
  <si>
    <t>120-160</t>
  </si>
  <si>
    <t>160-200</t>
  </si>
  <si>
    <t>200-240</t>
  </si>
  <si>
    <t>240-280</t>
  </si>
  <si>
    <t>280-320</t>
  </si>
  <si>
    <t>Frequência</t>
  </si>
  <si>
    <t>Ano</t>
  </si>
  <si>
    <t>Chuva</t>
  </si>
  <si>
    <t>1961 </t>
  </si>
  <si>
    <t>1962 </t>
  </si>
  <si>
    <t>1963 </t>
  </si>
  <si>
    <t>1964 </t>
  </si>
  <si>
    <t>1965 </t>
  </si>
  <si>
    <t>1966 </t>
  </si>
  <si>
    <t>1967 </t>
  </si>
  <si>
    <t>1968 </t>
  </si>
  <si>
    <t>1969 </t>
  </si>
  <si>
    <t>1970 </t>
  </si>
  <si>
    <t>1971 </t>
  </si>
  <si>
    <t>1972 </t>
  </si>
  <si>
    <t>1973 </t>
  </si>
  <si>
    <t>1974 </t>
  </si>
  <si>
    <t>1975 </t>
  </si>
  <si>
    <t>1976 </t>
  </si>
  <si>
    <t>1977 </t>
  </si>
  <si>
    <t>1978 </t>
  </si>
  <si>
    <t>1979 </t>
  </si>
  <si>
    <t>1980 </t>
  </si>
  <si>
    <t>1981 </t>
  </si>
  <si>
    <t>1982 </t>
  </si>
  <si>
    <t>1983 </t>
  </si>
  <si>
    <t>1984 </t>
  </si>
  <si>
    <t>1985 </t>
  </si>
  <si>
    <t>1986 </t>
  </si>
  <si>
    <t>1987 </t>
  </si>
  <si>
    <t>1988 </t>
  </si>
  <si>
    <t>1989 </t>
  </si>
  <si>
    <t>1990 </t>
  </si>
  <si>
    <t>1991 </t>
  </si>
  <si>
    <t>1992 </t>
  </si>
  <si>
    <t>1993 </t>
  </si>
  <si>
    <t>1994 </t>
  </si>
  <si>
    <t>1995 </t>
  </si>
  <si>
    <t>1996 </t>
  </si>
  <si>
    <t>1997 </t>
  </si>
  <si>
    <t>1998 </t>
  </si>
  <si>
    <t>1999 </t>
  </si>
  <si>
    <t>2000 </t>
  </si>
  <si>
    <t>2001 </t>
  </si>
  <si>
    <t>2002 </t>
  </si>
  <si>
    <t>2003 </t>
  </si>
  <si>
    <t>2004 </t>
  </si>
  <si>
    <t>2005 </t>
  </si>
  <si>
    <t>2006 </t>
  </si>
  <si>
    <t>2007 </t>
  </si>
  <si>
    <t>2008 </t>
  </si>
  <si>
    <t>2009 </t>
  </si>
  <si>
    <t>2010 </t>
  </si>
  <si>
    <t>2011 </t>
  </si>
  <si>
    <t>2012 </t>
  </si>
  <si>
    <t>2013 </t>
  </si>
  <si>
    <t>2014 </t>
  </si>
  <si>
    <t>2015 </t>
  </si>
  <si>
    <t>2016 </t>
  </si>
  <si>
    <t>Classes de chuva</t>
  </si>
  <si>
    <t>139,8 mm</t>
  </si>
  <si>
    <t>média =</t>
  </si>
  <si>
    <t>Inferência estatística</t>
  </si>
  <si>
    <t>Fazer afirmações a partir de um conjunto de valores representativo (amostra) sobre um universo (população). Assume-se que a população é muito maior do que o conjunto de dados observados (amostra).</t>
  </si>
  <si>
    <t>300-139,8 = 160,2</t>
  </si>
  <si>
    <r>
      <t xml:space="preserve">160,2/65,1 </t>
    </r>
    <r>
      <rPr>
        <sz val="11"/>
        <color theme="1"/>
        <rFont val="Symbol"/>
        <family val="1"/>
        <charset val="2"/>
      </rPr>
      <t>»</t>
    </r>
    <r>
      <rPr>
        <sz val="11"/>
        <color theme="1"/>
        <rFont val="Calibri"/>
        <family val="2"/>
        <scheme val="minor"/>
      </rPr>
      <t xml:space="preserve"> 2,46 desvios</t>
    </r>
  </si>
  <si>
    <t>Para Z = 2,46 ------&gt; P = 0,5 - 0,4931</t>
  </si>
  <si>
    <t xml:space="preserve">P = </t>
  </si>
  <si>
    <t>anos</t>
  </si>
  <si>
    <r>
      <t xml:space="preserve">TR </t>
    </r>
    <r>
      <rPr>
        <b/>
        <sz val="14"/>
        <color theme="1"/>
        <rFont val="Symbol"/>
        <family val="1"/>
        <charset val="2"/>
      </rPr>
      <t>»</t>
    </r>
  </si>
  <si>
    <t>No excel</t>
  </si>
  <si>
    <t>Desvio padrão</t>
  </si>
  <si>
    <r>
      <t xml:space="preserve"> P</t>
    </r>
    <r>
      <rPr>
        <b/>
        <vertAlign val="subscript"/>
        <sz val="12"/>
        <color theme="1"/>
        <rFont val="Calibri"/>
        <family val="2"/>
        <scheme val="minor"/>
      </rPr>
      <t>out</t>
    </r>
    <r>
      <rPr>
        <b/>
        <sz val="12"/>
        <color theme="1"/>
        <rFont val="Calibri"/>
        <family val="2"/>
        <scheme val="minor"/>
      </rPr>
      <t xml:space="preserve"> maior que</t>
    </r>
  </si>
  <si>
    <t>Tempo de retorno</t>
  </si>
  <si>
    <t>Probabilidade Normal</t>
  </si>
  <si>
    <t xml:space="preserve">139,8-50 = </t>
  </si>
  <si>
    <r>
      <t xml:space="preserve">89,8/65,1 </t>
    </r>
    <r>
      <rPr>
        <sz val="11"/>
        <color theme="1"/>
        <rFont val="Symbol"/>
        <family val="1"/>
        <charset val="2"/>
      </rPr>
      <t>»</t>
    </r>
    <r>
      <rPr>
        <sz val="11"/>
        <color theme="1"/>
        <rFont val="Calibri"/>
        <family val="2"/>
        <scheme val="minor"/>
      </rPr>
      <t xml:space="preserve"> 1,38 desvios</t>
    </r>
  </si>
  <si>
    <t>Máxima mensal</t>
  </si>
  <si>
    <t>Mínima</t>
  </si>
  <si>
    <t>Mediana</t>
  </si>
  <si>
    <t>Máxima</t>
  </si>
  <si>
    <t>n</t>
  </si>
  <si>
    <t>&lt; 200</t>
  </si>
  <si>
    <t>200-250</t>
  </si>
  <si>
    <t>250-300</t>
  </si>
  <si>
    <t>300-350</t>
  </si>
  <si>
    <t>350-400</t>
  </si>
  <si>
    <t>400-450</t>
  </si>
  <si>
    <t>450-500</t>
  </si>
  <si>
    <t>500-550</t>
  </si>
  <si>
    <t>550-600</t>
  </si>
  <si>
    <t>&gt;600</t>
  </si>
  <si>
    <t>Classes</t>
  </si>
  <si>
    <t>Distribuição de Gumbel</t>
  </si>
  <si>
    <t>Média populacional</t>
  </si>
  <si>
    <t>desvio padrão da população</t>
  </si>
  <si>
    <t>(amostral)</t>
  </si>
  <si>
    <t>a =</t>
  </si>
  <si>
    <t>y de gumbel</t>
  </si>
  <si>
    <t>Gumbel:</t>
  </si>
  <si>
    <t>Probabilidade Gumbel</t>
  </si>
  <si>
    <r>
      <t xml:space="preserve">      Observe que esta probabilidade é bem maior do que aquela obtida pela distribuição normal (P</t>
    </r>
    <r>
      <rPr>
        <b/>
        <vertAlign val="subscript"/>
        <sz val="14"/>
        <color theme="1"/>
        <rFont val="Calibri"/>
        <family val="2"/>
        <scheme val="minor"/>
      </rPr>
      <t>normal</t>
    </r>
    <r>
      <rPr>
        <b/>
        <sz val="14"/>
        <color theme="1"/>
        <rFont val="Calibri"/>
        <family val="2"/>
        <scheme val="minor"/>
      </rPr>
      <t xml:space="preserve"> = 0,007)</t>
    </r>
  </si>
  <si>
    <t>Tr =</t>
  </si>
  <si>
    <t>12 anos</t>
  </si>
  <si>
    <t>Média amostral</t>
  </si>
  <si>
    <t>desvio padrão da amostra</t>
  </si>
  <si>
    <t>Para Z = -1,38 ------&gt; P = 0,5 - 0,4162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</si>
</sst>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00"/>
    <numFmt numFmtId="166" formatCode="0.0000"/>
  </numFmts>
  <fonts count="4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vertAlign val="subscript"/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8"/>
      <color rgb="FF000000"/>
      <name val="MathJax_Main-bold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000000"/>
      <name val="Wingdings"/>
      <charset val="2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4"/>
      <color theme="1"/>
      <name val="Symbol"/>
      <family val="1"/>
      <charset val="2"/>
    </font>
    <font>
      <b/>
      <sz val="14"/>
      <color rgb="FF202124"/>
      <name val="Arial"/>
      <family val="2"/>
    </font>
    <font>
      <b/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9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3" fillId="4" borderId="0" xfId="0" applyFont="1" applyFill="1"/>
    <xf numFmtId="0" fontId="0" fillId="4" borderId="0" xfId="0" applyFill="1"/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15" fillId="5" borderId="1" xfId="0" applyFont="1" applyFill="1" applyBorder="1" applyAlignment="1">
      <alignment horizontal="left" vertical="center" shrinkToFit="1"/>
    </xf>
    <xf numFmtId="0" fontId="1" fillId="2" borderId="1" xfId="1" applyBorder="1" applyAlignment="1">
      <alignment horizontal="right" vertical="center" wrapText="1"/>
    </xf>
    <xf numFmtId="0" fontId="16" fillId="0" borderId="0" xfId="0" applyFont="1" applyAlignment="1">
      <alignment horizontal="center" vertical="center"/>
    </xf>
    <xf numFmtId="0" fontId="0" fillId="4" borderId="0" xfId="0" applyFill="1" applyAlignment="1">
      <alignment horizontal="right"/>
    </xf>
    <xf numFmtId="0" fontId="23" fillId="6" borderId="0" xfId="0" applyFont="1" applyFill="1"/>
    <xf numFmtId="0" fontId="18" fillId="7" borderId="0" xfId="0" applyFont="1" applyFill="1" applyAlignment="1">
      <alignment horizontal="left"/>
    </xf>
    <xf numFmtId="0" fontId="0" fillId="7" borderId="0" xfId="0" applyFill="1"/>
    <xf numFmtId="0" fontId="24" fillId="6" borderId="0" xfId="0" applyFont="1" applyFill="1" applyAlignment="1">
      <alignment horizontal="left"/>
    </xf>
    <xf numFmtId="164" fontId="7" fillId="0" borderId="1" xfId="0" applyNumberFormat="1" applyFont="1" applyBorder="1" applyAlignment="1">
      <alignment horizontal="right" vertical="center" wrapText="1"/>
    </xf>
    <xf numFmtId="164" fontId="1" fillId="2" borderId="1" xfId="1" applyNumberFormat="1" applyBorder="1" applyAlignment="1">
      <alignment horizontal="right" vertical="center" wrapText="1"/>
    </xf>
    <xf numFmtId="0" fontId="25" fillId="0" borderId="0" xfId="0" applyFont="1"/>
    <xf numFmtId="0" fontId="29" fillId="8" borderId="0" xfId="0" applyFont="1" applyFill="1" applyAlignment="1">
      <alignment horizontal="center"/>
    </xf>
    <xf numFmtId="0" fontId="25" fillId="8" borderId="0" xfId="0" applyFont="1" applyFill="1"/>
    <xf numFmtId="0" fontId="29" fillId="0" borderId="0" xfId="0" applyFont="1" applyFill="1" applyAlignment="1">
      <alignment horizontal="right"/>
    </xf>
    <xf numFmtId="0" fontId="17" fillId="0" borderId="0" xfId="0" applyFont="1" applyAlignment="1">
      <alignment horizontal="center"/>
    </xf>
    <xf numFmtId="164" fontId="8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/>
    <xf numFmtId="0" fontId="0" fillId="4" borderId="1" xfId="0" applyFont="1" applyFill="1" applyBorder="1" applyAlignment="1">
      <alignment horizontal="center"/>
    </xf>
    <xf numFmtId="0" fontId="25" fillId="0" borderId="0" xfId="0" applyFont="1" applyAlignment="1">
      <alignment horizontal="right"/>
    </xf>
    <xf numFmtId="0" fontId="18" fillId="0" borderId="0" xfId="0" applyFont="1" applyFill="1" applyAlignment="1">
      <alignment horizontal="left"/>
    </xf>
    <xf numFmtId="0" fontId="0" fillId="0" borderId="0" xfId="0" applyFill="1"/>
    <xf numFmtId="0" fontId="31" fillId="0" borderId="0" xfId="0" applyFont="1"/>
    <xf numFmtId="0" fontId="33" fillId="4" borderId="0" xfId="0" applyFont="1" applyFill="1" applyAlignment="1">
      <alignment horizontal="right"/>
    </xf>
    <xf numFmtId="0" fontId="33" fillId="4" borderId="0" xfId="0" applyFont="1" applyFill="1"/>
    <xf numFmtId="0" fontId="31" fillId="10" borderId="0" xfId="0" applyFont="1" applyFill="1" applyAlignment="1">
      <alignment horizontal="right"/>
    </xf>
    <xf numFmtId="1" fontId="31" fillId="10" borderId="0" xfId="0" applyNumberFormat="1" applyFont="1" applyFill="1" applyAlignment="1">
      <alignment horizontal="center"/>
    </xf>
    <xf numFmtId="0" fontId="31" fillId="10" borderId="0" xfId="0" applyFont="1" applyFill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4" fontId="0" fillId="0" borderId="1" xfId="0" applyNumberFormat="1" applyBorder="1"/>
    <xf numFmtId="0" fontId="17" fillId="10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/>
    </xf>
    <xf numFmtId="166" fontId="7" fillId="0" borderId="1" xfId="0" applyNumberFormat="1" applyFont="1" applyBorder="1" applyAlignment="1">
      <alignment horizontal="right" vertical="center" wrapText="1"/>
    </xf>
    <xf numFmtId="0" fontId="33" fillId="0" borderId="0" xfId="0" applyFont="1"/>
    <xf numFmtId="0" fontId="27" fillId="0" borderId="0" xfId="0" applyFont="1"/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/>
    <xf numFmtId="1" fontId="0" fillId="4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5" fillId="4" borderId="1" xfId="0" applyFont="1" applyFill="1" applyBorder="1" applyAlignment="1">
      <alignment horizontal="center" vertical="center"/>
    </xf>
    <xf numFmtId="2" fontId="2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35" fillId="4" borderId="1" xfId="0" applyFont="1" applyFill="1" applyBorder="1" applyAlignment="1">
      <alignment horizontal="center"/>
    </xf>
    <xf numFmtId="0" fontId="36" fillId="4" borderId="1" xfId="0" applyFont="1" applyFill="1" applyBorder="1"/>
    <xf numFmtId="164" fontId="36" fillId="4" borderId="1" xfId="0" applyNumberFormat="1" applyFont="1" applyFill="1" applyBorder="1"/>
    <xf numFmtId="0" fontId="31" fillId="8" borderId="0" xfId="0" applyFont="1" applyFill="1" applyAlignment="1">
      <alignment horizontal="center"/>
    </xf>
    <xf numFmtId="0" fontId="28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8" borderId="1" xfId="0" applyFill="1" applyBorder="1" applyAlignment="1">
      <alignment horizontal="center"/>
    </xf>
    <xf numFmtId="165" fontId="0" fillId="8" borderId="1" xfId="0" applyNumberFormat="1" applyFill="1" applyBorder="1"/>
    <xf numFmtId="1" fontId="0" fillId="8" borderId="1" xfId="0" applyNumberFormat="1" applyFill="1" applyBorder="1"/>
    <xf numFmtId="0" fontId="38" fillId="0" borderId="0" xfId="0" applyFont="1"/>
    <xf numFmtId="0" fontId="31" fillId="8" borderId="0" xfId="0" applyFont="1" applyFill="1"/>
    <xf numFmtId="0" fontId="0" fillId="8" borderId="0" xfId="0" applyFill="1"/>
    <xf numFmtId="0" fontId="25" fillId="8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8" fillId="8" borderId="1" xfId="0" applyFont="1" applyFill="1" applyBorder="1"/>
    <xf numFmtId="0" fontId="0" fillId="8" borderId="1" xfId="0" applyFill="1" applyBorder="1"/>
    <xf numFmtId="0" fontId="25" fillId="8" borderId="1" xfId="0" applyFont="1" applyFill="1" applyBorder="1"/>
    <xf numFmtId="164" fontId="25" fillId="8" borderId="1" xfId="0" applyNumberFormat="1" applyFont="1" applyFill="1" applyBorder="1"/>
    <xf numFmtId="0" fontId="40" fillId="0" borderId="0" xfId="0" applyFont="1" applyFill="1" applyBorder="1" applyAlignment="1">
      <alignment horizontal="right"/>
    </xf>
    <xf numFmtId="2" fontId="25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9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30" fillId="9" borderId="0" xfId="0" applyFont="1" applyFill="1" applyAlignment="1">
      <alignment wrapText="1"/>
    </xf>
    <xf numFmtId="0" fontId="31" fillId="9" borderId="0" xfId="0" applyFont="1" applyFill="1" applyAlignment="1">
      <alignment wrapText="1"/>
    </xf>
    <xf numFmtId="0" fontId="26" fillId="9" borderId="0" xfId="0" applyFont="1" applyFill="1" applyAlignment="1"/>
    <xf numFmtId="0" fontId="0" fillId="9" borderId="0" xfId="0" applyFill="1" applyAlignment="1"/>
    <xf numFmtId="0" fontId="32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Ênfase5" xfId="1" builtinId="45"/>
    <cellStyle name="Normal" xfId="0" builtinId="0"/>
  </cellStyles>
  <dxfs count="0"/>
  <tableStyles count="0" defaultTableStyle="TableStyleMedium2" defaultPivotStyle="PivotStyleLight16"/>
  <colors>
    <mruColors>
      <color rgb="FF550B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Probabilidade de excedência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0380810387345"/>
          <c:y val="0.1134185350298698"/>
          <c:w val="0.8602396710885063"/>
          <c:h val="0.7442709288211071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Gráfico!$C$4:$C$59</c:f>
              <c:numCache>
                <c:formatCode>0.0</c:formatCode>
                <c:ptCount val="56"/>
                <c:pt idx="0">
                  <c:v>360.9</c:v>
                </c:pt>
                <c:pt idx="1">
                  <c:v>288.8</c:v>
                </c:pt>
                <c:pt idx="2">
                  <c:v>286.5</c:v>
                </c:pt>
                <c:pt idx="3">
                  <c:v>246</c:v>
                </c:pt>
                <c:pt idx="4">
                  <c:v>241.8</c:v>
                </c:pt>
                <c:pt idx="5">
                  <c:v>236.7</c:v>
                </c:pt>
                <c:pt idx="6">
                  <c:v>220.6</c:v>
                </c:pt>
                <c:pt idx="7">
                  <c:v>216.3</c:v>
                </c:pt>
                <c:pt idx="8">
                  <c:v>201.6</c:v>
                </c:pt>
                <c:pt idx="9">
                  <c:v>195.8</c:v>
                </c:pt>
                <c:pt idx="10">
                  <c:v>185.1</c:v>
                </c:pt>
                <c:pt idx="11">
                  <c:v>180.6</c:v>
                </c:pt>
                <c:pt idx="12">
                  <c:v>177.9</c:v>
                </c:pt>
                <c:pt idx="13">
                  <c:v>176.8</c:v>
                </c:pt>
                <c:pt idx="14">
                  <c:v>170.3</c:v>
                </c:pt>
                <c:pt idx="15">
                  <c:v>169.8</c:v>
                </c:pt>
                <c:pt idx="16">
                  <c:v>154</c:v>
                </c:pt>
                <c:pt idx="17">
                  <c:v>149.80000000000001</c:v>
                </c:pt>
                <c:pt idx="18">
                  <c:v>148.30000000000001</c:v>
                </c:pt>
                <c:pt idx="19">
                  <c:v>147.80000000000001</c:v>
                </c:pt>
                <c:pt idx="20">
                  <c:v>146.69999999999999</c:v>
                </c:pt>
                <c:pt idx="21">
                  <c:v>145.30000000000001</c:v>
                </c:pt>
                <c:pt idx="22">
                  <c:v>143.4</c:v>
                </c:pt>
                <c:pt idx="23">
                  <c:v>142.1</c:v>
                </c:pt>
                <c:pt idx="24">
                  <c:v>136.4</c:v>
                </c:pt>
                <c:pt idx="25">
                  <c:v>136.19999999999999</c:v>
                </c:pt>
                <c:pt idx="26">
                  <c:v>134</c:v>
                </c:pt>
                <c:pt idx="27">
                  <c:v>127.2</c:v>
                </c:pt>
                <c:pt idx="28">
                  <c:v>124.9</c:v>
                </c:pt>
                <c:pt idx="29">
                  <c:v>123.2</c:v>
                </c:pt>
                <c:pt idx="30">
                  <c:v>122.6</c:v>
                </c:pt>
                <c:pt idx="31">
                  <c:v>119</c:v>
                </c:pt>
                <c:pt idx="32">
                  <c:v>115.5</c:v>
                </c:pt>
                <c:pt idx="33">
                  <c:v>115.1</c:v>
                </c:pt>
                <c:pt idx="34">
                  <c:v>112.2</c:v>
                </c:pt>
                <c:pt idx="35">
                  <c:v>112.1</c:v>
                </c:pt>
                <c:pt idx="36">
                  <c:v>109.4</c:v>
                </c:pt>
                <c:pt idx="37">
                  <c:v>107.4</c:v>
                </c:pt>
                <c:pt idx="38">
                  <c:v>105.7</c:v>
                </c:pt>
                <c:pt idx="39">
                  <c:v>103.4</c:v>
                </c:pt>
                <c:pt idx="40">
                  <c:v>100.7</c:v>
                </c:pt>
                <c:pt idx="41">
                  <c:v>95.6</c:v>
                </c:pt>
                <c:pt idx="42">
                  <c:v>90.6</c:v>
                </c:pt>
                <c:pt idx="43">
                  <c:v>85.4</c:v>
                </c:pt>
                <c:pt idx="44">
                  <c:v>85.2</c:v>
                </c:pt>
                <c:pt idx="45">
                  <c:v>80.7</c:v>
                </c:pt>
                <c:pt idx="46">
                  <c:v>79.7</c:v>
                </c:pt>
                <c:pt idx="47">
                  <c:v>76.900000000000006</c:v>
                </c:pt>
                <c:pt idx="48">
                  <c:v>73.7</c:v>
                </c:pt>
                <c:pt idx="49">
                  <c:v>73.5</c:v>
                </c:pt>
                <c:pt idx="50">
                  <c:v>73.400000000000006</c:v>
                </c:pt>
                <c:pt idx="51">
                  <c:v>73.400000000000006</c:v>
                </c:pt>
                <c:pt idx="52">
                  <c:v>65.7</c:v>
                </c:pt>
                <c:pt idx="53">
                  <c:v>54.3</c:v>
                </c:pt>
                <c:pt idx="54">
                  <c:v>47.9</c:v>
                </c:pt>
                <c:pt idx="55">
                  <c:v>37.1</c:v>
                </c:pt>
              </c:numCache>
            </c:numRef>
          </c:xVal>
          <c:yVal>
            <c:numRef>
              <c:f>Gráfico!$E$4:$E$59</c:f>
              <c:numCache>
                <c:formatCode>General</c:formatCode>
                <c:ptCount val="56"/>
                <c:pt idx="0">
                  <c:v>1.7543859649122806E-2</c:v>
                </c:pt>
                <c:pt idx="1">
                  <c:v>3.5087719298245612E-2</c:v>
                </c:pt>
                <c:pt idx="2">
                  <c:v>5.2631578947368418E-2</c:v>
                </c:pt>
                <c:pt idx="3">
                  <c:v>7.0175438596491224E-2</c:v>
                </c:pt>
                <c:pt idx="4">
                  <c:v>8.771929824561403E-2</c:v>
                </c:pt>
                <c:pt idx="5">
                  <c:v>0.10526315789473684</c:v>
                </c:pt>
                <c:pt idx="6">
                  <c:v>0.12280701754385964</c:v>
                </c:pt>
                <c:pt idx="7">
                  <c:v>0.14035087719298245</c:v>
                </c:pt>
                <c:pt idx="8">
                  <c:v>0.15789473684210525</c:v>
                </c:pt>
                <c:pt idx="9">
                  <c:v>0.17543859649122806</c:v>
                </c:pt>
                <c:pt idx="10">
                  <c:v>0.19298245614035087</c:v>
                </c:pt>
                <c:pt idx="11">
                  <c:v>0.21052631578947367</c:v>
                </c:pt>
                <c:pt idx="12">
                  <c:v>0.22807017543859648</c:v>
                </c:pt>
                <c:pt idx="13">
                  <c:v>0.24561403508771928</c:v>
                </c:pt>
                <c:pt idx="14">
                  <c:v>0.26315789473684209</c:v>
                </c:pt>
                <c:pt idx="15">
                  <c:v>0.2807017543859649</c:v>
                </c:pt>
                <c:pt idx="16">
                  <c:v>0.2982456140350877</c:v>
                </c:pt>
                <c:pt idx="17">
                  <c:v>0.31578947368421051</c:v>
                </c:pt>
                <c:pt idx="18">
                  <c:v>0.33333333333333331</c:v>
                </c:pt>
                <c:pt idx="19">
                  <c:v>0.35087719298245612</c:v>
                </c:pt>
                <c:pt idx="20">
                  <c:v>0.36842105263157893</c:v>
                </c:pt>
                <c:pt idx="21">
                  <c:v>0.38596491228070173</c:v>
                </c:pt>
                <c:pt idx="22">
                  <c:v>0.40350877192982454</c:v>
                </c:pt>
                <c:pt idx="23">
                  <c:v>0.42105263157894735</c:v>
                </c:pt>
                <c:pt idx="24">
                  <c:v>0.43859649122807015</c:v>
                </c:pt>
                <c:pt idx="25">
                  <c:v>0.45614035087719296</c:v>
                </c:pt>
                <c:pt idx="26">
                  <c:v>0.47368421052631576</c:v>
                </c:pt>
                <c:pt idx="27">
                  <c:v>0.49122807017543857</c:v>
                </c:pt>
                <c:pt idx="28">
                  <c:v>0.50877192982456143</c:v>
                </c:pt>
                <c:pt idx="29">
                  <c:v>0.52631578947368418</c:v>
                </c:pt>
                <c:pt idx="30">
                  <c:v>0.54385964912280704</c:v>
                </c:pt>
                <c:pt idx="31">
                  <c:v>0.56140350877192979</c:v>
                </c:pt>
                <c:pt idx="32">
                  <c:v>0.57894736842105265</c:v>
                </c:pt>
                <c:pt idx="33">
                  <c:v>0.59649122807017541</c:v>
                </c:pt>
                <c:pt idx="34">
                  <c:v>0.61403508771929827</c:v>
                </c:pt>
                <c:pt idx="35">
                  <c:v>0.63157894736842102</c:v>
                </c:pt>
                <c:pt idx="36">
                  <c:v>0.64912280701754388</c:v>
                </c:pt>
                <c:pt idx="37">
                  <c:v>0.66666666666666663</c:v>
                </c:pt>
                <c:pt idx="38">
                  <c:v>0.68421052631578949</c:v>
                </c:pt>
                <c:pt idx="39">
                  <c:v>0.70175438596491224</c:v>
                </c:pt>
                <c:pt idx="40">
                  <c:v>0.7192982456140351</c:v>
                </c:pt>
                <c:pt idx="41">
                  <c:v>0.73684210526315785</c:v>
                </c:pt>
                <c:pt idx="42">
                  <c:v>0.75438596491228072</c:v>
                </c:pt>
                <c:pt idx="43">
                  <c:v>0.77192982456140347</c:v>
                </c:pt>
                <c:pt idx="44">
                  <c:v>0.78947368421052633</c:v>
                </c:pt>
                <c:pt idx="45">
                  <c:v>0.80701754385964908</c:v>
                </c:pt>
                <c:pt idx="46">
                  <c:v>0.82456140350877194</c:v>
                </c:pt>
                <c:pt idx="47">
                  <c:v>0.84210526315789469</c:v>
                </c:pt>
                <c:pt idx="48">
                  <c:v>0.85964912280701755</c:v>
                </c:pt>
                <c:pt idx="49">
                  <c:v>0.8771929824561403</c:v>
                </c:pt>
                <c:pt idx="50">
                  <c:v>0.89473684210526316</c:v>
                </c:pt>
                <c:pt idx="51">
                  <c:v>0.91228070175438591</c:v>
                </c:pt>
                <c:pt idx="52">
                  <c:v>0.92982456140350878</c:v>
                </c:pt>
                <c:pt idx="53">
                  <c:v>0.94736842105263153</c:v>
                </c:pt>
                <c:pt idx="54">
                  <c:v>0.96491228070175439</c:v>
                </c:pt>
                <c:pt idx="55">
                  <c:v>0.98245614035087714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3-4C76-9CF8-71D979116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415296"/>
        <c:axId val="357410304"/>
      </c:scatterChart>
      <c:valAx>
        <c:axId val="35741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>
                    <a:solidFill>
                      <a:sysClr val="windowText" lastClr="000000"/>
                    </a:solidFill>
                  </a:rPr>
                  <a:t>Chuva</a:t>
                </a:r>
                <a:r>
                  <a:rPr lang="pt-BR" sz="1600" b="1" baseline="0">
                    <a:solidFill>
                      <a:sysClr val="windowText" lastClr="000000"/>
                    </a:solidFill>
                  </a:rPr>
                  <a:t> total no mês de outubro em Florianópolis</a:t>
                </a:r>
                <a:endParaRPr lang="pt-BR" sz="1600" b="1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410304"/>
        <c:crosses val="autoZero"/>
        <c:crossBetween val="midCat"/>
      </c:valAx>
      <c:valAx>
        <c:axId val="357410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 b="1">
                    <a:solidFill>
                      <a:sysClr val="windowText" lastClr="000000"/>
                    </a:solidFill>
                  </a:rPr>
                  <a:t>Probabilidade de excedência</a:t>
                </a:r>
              </a:p>
            </c:rich>
          </c:tx>
          <c:layout>
            <c:manualLayout>
              <c:xMode val="edge"/>
              <c:yMode val="edge"/>
              <c:x val="6.9839360671795254E-3"/>
              <c:y val="0.259355776145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415296"/>
        <c:crosses val="autoZero"/>
        <c:crossBetween val="midCat"/>
      </c:valAx>
      <c:spPr>
        <a:solidFill>
          <a:schemeClr val="bg1"/>
        </a:solidFill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>
                <a:solidFill>
                  <a:sysClr val="windowText" lastClr="000000"/>
                </a:solidFill>
              </a:rPr>
              <a:t>Distribuição</a:t>
            </a:r>
            <a:r>
              <a:rPr lang="pt-BR" sz="1600" baseline="0">
                <a:solidFill>
                  <a:sysClr val="windowText" lastClr="000000"/>
                </a:solidFill>
              </a:rPr>
              <a:t> das frequências de chuvas </a:t>
            </a:r>
            <a:endParaRPr lang="pt-BR"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10603354945929"/>
          <c:y val="3.47222222222222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320413715408864E-2"/>
          <c:y val="0.16350694444444447"/>
          <c:w val="0.88235589272802084"/>
          <c:h val="0.70733240376202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Gráficos!$F$1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Gráficos!$E$2:$E$10</c:f>
              <c:strCache>
                <c:ptCount val="9"/>
                <c:pt idx="0">
                  <c:v>&lt; 40</c:v>
                </c:pt>
                <c:pt idx="1">
                  <c:v>40-80</c:v>
                </c:pt>
                <c:pt idx="2">
                  <c:v>80-120</c:v>
                </c:pt>
                <c:pt idx="3">
                  <c:v>120-160</c:v>
                </c:pt>
                <c:pt idx="4">
                  <c:v>160-200</c:v>
                </c:pt>
                <c:pt idx="5">
                  <c:v>200-240</c:v>
                </c:pt>
                <c:pt idx="6">
                  <c:v>240-280</c:v>
                </c:pt>
                <c:pt idx="7">
                  <c:v>280-320</c:v>
                </c:pt>
                <c:pt idx="8">
                  <c:v>&gt;320</c:v>
                </c:pt>
              </c:strCache>
            </c:strRef>
          </c:cat>
          <c:val>
            <c:numRef>
              <c:f>Gráficos!$F$2:$F$10</c:f>
              <c:numCache>
                <c:formatCode>General</c:formatCode>
                <c:ptCount val="9"/>
                <c:pt idx="0">
                  <c:v>1</c:v>
                </c:pt>
                <c:pt idx="1">
                  <c:v>9</c:v>
                </c:pt>
                <c:pt idx="2">
                  <c:v>15</c:v>
                </c:pt>
                <c:pt idx="3">
                  <c:v>15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3-4643-A1AA-7FB809F8B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51626735"/>
        <c:axId val="1151624655"/>
      </c:barChart>
      <c:catAx>
        <c:axId val="115162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ysClr val="windowText" lastClr="000000"/>
                    </a:solidFill>
                  </a:rPr>
                  <a:t>Classes de chuva</a:t>
                </a:r>
              </a:p>
            </c:rich>
          </c:tx>
          <c:layout>
            <c:manualLayout>
              <c:xMode val="edge"/>
              <c:yMode val="edge"/>
              <c:x val="0.43511323641622424"/>
              <c:y val="0.92913194444444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624655"/>
        <c:crosses val="autoZero"/>
        <c:auto val="1"/>
        <c:lblAlgn val="ctr"/>
        <c:lblOffset val="100"/>
        <c:noMultiLvlLbl val="0"/>
      </c:catAx>
      <c:valAx>
        <c:axId val="11516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ysClr val="windowText" lastClr="000000"/>
                    </a:solidFill>
                  </a:rPr>
                  <a:t>Nº de ocorrências</a:t>
                </a:r>
              </a:p>
            </c:rich>
          </c:tx>
          <c:layout>
            <c:manualLayout>
              <c:xMode val="edge"/>
              <c:yMode val="edge"/>
              <c:x val="5.6721676913673458E-3"/>
              <c:y val="0.33898731408573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626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600">
                <a:solidFill>
                  <a:sysClr val="windowText" lastClr="000000"/>
                </a:solidFill>
              </a:rPr>
              <a:t>Distribuição</a:t>
            </a:r>
            <a:r>
              <a:rPr lang="pt-BR" sz="1600" baseline="0">
                <a:solidFill>
                  <a:sysClr val="windowText" lastClr="000000"/>
                </a:solidFill>
              </a:rPr>
              <a:t> das frequências de chuvas de outrubro </a:t>
            </a:r>
            <a:endParaRPr lang="pt-BR" sz="16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408925482488204"/>
          <c:y val="1.7361111111111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320413715408864E-2"/>
          <c:y val="0.16350694444444447"/>
          <c:w val="0.88235589272802084"/>
          <c:h val="0.70733240376202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Gráficos!$F$1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Gráficos!$E$2:$E$10</c:f>
              <c:strCache>
                <c:ptCount val="9"/>
                <c:pt idx="0">
                  <c:v>&lt; 40</c:v>
                </c:pt>
                <c:pt idx="1">
                  <c:v>40-80</c:v>
                </c:pt>
                <c:pt idx="2">
                  <c:v>80-120</c:v>
                </c:pt>
                <c:pt idx="3">
                  <c:v>120-160</c:v>
                </c:pt>
                <c:pt idx="4">
                  <c:v>160-200</c:v>
                </c:pt>
                <c:pt idx="5">
                  <c:v>200-240</c:v>
                </c:pt>
                <c:pt idx="6">
                  <c:v>240-280</c:v>
                </c:pt>
                <c:pt idx="7">
                  <c:v>280-320</c:v>
                </c:pt>
                <c:pt idx="8">
                  <c:v>&gt;320</c:v>
                </c:pt>
              </c:strCache>
            </c:strRef>
          </c:cat>
          <c:val>
            <c:numRef>
              <c:f>Gráficos!$F$2:$F$10</c:f>
              <c:numCache>
                <c:formatCode>General</c:formatCode>
                <c:ptCount val="9"/>
                <c:pt idx="0">
                  <c:v>1</c:v>
                </c:pt>
                <c:pt idx="1">
                  <c:v>9</c:v>
                </c:pt>
                <c:pt idx="2">
                  <c:v>15</c:v>
                </c:pt>
                <c:pt idx="3">
                  <c:v>15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7-4AB9-A27A-647C4C741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51626735"/>
        <c:axId val="1151624655"/>
      </c:barChart>
      <c:catAx>
        <c:axId val="1151626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ysClr val="windowText" lastClr="000000"/>
                    </a:solidFill>
                  </a:rPr>
                  <a:t>Classes de chuva</a:t>
                </a:r>
              </a:p>
            </c:rich>
          </c:tx>
          <c:layout>
            <c:manualLayout>
              <c:xMode val="edge"/>
              <c:yMode val="edge"/>
              <c:x val="0.4026424094248493"/>
              <c:y val="0.92913194444444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624655"/>
        <c:crosses val="autoZero"/>
        <c:auto val="1"/>
        <c:lblAlgn val="ctr"/>
        <c:lblOffset val="100"/>
        <c:noMultiLvlLbl val="0"/>
      </c:catAx>
      <c:valAx>
        <c:axId val="11516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ysClr val="windowText" lastClr="000000"/>
                    </a:solidFill>
                  </a:rPr>
                  <a:t>Nº de ocorrências</a:t>
                </a:r>
              </a:p>
            </c:rich>
          </c:tx>
          <c:layout>
            <c:manualLayout>
              <c:xMode val="edge"/>
              <c:yMode val="edge"/>
              <c:x val="5.6721676913673458E-3"/>
              <c:y val="0.33898731408573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626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Distribuição das</a:t>
            </a:r>
            <a:r>
              <a:rPr lang="en-US" b="1" baseline="0">
                <a:solidFill>
                  <a:sysClr val="windowText" lastClr="000000"/>
                </a:solidFill>
              </a:rPr>
              <a:t> frequências de máximos mensais 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'Série Anual de Máximas Mensais'!$M$1</c:f>
              <c:strCache>
                <c:ptCount val="1"/>
                <c:pt idx="0">
                  <c:v>Frequência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'Série Anual de Máximas Mensais'!$K$2:$K$11</c:f>
              <c:strCache>
                <c:ptCount val="10"/>
                <c:pt idx="0">
                  <c:v>&lt; 200</c:v>
                </c:pt>
                <c:pt idx="1">
                  <c:v>200-250</c:v>
                </c:pt>
                <c:pt idx="2">
                  <c:v>250-300</c:v>
                </c:pt>
                <c:pt idx="3">
                  <c:v>300-350</c:v>
                </c:pt>
                <c:pt idx="4">
                  <c:v>350-400</c:v>
                </c:pt>
                <c:pt idx="5">
                  <c:v>400-450</c:v>
                </c:pt>
                <c:pt idx="6">
                  <c:v>450-500</c:v>
                </c:pt>
                <c:pt idx="7">
                  <c:v>500-550</c:v>
                </c:pt>
                <c:pt idx="8">
                  <c:v>550-600</c:v>
                </c:pt>
                <c:pt idx="9">
                  <c:v>&gt;600</c:v>
                </c:pt>
              </c:strCache>
            </c:strRef>
          </c:cat>
          <c:val>
            <c:numRef>
              <c:f>'Série Anual de Máximas Mensais'!$M$2:$M$11</c:f>
              <c:numCache>
                <c:formatCode>General</c:formatCode>
                <c:ptCount val="10"/>
                <c:pt idx="0">
                  <c:v>2</c:v>
                </c:pt>
                <c:pt idx="1">
                  <c:v>14</c:v>
                </c:pt>
                <c:pt idx="2">
                  <c:v>17</c:v>
                </c:pt>
                <c:pt idx="3">
                  <c:v>9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5-453C-BCE4-F65CE86B6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13970576"/>
        <c:axId val="2072830048"/>
      </c:barChart>
      <c:catAx>
        <c:axId val="191397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50" b="1">
                    <a:solidFill>
                      <a:sysClr val="windowText" lastClr="000000"/>
                    </a:solidFill>
                  </a:rPr>
                  <a:t>Classes de chuva (mm)</a:t>
                </a:r>
              </a:p>
            </c:rich>
          </c:tx>
          <c:layout>
            <c:manualLayout>
              <c:xMode val="edge"/>
              <c:yMode val="edge"/>
              <c:x val="0.43424391505910725"/>
              <c:y val="0.930207136875379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2830048"/>
        <c:crosses val="autoZero"/>
        <c:auto val="1"/>
        <c:lblAlgn val="ctr"/>
        <c:lblOffset val="100"/>
        <c:noMultiLvlLbl val="0"/>
      </c:catAx>
      <c:valAx>
        <c:axId val="20728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>
                    <a:solidFill>
                      <a:sysClr val="windowText" lastClr="000000"/>
                    </a:solidFill>
                  </a:rPr>
                  <a:t>Nº de Observações</a:t>
                </a:r>
              </a:p>
            </c:rich>
          </c:tx>
          <c:layout>
            <c:manualLayout>
              <c:xMode val="edge"/>
              <c:yMode val="edge"/>
              <c:x val="1.483836777954425E-2"/>
              <c:y val="0.34337934168894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397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Máxima Anual das Chuvas Mensais em Florianópolis</a:t>
            </a:r>
          </a:p>
        </c:rich>
      </c:tx>
      <c:layout>
        <c:manualLayout>
          <c:xMode val="edge"/>
          <c:yMode val="edge"/>
          <c:x val="0.2464120934471436"/>
          <c:y val="3.7454068241469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Tendência!$B$1</c:f>
              <c:strCache>
                <c:ptCount val="1"/>
                <c:pt idx="0">
                  <c:v>Máxima mensal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Tendência!$A$2:$A$59</c:f>
              <c:numCache>
                <c:formatCode>General</c:formatCode>
                <c:ptCount val="58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  <c:pt idx="29">
                  <c:v>1990</c:v>
                </c:pt>
                <c:pt idx="30">
                  <c:v>1991</c:v>
                </c:pt>
                <c:pt idx="31">
                  <c:v>1992</c:v>
                </c:pt>
                <c:pt idx="32">
                  <c:v>1993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2016</c:v>
                </c:pt>
                <c:pt idx="56">
                  <c:v>2017</c:v>
                </c:pt>
                <c:pt idx="57">
                  <c:v>2018</c:v>
                </c:pt>
              </c:numCache>
            </c:numRef>
          </c:xVal>
          <c:yVal>
            <c:numRef>
              <c:f>Tendência!$B$2:$B$59</c:f>
              <c:numCache>
                <c:formatCode>0.0</c:formatCode>
                <c:ptCount val="58"/>
                <c:pt idx="0">
                  <c:v>300.8</c:v>
                </c:pt>
                <c:pt idx="1">
                  <c:v>242.59999999999997</c:v>
                </c:pt>
                <c:pt idx="2">
                  <c:v>339.09999999999997</c:v>
                </c:pt>
                <c:pt idx="3">
                  <c:v>173.7</c:v>
                </c:pt>
                <c:pt idx="4">
                  <c:v>244.30000000000004</c:v>
                </c:pt>
                <c:pt idx="5">
                  <c:v>314.00000000000006</c:v>
                </c:pt>
                <c:pt idx="6">
                  <c:v>207.60000000000002</c:v>
                </c:pt>
                <c:pt idx="7">
                  <c:v>154.29999999999998</c:v>
                </c:pt>
                <c:pt idx="8">
                  <c:v>219.2</c:v>
                </c:pt>
                <c:pt idx="9">
                  <c:v>244.8</c:v>
                </c:pt>
                <c:pt idx="10">
                  <c:v>448.59999999999997</c:v>
                </c:pt>
                <c:pt idx="11">
                  <c:v>296.3</c:v>
                </c:pt>
                <c:pt idx="12">
                  <c:v>288.2</c:v>
                </c:pt>
                <c:pt idx="13">
                  <c:v>269.00000000000006</c:v>
                </c:pt>
                <c:pt idx="14">
                  <c:v>202.90000000000003</c:v>
                </c:pt>
                <c:pt idx="15">
                  <c:v>345.1</c:v>
                </c:pt>
                <c:pt idx="16">
                  <c:v>290.20000000000005</c:v>
                </c:pt>
                <c:pt idx="17">
                  <c:v>483.79999999999995</c:v>
                </c:pt>
                <c:pt idx="18">
                  <c:v>291</c:v>
                </c:pt>
                <c:pt idx="19">
                  <c:v>278.39999999999998</c:v>
                </c:pt>
                <c:pt idx="20">
                  <c:v>293</c:v>
                </c:pt>
                <c:pt idx="21">
                  <c:v>441.3</c:v>
                </c:pt>
                <c:pt idx="22">
                  <c:v>549.09999999999991</c:v>
                </c:pt>
                <c:pt idx="23">
                  <c:v>269.50000000000006</c:v>
                </c:pt>
                <c:pt idx="24">
                  <c:v>416.3</c:v>
                </c:pt>
                <c:pt idx="25">
                  <c:v>246</c:v>
                </c:pt>
                <c:pt idx="26">
                  <c:v>519</c:v>
                </c:pt>
                <c:pt idx="27">
                  <c:v>219.1</c:v>
                </c:pt>
                <c:pt idx="28">
                  <c:v>387</c:v>
                </c:pt>
                <c:pt idx="29">
                  <c:v>283.59999999999997</c:v>
                </c:pt>
                <c:pt idx="30">
                  <c:v>583.29999999999995</c:v>
                </c:pt>
                <c:pt idx="31">
                  <c:v>256.5</c:v>
                </c:pt>
                <c:pt idx="32">
                  <c:v>245.89999999999998</c:v>
                </c:pt>
                <c:pt idx="33">
                  <c:v>440.6</c:v>
                </c:pt>
                <c:pt idx="34">
                  <c:v>563.19999999999993</c:v>
                </c:pt>
                <c:pt idx="35">
                  <c:v>244.2</c:v>
                </c:pt>
                <c:pt idx="36">
                  <c:v>642.9</c:v>
                </c:pt>
                <c:pt idx="37">
                  <c:v>306.59999999999997</c:v>
                </c:pt>
                <c:pt idx="38">
                  <c:v>260.89999999999998</c:v>
                </c:pt>
                <c:pt idx="39">
                  <c:v>252.69999999999993</c:v>
                </c:pt>
                <c:pt idx="40">
                  <c:v>539.29999999999995</c:v>
                </c:pt>
                <c:pt idx="41">
                  <c:v>221.5</c:v>
                </c:pt>
                <c:pt idx="42">
                  <c:v>268.89999999999998</c:v>
                </c:pt>
                <c:pt idx="43">
                  <c:v>374.50000000000006</c:v>
                </c:pt>
                <c:pt idx="44">
                  <c:v>262.90000000000003</c:v>
                </c:pt>
                <c:pt idx="45">
                  <c:v>240.40000000000003</c:v>
                </c:pt>
                <c:pt idx="46">
                  <c:v>215</c:v>
                </c:pt>
                <c:pt idx="47">
                  <c:v>615.1</c:v>
                </c:pt>
                <c:pt idx="48">
                  <c:v>314.2</c:v>
                </c:pt>
                <c:pt idx="49">
                  <c:v>443</c:v>
                </c:pt>
                <c:pt idx="50">
                  <c:v>345.6</c:v>
                </c:pt>
                <c:pt idx="51">
                  <c:v>271.5</c:v>
                </c:pt>
                <c:pt idx="52">
                  <c:v>324.90000000000003</c:v>
                </c:pt>
                <c:pt idx="53">
                  <c:v>240.5</c:v>
                </c:pt>
                <c:pt idx="54">
                  <c:v>308.79999999999995</c:v>
                </c:pt>
                <c:pt idx="55">
                  <c:v>285.49999999999994</c:v>
                </c:pt>
                <c:pt idx="56">
                  <c:v>296.79999999999995</c:v>
                </c:pt>
                <c:pt idx="57">
                  <c:v>373.99999999999994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A-4C21-8D8F-5F6092A7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149104"/>
        <c:axId val="2074138288"/>
      </c:scatterChart>
      <c:valAx>
        <c:axId val="2074149104"/>
        <c:scaling>
          <c:orientation val="minMax"/>
          <c:min val="196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138288"/>
        <c:crosses val="autoZero"/>
        <c:crossBetween val="midCat"/>
      </c:valAx>
      <c:valAx>
        <c:axId val="207413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</a:rPr>
                  <a:t>Máxima Mensal (mm) </a:t>
                </a:r>
              </a:p>
            </c:rich>
          </c:tx>
          <c:layout>
            <c:manualLayout>
              <c:xMode val="edge"/>
              <c:yMode val="edge"/>
              <c:x val="1.0085728693898134E-2"/>
              <c:y val="0.27396603570249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414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2</xdr:row>
      <xdr:rowOff>0</xdr:rowOff>
    </xdr:from>
    <xdr:ext cx="3411575" cy="3538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/>
            <xdr:cNvSpPr txBox="1"/>
          </xdr:nvSpPr>
          <xdr:spPr>
            <a:xfrm>
              <a:off x="6743700" y="904875"/>
              <a:ext cx="3411575" cy="35381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𝑿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𝑶𝒓𝒅𝒆𝒎</m:t>
                        </m:r>
                      </m:num>
                      <m:den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𝒏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2" name="CaixaDeTexto 1"/>
            <xdr:cNvSpPr txBox="1"/>
          </xdr:nvSpPr>
          <xdr:spPr>
            <a:xfrm>
              <a:off x="6743700" y="904875"/>
              <a:ext cx="3411575" cy="353815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2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&gt;𝑿=𝑶𝒓𝒅𝒆𝒎/(𝒏+𝟏)</a:t>
              </a:r>
              <a:endParaRPr lang="pt-BR" sz="1200" b="1"/>
            </a:p>
          </xdr:txBody>
        </xdr:sp>
      </mc:Fallback>
    </mc:AlternateContent>
    <xdr:clientData/>
  </xdr:oneCellAnchor>
  <xdr:oneCellAnchor>
    <xdr:from>
      <xdr:col>9</xdr:col>
      <xdr:colOff>0</xdr:colOff>
      <xdr:row>13</xdr:row>
      <xdr:rowOff>0</xdr:rowOff>
    </xdr:from>
    <xdr:ext cx="5567678" cy="349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/>
            <xdr:cNvSpPr txBox="1"/>
          </xdr:nvSpPr>
          <xdr:spPr>
            <a:xfrm>
              <a:off x="6734175" y="3038475"/>
              <a:ext cx="5567678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𝟑𝟔𝟎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𝟗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𝟓𝟔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𝟎𝟏𝟕𝟓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𝟎𝟐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6734175" y="3038475"/>
              <a:ext cx="5567678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2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 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&gt;𝟑𝟔𝟎,𝟗=𝟏/(𝟓𝟔+𝟏)≈𝟎,𝟎𝟏𝟕𝟓≈𝟎,𝟎𝟐</a:t>
              </a:r>
              <a:endParaRPr lang="pt-BR" sz="1200" b="1"/>
            </a:p>
          </xdr:txBody>
        </xdr:sp>
      </mc:Fallback>
    </mc:AlternateContent>
    <xdr:clientData/>
  </xdr:oneCellAnchor>
  <xdr:oneCellAnchor>
    <xdr:from>
      <xdr:col>9</xdr:col>
      <xdr:colOff>0</xdr:colOff>
      <xdr:row>20</xdr:row>
      <xdr:rowOff>0</xdr:rowOff>
    </xdr:from>
    <xdr:ext cx="5567678" cy="349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/>
            <xdr:cNvSpPr txBox="1"/>
          </xdr:nvSpPr>
          <xdr:spPr>
            <a:xfrm>
              <a:off x="6734175" y="4391025"/>
              <a:ext cx="5567678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𝟏𝟓𝟒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𝟏𝟕</m:t>
                        </m:r>
                      </m:num>
                      <m:den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𝟓𝟔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den>
                    </m:f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𝟐𝟗𝟖𝟐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𝟑𝟎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4" name="CaixaDeTexto 3"/>
            <xdr:cNvSpPr txBox="1"/>
          </xdr:nvSpPr>
          <xdr:spPr>
            <a:xfrm>
              <a:off x="6734175" y="4391025"/>
              <a:ext cx="5567678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2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 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&gt;𝟏𝟓𝟒,𝟎=𝟏𝟕/(𝟓𝟔+𝟏)≈𝟎,𝟐𝟗𝟖𝟐≈𝟎,𝟑𝟎</a:t>
              </a:r>
              <a:endParaRPr lang="pt-BR" sz="1200" b="1"/>
            </a:p>
          </xdr:txBody>
        </xdr:sp>
      </mc:Fallback>
    </mc:AlternateContent>
    <xdr:clientData/>
  </xdr:oneCellAnchor>
  <xdr:oneCellAnchor>
    <xdr:from>
      <xdr:col>8</xdr:col>
      <xdr:colOff>600074</xdr:colOff>
      <xdr:row>32</xdr:row>
      <xdr:rowOff>171450</xdr:rowOff>
    </xdr:from>
    <xdr:ext cx="2133601" cy="392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/>
            <xdr:cNvSpPr txBox="1"/>
          </xdr:nvSpPr>
          <xdr:spPr>
            <a:xfrm>
              <a:off x="6724649" y="6467475"/>
              <a:ext cx="2133601" cy="392672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800"/>
                <a:t>Tr</a:t>
              </a:r>
              <a:r>
                <a:rPr lang="pt-BR" sz="1800" baseline="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pt-BR" sz="180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800" b="0" i="1" baseline="0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pt-BR" sz="1800" b="0" i="1" baseline="0">
                          <a:latin typeface="Cambria Math" panose="02040503050406030204" pitchFamily="18" charset="0"/>
                        </a:rPr>
                        <m:t>𝑃𝑟𝑜𝑏𝑎𝑏𝑖𝑙𝑖𝑑𝑎𝑑𝑒</m:t>
                      </m:r>
                    </m:den>
                  </m:f>
                </m:oMath>
              </a14:m>
              <a:endParaRPr lang="pt-BR" sz="1800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>
              <a:off x="6724649" y="6467475"/>
              <a:ext cx="2133601" cy="392672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800"/>
                <a:t>Tr</a:t>
              </a:r>
              <a:r>
                <a:rPr lang="pt-BR" sz="1800" baseline="0"/>
                <a:t> = </a:t>
              </a:r>
              <a:r>
                <a:rPr lang="pt-BR" sz="1800" b="0" i="0" baseline="0">
                  <a:latin typeface="Cambria Math" panose="02040503050406030204" pitchFamily="18" charset="0"/>
                </a:rPr>
                <a:t>1/𝑃𝑟𝑜𝑏𝑎𝑏𝑖𝑙𝑖𝑑𝑎𝑑𝑒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13</xdr:col>
      <xdr:colOff>323850</xdr:colOff>
      <xdr:row>33</xdr:row>
      <xdr:rowOff>66675</xdr:rowOff>
    </xdr:from>
    <xdr:ext cx="187642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/>
            <xdr:cNvSpPr txBox="1"/>
          </xdr:nvSpPr>
          <xdr:spPr>
            <a:xfrm>
              <a:off x="9496425" y="6553200"/>
              <a:ext cx="1876425" cy="187872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t-BR" sz="1200" b="0" i="1" baseline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𝑃𝑟𝑜𝑏𝑎𝑏𝑖𝑙𝑖𝑑𝑎𝑑𝑒</m:t>
                  </m:r>
                </m:oMath>
              </a14:m>
              <a:r>
                <a:rPr lang="pt-BR" sz="1200"/>
                <a:t> </a:t>
              </a:r>
              <a:r>
                <a:rPr lang="pt-BR" sz="12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em decimal</a:t>
              </a:r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>
              <a:off x="9496425" y="6553200"/>
              <a:ext cx="1876425" cy="187872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𝑃𝑟𝑜𝑏𝑎𝑏𝑖𝑙𝑖𝑑𝑎𝑑𝑒</a:t>
              </a:r>
              <a:r>
                <a:rPr lang="pt-BR" sz="1200"/>
                <a:t> </a:t>
              </a:r>
              <a:r>
                <a:rPr lang="pt-BR" sz="1200" b="0" i="1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em decimal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39</xdr:row>
      <xdr:rowOff>0</xdr:rowOff>
    </xdr:from>
    <xdr:ext cx="3710696" cy="281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/>
            <xdr:cNvSpPr txBox="1"/>
          </xdr:nvSpPr>
          <xdr:spPr>
            <a:xfrm>
              <a:off x="6734175" y="7724775"/>
              <a:ext cx="3710696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t-BR" sz="1200" b="1" i="1">
                      <a:latin typeface="Cambria Math" panose="02040503050406030204" pitchFamily="18" charset="0"/>
                    </a:rPr>
                    <m:t>𝑻𝒓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 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𝒑𝒓𝒆𝒄𝒊𝒑𝒊𝒕𝒂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çã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𝒐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 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𝒐𝒖𝒕𝒖𝒃𝒓𝒐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 &gt;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𝟑𝟔𝟎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𝟗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𝟎</m:t>
                      </m:r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𝟎𝟏𝟕𝟓</m:t>
                      </m:r>
                    </m:den>
                  </m:f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200" b="1"/>
                <a:t> 57 anos</a:t>
              </a:r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6734175" y="7724775"/>
              <a:ext cx="3710696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200" b="1" i="0">
                  <a:latin typeface="Cambria Math" panose="02040503050406030204" pitchFamily="18" charset="0"/>
                </a:rPr>
                <a:t>𝑻𝒓 𝒑𝒓𝒆𝒄𝒊𝒑𝒊𝒕𝒂çã𝒐 𝒐𝒖𝒕𝒖𝒃𝒓𝒐 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&gt;𝟑𝟔𝟎,𝟗=𝟏/(𝟎,𝟎𝟏𝟕𝟓)=</a:t>
              </a:r>
              <a:r>
                <a:rPr lang="pt-BR" sz="1200" b="1"/>
                <a:t> 57 anos</a:t>
              </a:r>
            </a:p>
          </xdr:txBody>
        </xdr:sp>
      </mc:Fallback>
    </mc:AlternateContent>
    <xdr:clientData/>
  </xdr:oneCellAnchor>
  <xdr:oneCellAnchor>
    <xdr:from>
      <xdr:col>9</xdr:col>
      <xdr:colOff>0</xdr:colOff>
      <xdr:row>45</xdr:row>
      <xdr:rowOff>0</xdr:rowOff>
    </xdr:from>
    <xdr:ext cx="3748655" cy="281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/>
            <xdr:cNvSpPr txBox="1"/>
          </xdr:nvSpPr>
          <xdr:spPr>
            <a:xfrm>
              <a:off x="6734175" y="9105900"/>
              <a:ext cx="3748655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t-BR" sz="1200" b="1" i="1">
                      <a:latin typeface="Cambria Math" panose="02040503050406030204" pitchFamily="18" charset="0"/>
                    </a:rPr>
                    <m:t>𝑻𝒓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 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𝒑𝒓𝒆𝒄𝒊𝒑𝒊𝒕𝒂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çã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𝒐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 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𝒐𝒖𝒕𝒖𝒃𝒓𝒐</m:t>
                  </m:r>
                  <m:r>
                    <a:rPr lang="pt-BR" sz="1200" b="1" i="1">
                      <a:latin typeface="Cambria Math" panose="02040503050406030204" pitchFamily="18" charset="0"/>
                    </a:rPr>
                    <m:t> &gt;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𝟏𝟓𝟒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,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𝟎</m:t>
                  </m:r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𝟎</m:t>
                      </m:r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,</m:t>
                      </m:r>
                      <m:r>
                        <a:rPr lang="pt-BR" sz="1200" b="1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𝟐𝟗𝟖𝟐</m:t>
                      </m:r>
                    </m:den>
                  </m:f>
                  <m:r>
                    <a:rPr lang="pt-BR" sz="1200" b="1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≈</m:t>
                  </m:r>
                </m:oMath>
              </a14:m>
              <a:r>
                <a:rPr lang="pt-BR" sz="1200" b="1"/>
                <a:t> 3,4 anos</a:t>
              </a:r>
            </a:p>
          </xdr:txBody>
        </xdr:sp>
      </mc:Choice>
      <mc:Fallback xmlns="">
        <xdr:sp macro="" textlink="">
          <xdr:nvSpPr>
            <xdr:cNvPr id="11" name="CaixaDeTexto 10"/>
            <xdr:cNvSpPr txBox="1"/>
          </xdr:nvSpPr>
          <xdr:spPr>
            <a:xfrm>
              <a:off x="6734175" y="9105900"/>
              <a:ext cx="3748655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200" b="1" i="0">
                  <a:latin typeface="Cambria Math" panose="02040503050406030204" pitchFamily="18" charset="0"/>
                </a:rPr>
                <a:t>𝑻𝒓 𝒑𝒓𝒆𝒄𝒊𝒑𝒊𝒕𝒂çã𝒐 𝒐𝒖𝒕𝒖𝒃𝒓𝒐 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&gt;𝟏𝟓𝟒,𝟎=𝟏/(𝟎,𝟐𝟗𝟖𝟐)≈</a:t>
              </a:r>
              <a:r>
                <a:rPr lang="pt-BR" sz="1200" b="1"/>
                <a:t> 3,4 anos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337457</xdr:colOff>
      <xdr:row>2</xdr:row>
      <xdr:rowOff>293914</xdr:rowOff>
    </xdr:from>
    <xdr:to>
      <xdr:col>23</xdr:col>
      <xdr:colOff>244929</xdr:colOff>
      <xdr:row>28</xdr:row>
      <xdr:rowOff>176893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11206</xdr:colOff>
      <xdr:row>53</xdr:row>
      <xdr:rowOff>145676</xdr:rowOff>
    </xdr:from>
    <xdr:to>
      <xdr:col>2</xdr:col>
      <xdr:colOff>212912</xdr:colOff>
      <xdr:row>55</xdr:row>
      <xdr:rowOff>156882</xdr:rowOff>
    </xdr:to>
    <xdr:sp macro="" textlink="">
      <xdr:nvSpPr>
        <xdr:cNvPr id="13" name="Forma Livre 12"/>
        <xdr:cNvSpPr/>
      </xdr:nvSpPr>
      <xdr:spPr>
        <a:xfrm>
          <a:off x="616324" y="10096500"/>
          <a:ext cx="806823" cy="392206"/>
        </a:xfrm>
        <a:custGeom>
          <a:avLst/>
          <a:gdLst>
            <a:gd name="connsiteX0" fmla="*/ 806823 w 806823"/>
            <a:gd name="connsiteY0" fmla="*/ 358588 h 369794"/>
            <a:gd name="connsiteX1" fmla="*/ 11205 w 806823"/>
            <a:gd name="connsiteY1" fmla="*/ 369794 h 369794"/>
            <a:gd name="connsiteX2" fmla="*/ 0 w 806823"/>
            <a:gd name="connsiteY2" fmla="*/ 336176 h 369794"/>
            <a:gd name="connsiteX3" fmla="*/ 156882 w 806823"/>
            <a:gd name="connsiteY3" fmla="*/ 324970 h 369794"/>
            <a:gd name="connsiteX4" fmla="*/ 313764 w 806823"/>
            <a:gd name="connsiteY4" fmla="*/ 291353 h 369794"/>
            <a:gd name="connsiteX5" fmla="*/ 448235 w 806823"/>
            <a:gd name="connsiteY5" fmla="*/ 257735 h 369794"/>
            <a:gd name="connsiteX6" fmla="*/ 593911 w 806823"/>
            <a:gd name="connsiteY6" fmla="*/ 168088 h 369794"/>
            <a:gd name="connsiteX7" fmla="*/ 694764 w 806823"/>
            <a:gd name="connsiteY7" fmla="*/ 112059 h 369794"/>
            <a:gd name="connsiteX8" fmla="*/ 806823 w 806823"/>
            <a:gd name="connsiteY8" fmla="*/ 0 h 369794"/>
            <a:gd name="connsiteX9" fmla="*/ 806823 w 806823"/>
            <a:gd name="connsiteY9" fmla="*/ 358588 h 3697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806823" h="369794">
              <a:moveTo>
                <a:pt x="806823" y="358588"/>
              </a:moveTo>
              <a:lnTo>
                <a:pt x="11205" y="369794"/>
              </a:lnTo>
              <a:lnTo>
                <a:pt x="0" y="336176"/>
              </a:lnTo>
              <a:lnTo>
                <a:pt x="156882" y="324970"/>
              </a:lnTo>
              <a:lnTo>
                <a:pt x="313764" y="291353"/>
              </a:lnTo>
              <a:lnTo>
                <a:pt x="448235" y="257735"/>
              </a:lnTo>
              <a:lnTo>
                <a:pt x="593911" y="168088"/>
              </a:lnTo>
              <a:lnTo>
                <a:pt x="694764" y="112059"/>
              </a:lnTo>
              <a:lnTo>
                <a:pt x="806823" y="0"/>
              </a:lnTo>
              <a:lnTo>
                <a:pt x="806823" y="358588"/>
              </a:lnTo>
              <a:close/>
            </a:path>
          </a:pathLst>
        </a:custGeom>
        <a:pattFill prst="dkUpDiag">
          <a:fgClr>
            <a:schemeClr val="tx1"/>
          </a:fgClr>
          <a:bgClr>
            <a:schemeClr val="bg1"/>
          </a:bgClr>
        </a:patt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464343</xdr:colOff>
      <xdr:row>20</xdr:row>
      <xdr:rowOff>47624</xdr:rowOff>
    </xdr:from>
    <xdr:to>
      <xdr:col>6</xdr:col>
      <xdr:colOff>553640</xdr:colOff>
      <xdr:row>21</xdr:row>
      <xdr:rowOff>71437</xdr:rowOff>
    </xdr:to>
    <xdr:sp macro="" textlink="">
      <xdr:nvSpPr>
        <xdr:cNvPr id="22" name="Forma Livre 21"/>
        <xdr:cNvSpPr/>
      </xdr:nvSpPr>
      <xdr:spPr>
        <a:xfrm>
          <a:off x="3500437" y="3548062"/>
          <a:ext cx="696516" cy="214313"/>
        </a:xfrm>
        <a:custGeom>
          <a:avLst/>
          <a:gdLst>
            <a:gd name="connsiteX0" fmla="*/ 0 w 696516"/>
            <a:gd name="connsiteY0" fmla="*/ 214313 h 214313"/>
            <a:gd name="connsiteX1" fmla="*/ 5954 w 696516"/>
            <a:gd name="connsiteY1" fmla="*/ 0 h 214313"/>
            <a:gd name="connsiteX2" fmla="*/ 113110 w 696516"/>
            <a:gd name="connsiteY2" fmla="*/ 35719 h 214313"/>
            <a:gd name="connsiteX3" fmla="*/ 255985 w 696516"/>
            <a:gd name="connsiteY3" fmla="*/ 89297 h 214313"/>
            <a:gd name="connsiteX4" fmla="*/ 464344 w 696516"/>
            <a:gd name="connsiteY4" fmla="*/ 130969 h 214313"/>
            <a:gd name="connsiteX5" fmla="*/ 625079 w 696516"/>
            <a:gd name="connsiteY5" fmla="*/ 154782 h 214313"/>
            <a:gd name="connsiteX6" fmla="*/ 696516 w 696516"/>
            <a:gd name="connsiteY6" fmla="*/ 166688 h 214313"/>
            <a:gd name="connsiteX7" fmla="*/ 696516 w 696516"/>
            <a:gd name="connsiteY7" fmla="*/ 166688 h 214313"/>
            <a:gd name="connsiteX8" fmla="*/ 0 w 696516"/>
            <a:gd name="connsiteY8" fmla="*/ 214313 h 2143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696516" h="214313">
              <a:moveTo>
                <a:pt x="0" y="214313"/>
              </a:moveTo>
              <a:lnTo>
                <a:pt x="5954" y="0"/>
              </a:lnTo>
              <a:lnTo>
                <a:pt x="113110" y="35719"/>
              </a:lnTo>
              <a:lnTo>
                <a:pt x="255985" y="89297"/>
              </a:lnTo>
              <a:lnTo>
                <a:pt x="464344" y="130969"/>
              </a:lnTo>
              <a:lnTo>
                <a:pt x="625079" y="154782"/>
              </a:lnTo>
              <a:lnTo>
                <a:pt x="696516" y="166688"/>
              </a:lnTo>
              <a:lnTo>
                <a:pt x="696516" y="166688"/>
              </a:lnTo>
              <a:lnTo>
                <a:pt x="0" y="214313"/>
              </a:lnTo>
              <a:close/>
            </a:path>
          </a:pathLst>
        </a:custGeom>
        <a:pattFill prst="dkUpDiag">
          <a:fgClr>
            <a:schemeClr val="tx1"/>
          </a:fgClr>
          <a:bgClr>
            <a:schemeClr val="bg1"/>
          </a:bgClr>
        </a:patt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9</xdr:col>
      <xdr:colOff>0</xdr:colOff>
      <xdr:row>2</xdr:row>
      <xdr:rowOff>0</xdr:rowOff>
    </xdr:from>
    <xdr:to>
      <xdr:col>17</xdr:col>
      <xdr:colOff>114860</xdr:colOff>
      <xdr:row>16</xdr:row>
      <xdr:rowOff>72838</xdr:rowOff>
    </xdr:to>
    <xdr:pic>
      <xdr:nvPicPr>
        <xdr:cNvPr id="2" name="Imagem 1" descr="http://www.portalaction.com.br/sites/default/files/EstatisticaBasica/figuras/distribuicaoNormal/normal3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1000"/>
          <a:ext cx="511492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19</xdr:row>
      <xdr:rowOff>142874</xdr:rowOff>
    </xdr:from>
    <xdr:to>
      <xdr:col>17</xdr:col>
      <xdr:colOff>530225</xdr:colOff>
      <xdr:row>62</xdr:row>
      <xdr:rowOff>149859</xdr:rowOff>
    </xdr:to>
    <xdr:grpSp>
      <xdr:nvGrpSpPr>
        <xdr:cNvPr id="6" name="Agrupar 5"/>
        <xdr:cNvGrpSpPr/>
      </xdr:nvGrpSpPr>
      <xdr:grpSpPr>
        <a:xfrm>
          <a:off x="5446059" y="4031315"/>
          <a:ext cx="5494431" cy="8377779"/>
          <a:chOff x="5486400" y="3867149"/>
          <a:chExt cx="5407025" cy="8198485"/>
        </a:xfrm>
      </xdr:grpSpPr>
      <xdr:pic>
        <xdr:nvPicPr>
          <xdr:cNvPr id="3" name="Imagem 2"/>
          <xdr:cNvPicPr/>
        </xdr:nvPicPr>
        <xdr:blipFill rotWithShape="1">
          <a:blip xmlns:r="http://schemas.openxmlformats.org/officeDocument/2006/relationships" r:embed="rId2"/>
          <a:srcRect l="58993" t="26431" r="25408" b="9936"/>
          <a:stretch/>
        </xdr:blipFill>
        <xdr:spPr bwMode="auto">
          <a:xfrm>
            <a:off x="5486400" y="3867149"/>
            <a:ext cx="5407025" cy="8198485"/>
          </a:xfrm>
          <a:prstGeom prst="rect">
            <a:avLst/>
          </a:prstGeom>
          <a:ln w="28575">
            <a:solidFill>
              <a:schemeClr val="tx1"/>
            </a:solidFill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CaixaDeTexto 3"/>
              <xdr:cNvSpPr txBox="1"/>
            </xdr:nvSpPr>
            <xdr:spPr>
              <a:xfrm>
                <a:off x="8601075" y="4276724"/>
                <a:ext cx="933450" cy="523876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1400" b="0" i="1">
                          <a:latin typeface="Cambria Math" panose="02040503050406030204" pitchFamily="18" charset="0"/>
                        </a:rPr>
                        <m:t>𝑧</m:t>
                      </m:r>
                      <m:r>
                        <a:rPr lang="pt-BR" sz="14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𝑋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𝜇</m:t>
                          </m:r>
                        </m:num>
                        <m:den>
                          <m:r>
                            <a:rPr lang="pt-BR" sz="1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𝜎</m:t>
                          </m:r>
                        </m:den>
                      </m:f>
                    </m:oMath>
                  </m:oMathPara>
                </a14:m>
                <a:endParaRPr lang="pt-BR" sz="1400"/>
              </a:p>
            </xdr:txBody>
          </xdr:sp>
        </mc:Choice>
        <mc:Fallback xmlns="">
          <xdr:sp macro="" textlink="">
            <xdr:nvSpPr>
              <xdr:cNvPr id="4" name="CaixaDeTexto 3"/>
              <xdr:cNvSpPr txBox="1"/>
            </xdr:nvSpPr>
            <xdr:spPr>
              <a:xfrm>
                <a:off x="8601075" y="4276724"/>
                <a:ext cx="933450" cy="523876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pt-BR" sz="1400" b="0" i="0">
                    <a:latin typeface="Cambria Math" panose="02040503050406030204" pitchFamily="18" charset="0"/>
                  </a:rPr>
                  <a:t>𝑧=(𝑋−</a:t>
                </a:r>
                <a:r>
                  <a:rPr lang="pt-BR" sz="1400" b="0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𝜇)/𝜎</a:t>
                </a:r>
                <a:endParaRPr lang="pt-BR" sz="1400"/>
              </a:p>
            </xdr:txBody>
          </xdr:sp>
        </mc:Fallback>
      </mc:AlternateContent>
    </xdr:grpSp>
    <xdr:clientData/>
  </xdr:twoCellAnchor>
  <xdr:oneCellAnchor>
    <xdr:from>
      <xdr:col>1</xdr:col>
      <xdr:colOff>19050</xdr:colOff>
      <xdr:row>11</xdr:row>
      <xdr:rowOff>28575</xdr:rowOff>
    </xdr:from>
    <xdr:ext cx="389407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/>
            <xdr:cNvSpPr txBox="1"/>
          </xdr:nvSpPr>
          <xdr:spPr>
            <a:xfrm>
              <a:off x="628650" y="1819275"/>
              <a:ext cx="389407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𝟑𝟎𝟎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𝒎𝒎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?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>
              <a:off x="628650" y="1819275"/>
              <a:ext cx="389407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2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 &gt;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𝟑𝟎𝟎 𝒎𝒎?</a:t>
              </a:r>
              <a:endParaRPr lang="pt-BR" sz="1200" b="1"/>
            </a:p>
          </xdr:txBody>
        </xdr:sp>
      </mc:Fallback>
    </mc:AlternateContent>
    <xdr:clientData/>
  </xdr:oneCellAnchor>
  <xdr:twoCellAnchor>
    <xdr:from>
      <xdr:col>1</xdr:col>
      <xdr:colOff>171450</xdr:colOff>
      <xdr:row>14</xdr:row>
      <xdr:rowOff>95249</xdr:rowOff>
    </xdr:from>
    <xdr:to>
      <xdr:col>6</xdr:col>
      <xdr:colOff>533400</xdr:colOff>
      <xdr:row>21</xdr:row>
      <xdr:rowOff>47624</xdr:rowOff>
    </xdr:to>
    <xdr:grpSp>
      <xdr:nvGrpSpPr>
        <xdr:cNvPr id="15" name="Agrupar 14"/>
        <xdr:cNvGrpSpPr/>
      </xdr:nvGrpSpPr>
      <xdr:grpSpPr>
        <a:xfrm>
          <a:off x="776568" y="3031190"/>
          <a:ext cx="3387538" cy="1285875"/>
          <a:chOff x="1028700" y="2474473"/>
          <a:chExt cx="2085975" cy="802128"/>
        </a:xfrm>
      </xdr:grpSpPr>
      <xdr:cxnSp macro="">
        <xdr:nvCxnSpPr>
          <xdr:cNvPr id="9" name="Conector reto 8"/>
          <xdr:cNvCxnSpPr/>
        </xdr:nvCxnSpPr>
        <xdr:spPr>
          <a:xfrm flipH="1">
            <a:off x="1028700" y="3276600"/>
            <a:ext cx="2085975" cy="1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Forma Livre 10"/>
          <xdr:cNvSpPr/>
        </xdr:nvSpPr>
        <xdr:spPr>
          <a:xfrm>
            <a:off x="1028700" y="2474473"/>
            <a:ext cx="2085975" cy="783077"/>
          </a:xfrm>
          <a:custGeom>
            <a:avLst/>
            <a:gdLst>
              <a:gd name="connsiteX0" fmla="*/ 0 w 2085975"/>
              <a:gd name="connsiteY0" fmla="*/ 783077 h 783077"/>
              <a:gd name="connsiteX1" fmla="*/ 342900 w 2085975"/>
              <a:gd name="connsiteY1" fmla="*/ 697352 h 783077"/>
              <a:gd name="connsiteX2" fmla="*/ 666750 w 2085975"/>
              <a:gd name="connsiteY2" fmla="*/ 373502 h 783077"/>
              <a:gd name="connsiteX3" fmla="*/ 866775 w 2085975"/>
              <a:gd name="connsiteY3" fmla="*/ 78227 h 783077"/>
              <a:gd name="connsiteX4" fmla="*/ 1047750 w 2085975"/>
              <a:gd name="connsiteY4" fmla="*/ 2027 h 783077"/>
              <a:gd name="connsiteX5" fmla="*/ 1228725 w 2085975"/>
              <a:gd name="connsiteY5" fmla="*/ 135377 h 783077"/>
              <a:gd name="connsiteX6" fmla="*/ 1400175 w 2085975"/>
              <a:gd name="connsiteY6" fmla="*/ 383027 h 783077"/>
              <a:gd name="connsiteX7" fmla="*/ 1666875 w 2085975"/>
              <a:gd name="connsiteY7" fmla="*/ 668777 h 783077"/>
              <a:gd name="connsiteX8" fmla="*/ 2085975 w 2085975"/>
              <a:gd name="connsiteY8" fmla="*/ 783077 h 7830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085975" h="783077">
                <a:moveTo>
                  <a:pt x="0" y="783077"/>
                </a:moveTo>
                <a:cubicBezTo>
                  <a:pt x="115887" y="774345"/>
                  <a:pt x="231775" y="765614"/>
                  <a:pt x="342900" y="697352"/>
                </a:cubicBezTo>
                <a:cubicBezTo>
                  <a:pt x="454025" y="629090"/>
                  <a:pt x="579438" y="476689"/>
                  <a:pt x="666750" y="373502"/>
                </a:cubicBezTo>
                <a:cubicBezTo>
                  <a:pt x="754063" y="270314"/>
                  <a:pt x="803275" y="140139"/>
                  <a:pt x="866775" y="78227"/>
                </a:cubicBezTo>
                <a:cubicBezTo>
                  <a:pt x="930275" y="16315"/>
                  <a:pt x="987425" y="-7498"/>
                  <a:pt x="1047750" y="2027"/>
                </a:cubicBezTo>
                <a:cubicBezTo>
                  <a:pt x="1108075" y="11552"/>
                  <a:pt x="1169988" y="71877"/>
                  <a:pt x="1228725" y="135377"/>
                </a:cubicBezTo>
                <a:cubicBezTo>
                  <a:pt x="1287463" y="198877"/>
                  <a:pt x="1327150" y="294127"/>
                  <a:pt x="1400175" y="383027"/>
                </a:cubicBezTo>
                <a:cubicBezTo>
                  <a:pt x="1473200" y="471927"/>
                  <a:pt x="1552575" y="602102"/>
                  <a:pt x="1666875" y="668777"/>
                </a:cubicBezTo>
                <a:cubicBezTo>
                  <a:pt x="1781175" y="735452"/>
                  <a:pt x="1933575" y="759264"/>
                  <a:pt x="2085975" y="783077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7785</xdr:colOff>
      <xdr:row>14</xdr:row>
      <xdr:rowOff>98498</xdr:rowOff>
    </xdr:from>
    <xdr:to>
      <xdr:col>4</xdr:col>
      <xdr:colOff>9525</xdr:colOff>
      <xdr:row>21</xdr:row>
      <xdr:rowOff>57150</xdr:rowOff>
    </xdr:to>
    <xdr:cxnSp macro="">
      <xdr:nvCxnSpPr>
        <xdr:cNvPr id="17" name="Conector reto 16"/>
        <xdr:cNvCxnSpPr/>
      </xdr:nvCxnSpPr>
      <xdr:spPr>
        <a:xfrm>
          <a:off x="2446185" y="2460698"/>
          <a:ext cx="1740" cy="1292152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347757</xdr:colOff>
      <xdr:row>21</xdr:row>
      <xdr:rowOff>85725</xdr:rowOff>
    </xdr:from>
    <xdr:ext cx="627159" cy="436786"/>
    <xdr:sp macro="" textlink="">
      <xdr:nvSpPr>
        <xdr:cNvPr id="19" name="CaixaDeTexto 18"/>
        <xdr:cNvSpPr txBox="1"/>
      </xdr:nvSpPr>
      <xdr:spPr>
        <a:xfrm>
          <a:off x="2176557" y="3781425"/>
          <a:ext cx="62715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/>
            <a:t>139,8</a:t>
          </a:r>
        </a:p>
        <a:p>
          <a:pPr algn="ctr"/>
          <a:r>
            <a:rPr lang="pt-BR" sz="1100"/>
            <a:t>(média)</a:t>
          </a:r>
        </a:p>
      </xdr:txBody>
    </xdr:sp>
    <xdr:clientData/>
  </xdr:oneCellAnchor>
  <xdr:twoCellAnchor>
    <xdr:from>
      <xdr:col>5</xdr:col>
      <xdr:colOff>457200</xdr:colOff>
      <xdr:row>20</xdr:row>
      <xdr:rowOff>24352</xdr:rowOff>
    </xdr:from>
    <xdr:to>
      <xdr:col>5</xdr:col>
      <xdr:colOff>457896</xdr:colOff>
      <xdr:row>21</xdr:row>
      <xdr:rowOff>57150</xdr:rowOff>
    </xdr:to>
    <xdr:cxnSp macro="">
      <xdr:nvCxnSpPr>
        <xdr:cNvPr id="21" name="Conector reto 20"/>
        <xdr:cNvCxnSpPr>
          <a:stCxn id="11" idx="7"/>
        </xdr:cNvCxnSpPr>
      </xdr:nvCxnSpPr>
      <xdr:spPr>
        <a:xfrm flipH="1">
          <a:off x="3505200" y="3529552"/>
          <a:ext cx="696" cy="22329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261737</xdr:colOff>
      <xdr:row>21</xdr:row>
      <xdr:rowOff>85725</xdr:rowOff>
    </xdr:from>
    <xdr:ext cx="399148" cy="264560"/>
    <xdr:sp macro="" textlink="">
      <xdr:nvSpPr>
        <xdr:cNvPr id="27" name="CaixaDeTexto 26"/>
        <xdr:cNvSpPr txBox="1"/>
      </xdr:nvSpPr>
      <xdr:spPr>
        <a:xfrm>
          <a:off x="3309737" y="3781425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/>
            <a:t>300</a:t>
          </a:r>
        </a:p>
      </xdr:txBody>
    </xdr:sp>
    <xdr:clientData/>
  </xdr:oneCellAnchor>
  <xdr:twoCellAnchor>
    <xdr:from>
      <xdr:col>2</xdr:col>
      <xdr:colOff>0</xdr:colOff>
      <xdr:row>28</xdr:row>
      <xdr:rowOff>0</xdr:rowOff>
    </xdr:from>
    <xdr:to>
      <xdr:col>3</xdr:col>
      <xdr:colOff>323850</xdr:colOff>
      <xdr:row>30</xdr:row>
      <xdr:rowOff>142876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CaixaDeTexto 29"/>
            <xdr:cNvSpPr txBox="1"/>
          </xdr:nvSpPr>
          <xdr:spPr>
            <a:xfrm>
              <a:off x="1219200" y="5029200"/>
              <a:ext cx="933450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0" name="CaixaDeTexto 29"/>
            <xdr:cNvSpPr txBox="1"/>
          </xdr:nvSpPr>
          <xdr:spPr>
            <a:xfrm>
              <a:off x="1219200" y="5029200"/>
              <a:ext cx="933450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𝑧=(𝑋−𝑥 ̅)/𝑠</a:t>
              </a:r>
              <a:endParaRPr lang="pt-BR" sz="1400"/>
            </a:p>
          </xdr:txBody>
        </xdr:sp>
      </mc:Fallback>
    </mc:AlternateContent>
    <xdr:clientData/>
  </xdr:twoCellAnchor>
  <xdr:twoCellAnchor>
    <xdr:from>
      <xdr:col>2</xdr:col>
      <xdr:colOff>0</xdr:colOff>
      <xdr:row>31</xdr:row>
      <xdr:rowOff>0</xdr:rowOff>
    </xdr:from>
    <xdr:to>
      <xdr:col>5</xdr:col>
      <xdr:colOff>481853</xdr:colOff>
      <xdr:row>33</xdr:row>
      <xdr:rowOff>142876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aixaDeTexto 30"/>
            <xdr:cNvSpPr txBox="1"/>
          </xdr:nvSpPr>
          <xdr:spPr>
            <a:xfrm>
              <a:off x="1210235" y="5580529"/>
              <a:ext cx="2297206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300−139,8</m:t>
                        </m:r>
                      </m:num>
                      <m:den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65,1</m:t>
                        </m:r>
                      </m:den>
                    </m:f>
                    <m:r>
                      <a:rPr lang="pt-BR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≈2,46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31" name="CaixaDeTexto 30"/>
            <xdr:cNvSpPr txBox="1"/>
          </xdr:nvSpPr>
          <xdr:spPr>
            <a:xfrm>
              <a:off x="1210235" y="5580529"/>
              <a:ext cx="2297206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𝑧=(300−139,8)/65,1</a:t>
              </a:r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≈2,46</a:t>
              </a:r>
              <a:endParaRPr lang="pt-BR" sz="1400"/>
            </a:p>
          </xdr:txBody>
        </xdr:sp>
      </mc:Fallback>
    </mc:AlternateContent>
    <xdr:clientData/>
  </xdr:twoCellAnchor>
  <xdr:twoCellAnchor>
    <xdr:from>
      <xdr:col>3</xdr:col>
      <xdr:colOff>104775</xdr:colOff>
      <xdr:row>17</xdr:row>
      <xdr:rowOff>95250</xdr:rowOff>
    </xdr:from>
    <xdr:to>
      <xdr:col>3</xdr:col>
      <xdr:colOff>581025</xdr:colOff>
      <xdr:row>19</xdr:row>
      <xdr:rowOff>104775</xdr:rowOff>
    </xdr:to>
    <xdr:sp macro="" textlink="">
      <xdr:nvSpPr>
        <xdr:cNvPr id="23" name="CaixaDeTexto 22"/>
        <xdr:cNvSpPr txBox="1"/>
      </xdr:nvSpPr>
      <xdr:spPr>
        <a:xfrm flipH="1">
          <a:off x="1933575" y="3028950"/>
          <a:ext cx="4762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0,5</a:t>
          </a:r>
        </a:p>
      </xdr:txBody>
    </xdr:sp>
    <xdr:clientData/>
  </xdr:twoCellAnchor>
  <xdr:twoCellAnchor>
    <xdr:from>
      <xdr:col>4</xdr:col>
      <xdr:colOff>14568</xdr:colOff>
      <xdr:row>17</xdr:row>
      <xdr:rowOff>108136</xdr:rowOff>
    </xdr:from>
    <xdr:to>
      <xdr:col>5</xdr:col>
      <xdr:colOff>89647</xdr:colOff>
      <xdr:row>19</xdr:row>
      <xdr:rowOff>117661</xdr:rowOff>
    </xdr:to>
    <xdr:sp macro="" textlink="">
      <xdr:nvSpPr>
        <xdr:cNvPr id="33" name="CaixaDeTexto 32"/>
        <xdr:cNvSpPr txBox="1"/>
      </xdr:nvSpPr>
      <xdr:spPr>
        <a:xfrm flipH="1">
          <a:off x="2435039" y="3615577"/>
          <a:ext cx="680196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0,4931</a:t>
          </a:r>
        </a:p>
      </xdr:txBody>
    </xdr:sp>
    <xdr:clientData/>
  </xdr:twoCellAnchor>
  <xdr:twoCellAnchor>
    <xdr:from>
      <xdr:col>6</xdr:col>
      <xdr:colOff>66674</xdr:colOff>
      <xdr:row>15</xdr:row>
      <xdr:rowOff>2</xdr:rowOff>
    </xdr:from>
    <xdr:to>
      <xdr:col>6</xdr:col>
      <xdr:colOff>361949</xdr:colOff>
      <xdr:row>20</xdr:row>
      <xdr:rowOff>104776</xdr:rowOff>
    </xdr:to>
    <xdr:cxnSp macro="">
      <xdr:nvCxnSpPr>
        <xdr:cNvPr id="25" name="Conector Angulado 24"/>
        <xdr:cNvCxnSpPr/>
      </xdr:nvCxnSpPr>
      <xdr:spPr>
        <a:xfrm rot="5400000" flipH="1" flipV="1">
          <a:off x="3343275" y="2933701"/>
          <a:ext cx="1057274" cy="2952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13</xdr:row>
      <xdr:rowOff>104775</xdr:rowOff>
    </xdr:from>
    <xdr:to>
      <xdr:col>7</xdr:col>
      <xdr:colOff>95250</xdr:colOff>
      <xdr:row>15</xdr:row>
      <xdr:rowOff>114300</xdr:rowOff>
    </xdr:to>
    <xdr:sp macro="" textlink="">
      <xdr:nvSpPr>
        <xdr:cNvPr id="39" name="CaixaDeTexto 38"/>
        <xdr:cNvSpPr txBox="1"/>
      </xdr:nvSpPr>
      <xdr:spPr>
        <a:xfrm flipH="1">
          <a:off x="3886200" y="2276475"/>
          <a:ext cx="47625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rgbClr val="FF0000"/>
              </a:solidFill>
            </a:rPr>
            <a:t>?</a:t>
          </a:r>
        </a:p>
      </xdr:txBody>
    </xdr:sp>
    <xdr:clientData/>
  </xdr:twoCellAnchor>
  <xdr:twoCellAnchor>
    <xdr:from>
      <xdr:col>9</xdr:col>
      <xdr:colOff>381000</xdr:colOff>
      <xdr:row>49</xdr:row>
      <xdr:rowOff>115420</xdr:rowOff>
    </xdr:from>
    <xdr:to>
      <xdr:col>14</xdr:col>
      <xdr:colOff>419100</xdr:colOff>
      <xdr:row>49</xdr:row>
      <xdr:rowOff>115420</xdr:rowOff>
    </xdr:to>
    <xdr:cxnSp macro="">
      <xdr:nvCxnSpPr>
        <xdr:cNvPr id="35" name="Conector de Seta Reta 34"/>
        <xdr:cNvCxnSpPr/>
      </xdr:nvCxnSpPr>
      <xdr:spPr>
        <a:xfrm>
          <a:off x="5827059" y="9864538"/>
          <a:ext cx="3063688" cy="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371475</xdr:colOff>
      <xdr:row>49</xdr:row>
      <xdr:rowOff>10645</xdr:rowOff>
    </xdr:from>
    <xdr:to>
      <xdr:col>15</xdr:col>
      <xdr:colOff>200418</xdr:colOff>
      <xdr:row>50</xdr:row>
      <xdr:rowOff>30263</xdr:rowOff>
    </xdr:to>
    <xdr:sp macro="" textlink="">
      <xdr:nvSpPr>
        <xdr:cNvPr id="37" name="Forma Livre 36"/>
        <xdr:cNvSpPr/>
      </xdr:nvSpPr>
      <xdr:spPr>
        <a:xfrm>
          <a:off x="8843122" y="9759763"/>
          <a:ext cx="434061" cy="210118"/>
        </a:xfrm>
        <a:custGeom>
          <a:avLst/>
          <a:gdLst>
            <a:gd name="connsiteX0" fmla="*/ 19050 w 438543"/>
            <a:gd name="connsiteY0" fmla="*/ 0 h 210118"/>
            <a:gd name="connsiteX1" fmla="*/ 66675 w 438543"/>
            <a:gd name="connsiteY1" fmla="*/ 19050 h 210118"/>
            <a:gd name="connsiteX2" fmla="*/ 95250 w 438543"/>
            <a:gd name="connsiteY2" fmla="*/ 38100 h 210118"/>
            <a:gd name="connsiteX3" fmla="*/ 133350 w 438543"/>
            <a:gd name="connsiteY3" fmla="*/ 47625 h 210118"/>
            <a:gd name="connsiteX4" fmla="*/ 219075 w 438543"/>
            <a:gd name="connsiteY4" fmla="*/ 38100 h 210118"/>
            <a:gd name="connsiteX5" fmla="*/ 247650 w 438543"/>
            <a:gd name="connsiteY5" fmla="*/ 28575 h 210118"/>
            <a:gd name="connsiteX6" fmla="*/ 400050 w 438543"/>
            <a:gd name="connsiteY6" fmla="*/ 38100 h 210118"/>
            <a:gd name="connsiteX7" fmla="*/ 428625 w 438543"/>
            <a:gd name="connsiteY7" fmla="*/ 57150 h 210118"/>
            <a:gd name="connsiteX8" fmla="*/ 428625 w 438543"/>
            <a:gd name="connsiteY8" fmla="*/ 142875 h 210118"/>
            <a:gd name="connsiteX9" fmla="*/ 400050 w 438543"/>
            <a:gd name="connsiteY9" fmla="*/ 152400 h 210118"/>
            <a:gd name="connsiteX10" fmla="*/ 371475 w 438543"/>
            <a:gd name="connsiteY10" fmla="*/ 180975 h 210118"/>
            <a:gd name="connsiteX11" fmla="*/ 295275 w 438543"/>
            <a:gd name="connsiteY11" fmla="*/ 200025 h 210118"/>
            <a:gd name="connsiteX12" fmla="*/ 266700 w 438543"/>
            <a:gd name="connsiteY12" fmla="*/ 209550 h 210118"/>
            <a:gd name="connsiteX13" fmla="*/ 95250 w 438543"/>
            <a:gd name="connsiteY13" fmla="*/ 200025 h 210118"/>
            <a:gd name="connsiteX14" fmla="*/ 57150 w 438543"/>
            <a:gd name="connsiteY14" fmla="*/ 142875 h 210118"/>
            <a:gd name="connsiteX15" fmla="*/ 47625 w 438543"/>
            <a:gd name="connsiteY15" fmla="*/ 114300 h 210118"/>
            <a:gd name="connsiteX16" fmla="*/ 0 w 438543"/>
            <a:gd name="connsiteY16" fmla="*/ 47625 h 2101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438543" h="210118">
              <a:moveTo>
                <a:pt x="19050" y="0"/>
              </a:moveTo>
              <a:cubicBezTo>
                <a:pt x="34925" y="6350"/>
                <a:pt x="51382" y="11404"/>
                <a:pt x="66675" y="19050"/>
              </a:cubicBezTo>
              <a:cubicBezTo>
                <a:pt x="76914" y="24170"/>
                <a:pt x="84728" y="33591"/>
                <a:pt x="95250" y="38100"/>
              </a:cubicBezTo>
              <a:cubicBezTo>
                <a:pt x="107282" y="43257"/>
                <a:pt x="120650" y="44450"/>
                <a:pt x="133350" y="47625"/>
              </a:cubicBezTo>
              <a:cubicBezTo>
                <a:pt x="161925" y="44450"/>
                <a:pt x="190715" y="42827"/>
                <a:pt x="219075" y="38100"/>
              </a:cubicBezTo>
              <a:cubicBezTo>
                <a:pt x="228979" y="36449"/>
                <a:pt x="237610" y="28575"/>
                <a:pt x="247650" y="28575"/>
              </a:cubicBezTo>
              <a:cubicBezTo>
                <a:pt x="298549" y="28575"/>
                <a:pt x="349250" y="34925"/>
                <a:pt x="400050" y="38100"/>
              </a:cubicBezTo>
              <a:cubicBezTo>
                <a:pt x="409575" y="44450"/>
                <a:pt x="421474" y="48211"/>
                <a:pt x="428625" y="57150"/>
              </a:cubicBezTo>
              <a:cubicBezTo>
                <a:pt x="445145" y="77800"/>
                <a:pt x="438092" y="126307"/>
                <a:pt x="428625" y="142875"/>
              </a:cubicBezTo>
              <a:cubicBezTo>
                <a:pt x="423644" y="151592"/>
                <a:pt x="409575" y="149225"/>
                <a:pt x="400050" y="152400"/>
              </a:cubicBezTo>
              <a:cubicBezTo>
                <a:pt x="390525" y="161925"/>
                <a:pt x="383738" y="175401"/>
                <a:pt x="371475" y="180975"/>
              </a:cubicBezTo>
              <a:cubicBezTo>
                <a:pt x="347640" y="191809"/>
                <a:pt x="320113" y="191746"/>
                <a:pt x="295275" y="200025"/>
              </a:cubicBezTo>
              <a:lnTo>
                <a:pt x="266700" y="209550"/>
              </a:lnTo>
              <a:cubicBezTo>
                <a:pt x="209550" y="206375"/>
                <a:pt x="149794" y="217380"/>
                <a:pt x="95250" y="200025"/>
              </a:cubicBezTo>
              <a:cubicBezTo>
                <a:pt x="73433" y="193083"/>
                <a:pt x="64390" y="164595"/>
                <a:pt x="57150" y="142875"/>
              </a:cubicBezTo>
              <a:cubicBezTo>
                <a:pt x="53975" y="133350"/>
                <a:pt x="52501" y="123077"/>
                <a:pt x="47625" y="114300"/>
              </a:cubicBezTo>
              <a:cubicBezTo>
                <a:pt x="22256" y="68635"/>
                <a:pt x="22729" y="70354"/>
                <a:pt x="0" y="47625"/>
              </a:cubicBezTo>
            </a:path>
          </a:pathLst>
        </a:cu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19050</xdr:colOff>
      <xdr:row>46</xdr:row>
      <xdr:rowOff>28575</xdr:rowOff>
    </xdr:from>
    <xdr:ext cx="3768083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aixaDeTexto 23"/>
            <xdr:cNvSpPr txBox="1"/>
          </xdr:nvSpPr>
          <xdr:spPr>
            <a:xfrm>
              <a:off x="624168" y="8645899"/>
              <a:ext cx="376808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&lt;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𝟓𝟎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𝒎𝒎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?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24" name="CaixaDeTexto 23"/>
            <xdr:cNvSpPr txBox="1"/>
          </xdr:nvSpPr>
          <xdr:spPr>
            <a:xfrm>
              <a:off x="624168" y="8645899"/>
              <a:ext cx="3768083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2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𝒐𝒖𝒕𝒖𝒃𝒓𝒐&lt;𝟓𝟎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𝒎𝒎?</a:t>
              </a:r>
              <a:endParaRPr lang="pt-BR" sz="1200" b="1"/>
            </a:p>
          </xdr:txBody>
        </xdr:sp>
      </mc:Fallback>
    </mc:AlternateContent>
    <xdr:clientData/>
  </xdr:oneCellAnchor>
  <xdr:twoCellAnchor>
    <xdr:from>
      <xdr:col>1</xdr:col>
      <xdr:colOff>0</xdr:colOff>
      <xdr:row>49</xdr:row>
      <xdr:rowOff>0</xdr:rowOff>
    </xdr:from>
    <xdr:to>
      <xdr:col>6</xdr:col>
      <xdr:colOff>361950</xdr:colOff>
      <xdr:row>55</xdr:row>
      <xdr:rowOff>142875</xdr:rowOff>
    </xdr:to>
    <xdr:grpSp>
      <xdr:nvGrpSpPr>
        <xdr:cNvPr id="28" name="Agrupar 27"/>
        <xdr:cNvGrpSpPr/>
      </xdr:nvGrpSpPr>
      <xdr:grpSpPr>
        <a:xfrm>
          <a:off x="605118" y="9782735"/>
          <a:ext cx="3387538" cy="1285875"/>
          <a:chOff x="1028700" y="2474473"/>
          <a:chExt cx="2085975" cy="802128"/>
        </a:xfrm>
      </xdr:grpSpPr>
      <xdr:cxnSp macro="">
        <xdr:nvCxnSpPr>
          <xdr:cNvPr id="29" name="Conector reto 28"/>
          <xdr:cNvCxnSpPr/>
        </xdr:nvCxnSpPr>
        <xdr:spPr>
          <a:xfrm flipH="1">
            <a:off x="1028700" y="3276600"/>
            <a:ext cx="2085975" cy="1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Forma Livre 31"/>
          <xdr:cNvSpPr/>
        </xdr:nvSpPr>
        <xdr:spPr>
          <a:xfrm>
            <a:off x="1028700" y="2474473"/>
            <a:ext cx="2085975" cy="783077"/>
          </a:xfrm>
          <a:custGeom>
            <a:avLst/>
            <a:gdLst>
              <a:gd name="connsiteX0" fmla="*/ 0 w 2085975"/>
              <a:gd name="connsiteY0" fmla="*/ 783077 h 783077"/>
              <a:gd name="connsiteX1" fmla="*/ 342900 w 2085975"/>
              <a:gd name="connsiteY1" fmla="*/ 697352 h 783077"/>
              <a:gd name="connsiteX2" fmla="*/ 666750 w 2085975"/>
              <a:gd name="connsiteY2" fmla="*/ 373502 h 783077"/>
              <a:gd name="connsiteX3" fmla="*/ 866775 w 2085975"/>
              <a:gd name="connsiteY3" fmla="*/ 78227 h 783077"/>
              <a:gd name="connsiteX4" fmla="*/ 1047750 w 2085975"/>
              <a:gd name="connsiteY4" fmla="*/ 2027 h 783077"/>
              <a:gd name="connsiteX5" fmla="*/ 1228725 w 2085975"/>
              <a:gd name="connsiteY5" fmla="*/ 135377 h 783077"/>
              <a:gd name="connsiteX6" fmla="*/ 1400175 w 2085975"/>
              <a:gd name="connsiteY6" fmla="*/ 383027 h 783077"/>
              <a:gd name="connsiteX7" fmla="*/ 1666875 w 2085975"/>
              <a:gd name="connsiteY7" fmla="*/ 668777 h 783077"/>
              <a:gd name="connsiteX8" fmla="*/ 2085975 w 2085975"/>
              <a:gd name="connsiteY8" fmla="*/ 783077 h 78307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2085975" h="783077">
                <a:moveTo>
                  <a:pt x="0" y="783077"/>
                </a:moveTo>
                <a:cubicBezTo>
                  <a:pt x="115887" y="774345"/>
                  <a:pt x="231775" y="765614"/>
                  <a:pt x="342900" y="697352"/>
                </a:cubicBezTo>
                <a:cubicBezTo>
                  <a:pt x="454025" y="629090"/>
                  <a:pt x="579438" y="476689"/>
                  <a:pt x="666750" y="373502"/>
                </a:cubicBezTo>
                <a:cubicBezTo>
                  <a:pt x="754063" y="270314"/>
                  <a:pt x="803275" y="140139"/>
                  <a:pt x="866775" y="78227"/>
                </a:cubicBezTo>
                <a:cubicBezTo>
                  <a:pt x="930275" y="16315"/>
                  <a:pt x="987425" y="-7498"/>
                  <a:pt x="1047750" y="2027"/>
                </a:cubicBezTo>
                <a:cubicBezTo>
                  <a:pt x="1108075" y="11552"/>
                  <a:pt x="1169988" y="71877"/>
                  <a:pt x="1228725" y="135377"/>
                </a:cubicBezTo>
                <a:cubicBezTo>
                  <a:pt x="1287463" y="198877"/>
                  <a:pt x="1327150" y="294127"/>
                  <a:pt x="1400175" y="383027"/>
                </a:cubicBezTo>
                <a:cubicBezTo>
                  <a:pt x="1473200" y="471927"/>
                  <a:pt x="1552575" y="602102"/>
                  <a:pt x="1666875" y="668777"/>
                </a:cubicBezTo>
                <a:cubicBezTo>
                  <a:pt x="1781175" y="735452"/>
                  <a:pt x="1933575" y="759264"/>
                  <a:pt x="2085975" y="783077"/>
                </a:cubicBezTo>
              </a:path>
            </a:pathLst>
          </a:cu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3</xdr:col>
      <xdr:colOff>176307</xdr:colOff>
      <xdr:row>55</xdr:row>
      <xdr:rowOff>180976</xdr:rowOff>
    </xdr:from>
    <xdr:ext cx="627159" cy="436786"/>
    <xdr:sp macro="" textlink="">
      <xdr:nvSpPr>
        <xdr:cNvPr id="34" name="CaixaDeTexto 33"/>
        <xdr:cNvSpPr txBox="1"/>
      </xdr:nvSpPr>
      <xdr:spPr>
        <a:xfrm>
          <a:off x="1991660" y="10512800"/>
          <a:ext cx="62715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/>
            <a:t>139,8</a:t>
          </a:r>
        </a:p>
        <a:p>
          <a:pPr algn="ctr"/>
          <a:r>
            <a:rPr lang="pt-BR" sz="1100"/>
            <a:t>(média)</a:t>
          </a:r>
        </a:p>
      </xdr:txBody>
    </xdr:sp>
    <xdr:clientData/>
  </xdr:oneCellAnchor>
  <xdr:oneCellAnchor>
    <xdr:from>
      <xdr:col>2</xdr:col>
      <xdr:colOff>58799</xdr:colOff>
      <xdr:row>56</xdr:row>
      <xdr:rowOff>1682</xdr:rowOff>
    </xdr:from>
    <xdr:ext cx="327654" cy="264560"/>
    <xdr:sp macro="" textlink="">
      <xdr:nvSpPr>
        <xdr:cNvPr id="36" name="CaixaDeTexto 35"/>
        <xdr:cNvSpPr txBox="1"/>
      </xdr:nvSpPr>
      <xdr:spPr>
        <a:xfrm>
          <a:off x="1269034" y="10524006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pt-BR" sz="1100" b="1"/>
            <a:t>50</a:t>
          </a:r>
        </a:p>
      </xdr:txBody>
    </xdr:sp>
    <xdr:clientData/>
  </xdr:oneCellAnchor>
  <xdr:twoCellAnchor>
    <xdr:from>
      <xdr:col>2</xdr:col>
      <xdr:colOff>324970</xdr:colOff>
      <xdr:row>53</xdr:row>
      <xdr:rowOff>1</xdr:rowOff>
    </xdr:from>
    <xdr:to>
      <xdr:col>3</xdr:col>
      <xdr:colOff>425823</xdr:colOff>
      <xdr:row>55</xdr:row>
      <xdr:rowOff>9526</xdr:rowOff>
    </xdr:to>
    <xdr:sp macro="" textlink="">
      <xdr:nvSpPr>
        <xdr:cNvPr id="38" name="CaixaDeTexto 37"/>
        <xdr:cNvSpPr txBox="1"/>
      </xdr:nvSpPr>
      <xdr:spPr>
        <a:xfrm flipH="1">
          <a:off x="1535205" y="9950825"/>
          <a:ext cx="705971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0,4162</a:t>
          </a:r>
        </a:p>
      </xdr:txBody>
    </xdr:sp>
    <xdr:clientData/>
  </xdr:twoCellAnchor>
  <xdr:twoCellAnchor>
    <xdr:from>
      <xdr:col>4</xdr:col>
      <xdr:colOff>0</xdr:colOff>
      <xdr:row>52</xdr:row>
      <xdr:rowOff>1682</xdr:rowOff>
    </xdr:from>
    <xdr:to>
      <xdr:col>4</xdr:col>
      <xdr:colOff>471767</xdr:colOff>
      <xdr:row>54</xdr:row>
      <xdr:rowOff>11207</xdr:rowOff>
    </xdr:to>
    <xdr:sp macro="" textlink="">
      <xdr:nvSpPr>
        <xdr:cNvPr id="40" name="CaixaDeTexto 39"/>
        <xdr:cNvSpPr txBox="1"/>
      </xdr:nvSpPr>
      <xdr:spPr>
        <a:xfrm flipH="1">
          <a:off x="2420471" y="9762006"/>
          <a:ext cx="471767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0,5</a:t>
          </a:r>
        </a:p>
      </xdr:txBody>
    </xdr:sp>
    <xdr:clientData/>
  </xdr:twoCellAnchor>
  <xdr:twoCellAnchor>
    <xdr:from>
      <xdr:col>1</xdr:col>
      <xdr:colOff>377078</xdr:colOff>
      <xdr:row>49</xdr:row>
      <xdr:rowOff>173694</xdr:rowOff>
    </xdr:from>
    <xdr:to>
      <xdr:col>2</xdr:col>
      <xdr:colOff>67236</xdr:colOff>
      <xdr:row>55</xdr:row>
      <xdr:rowOff>87968</xdr:rowOff>
    </xdr:to>
    <xdr:cxnSp macro="">
      <xdr:nvCxnSpPr>
        <xdr:cNvPr id="41" name="Conector Angulado 40"/>
        <xdr:cNvCxnSpPr/>
      </xdr:nvCxnSpPr>
      <xdr:spPr>
        <a:xfrm rot="5400000" flipH="1" flipV="1">
          <a:off x="601197" y="9743517"/>
          <a:ext cx="1057274" cy="2952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459441</xdr:colOff>
      <xdr:row>49</xdr:row>
      <xdr:rowOff>0</xdr:rowOff>
    </xdr:from>
    <xdr:to>
      <xdr:col>3</xdr:col>
      <xdr:colOff>461181</xdr:colOff>
      <xdr:row>55</xdr:row>
      <xdr:rowOff>149152</xdr:rowOff>
    </xdr:to>
    <xdr:cxnSp macro="">
      <xdr:nvCxnSpPr>
        <xdr:cNvPr id="42" name="Conector reto 41"/>
        <xdr:cNvCxnSpPr/>
      </xdr:nvCxnSpPr>
      <xdr:spPr>
        <a:xfrm>
          <a:off x="2274794" y="9188824"/>
          <a:ext cx="1740" cy="1292152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67</xdr:row>
      <xdr:rowOff>0</xdr:rowOff>
    </xdr:from>
    <xdr:to>
      <xdr:col>5</xdr:col>
      <xdr:colOff>481853</xdr:colOff>
      <xdr:row>69</xdr:row>
      <xdr:rowOff>142876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CaixaDeTexto 43"/>
            <xdr:cNvSpPr txBox="1"/>
          </xdr:nvSpPr>
          <xdr:spPr>
            <a:xfrm>
              <a:off x="1210235" y="5580529"/>
              <a:ext cx="2297206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pt-BR" sz="1400" b="0" i="1">
                      <a:latin typeface="Cambria Math" panose="02040503050406030204" pitchFamily="18" charset="0"/>
                    </a:rPr>
                    <m:t>𝑧</m:t>
                  </m:r>
                  <m:r>
                    <a:rPr lang="pt-BR" sz="14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pt-BR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1400" b="0" i="1">
                          <a:latin typeface="Cambria Math" panose="02040503050406030204" pitchFamily="18" charset="0"/>
                        </a:rPr>
                        <m:t>50</m:t>
                      </m:r>
                      <m:r>
                        <a:rPr lang="pt-BR" sz="1400" b="0" i="1">
                          <a:latin typeface="Cambria Math" panose="02040503050406030204" pitchFamily="18" charset="0"/>
                        </a:rPr>
                        <m:t>−139,8</m:t>
                      </m:r>
                    </m:num>
                    <m:den>
                      <m:r>
                        <a:rPr lang="pt-BR" sz="1400" b="0" i="1">
                          <a:latin typeface="Cambria Math" panose="02040503050406030204" pitchFamily="18" charset="0"/>
                        </a:rPr>
                        <m:t>65,1</m:t>
                      </m:r>
                    </m:den>
                  </m:f>
                  <m:r>
                    <a:rPr lang="pt-BR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≈−1,</m:t>
                  </m:r>
                </m:oMath>
              </a14:m>
              <a:r>
                <a:rPr lang="pt-BR" sz="1400"/>
                <a:t>38</a:t>
              </a:r>
            </a:p>
          </xdr:txBody>
        </xdr:sp>
      </mc:Choice>
      <mc:Fallback>
        <xdr:sp macro="" textlink="">
          <xdr:nvSpPr>
            <xdr:cNvPr id="44" name="CaixaDeTexto 43"/>
            <xdr:cNvSpPr txBox="1"/>
          </xdr:nvSpPr>
          <xdr:spPr>
            <a:xfrm>
              <a:off x="1210235" y="5580529"/>
              <a:ext cx="2297206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pt-BR" sz="1400" b="0" i="0">
                  <a:latin typeface="Cambria Math" panose="02040503050406030204" pitchFamily="18" charset="0"/>
                </a:rPr>
                <a:t>𝑧=(50−139,8)/65,1</a:t>
              </a:r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≈−1,</a:t>
              </a:r>
              <a:r>
                <a:rPr lang="pt-BR" sz="1400"/>
                <a:t>38</a:t>
              </a:r>
            </a:p>
          </xdr:txBody>
        </xdr:sp>
      </mc:Fallback>
    </mc:AlternateContent>
    <xdr:clientData/>
  </xdr:twoCellAnchor>
  <xdr:twoCellAnchor>
    <xdr:from>
      <xdr:col>16</xdr:col>
      <xdr:colOff>68917</xdr:colOff>
      <xdr:row>40</xdr:row>
      <xdr:rowOff>55468</xdr:rowOff>
    </xdr:from>
    <xdr:to>
      <xdr:col>16</xdr:col>
      <xdr:colOff>502978</xdr:colOff>
      <xdr:row>41</xdr:row>
      <xdr:rowOff>75086</xdr:rowOff>
    </xdr:to>
    <xdr:sp macro="" textlink="">
      <xdr:nvSpPr>
        <xdr:cNvPr id="45" name="Forma Livre 44"/>
        <xdr:cNvSpPr/>
      </xdr:nvSpPr>
      <xdr:spPr>
        <a:xfrm>
          <a:off x="9750799" y="8090086"/>
          <a:ext cx="434061" cy="210118"/>
        </a:xfrm>
        <a:custGeom>
          <a:avLst/>
          <a:gdLst>
            <a:gd name="connsiteX0" fmla="*/ 19050 w 438543"/>
            <a:gd name="connsiteY0" fmla="*/ 0 h 210118"/>
            <a:gd name="connsiteX1" fmla="*/ 66675 w 438543"/>
            <a:gd name="connsiteY1" fmla="*/ 19050 h 210118"/>
            <a:gd name="connsiteX2" fmla="*/ 95250 w 438543"/>
            <a:gd name="connsiteY2" fmla="*/ 38100 h 210118"/>
            <a:gd name="connsiteX3" fmla="*/ 133350 w 438543"/>
            <a:gd name="connsiteY3" fmla="*/ 47625 h 210118"/>
            <a:gd name="connsiteX4" fmla="*/ 219075 w 438543"/>
            <a:gd name="connsiteY4" fmla="*/ 38100 h 210118"/>
            <a:gd name="connsiteX5" fmla="*/ 247650 w 438543"/>
            <a:gd name="connsiteY5" fmla="*/ 28575 h 210118"/>
            <a:gd name="connsiteX6" fmla="*/ 400050 w 438543"/>
            <a:gd name="connsiteY6" fmla="*/ 38100 h 210118"/>
            <a:gd name="connsiteX7" fmla="*/ 428625 w 438543"/>
            <a:gd name="connsiteY7" fmla="*/ 57150 h 210118"/>
            <a:gd name="connsiteX8" fmla="*/ 428625 w 438543"/>
            <a:gd name="connsiteY8" fmla="*/ 142875 h 210118"/>
            <a:gd name="connsiteX9" fmla="*/ 400050 w 438543"/>
            <a:gd name="connsiteY9" fmla="*/ 152400 h 210118"/>
            <a:gd name="connsiteX10" fmla="*/ 371475 w 438543"/>
            <a:gd name="connsiteY10" fmla="*/ 180975 h 210118"/>
            <a:gd name="connsiteX11" fmla="*/ 295275 w 438543"/>
            <a:gd name="connsiteY11" fmla="*/ 200025 h 210118"/>
            <a:gd name="connsiteX12" fmla="*/ 266700 w 438543"/>
            <a:gd name="connsiteY12" fmla="*/ 209550 h 210118"/>
            <a:gd name="connsiteX13" fmla="*/ 95250 w 438543"/>
            <a:gd name="connsiteY13" fmla="*/ 200025 h 210118"/>
            <a:gd name="connsiteX14" fmla="*/ 57150 w 438543"/>
            <a:gd name="connsiteY14" fmla="*/ 142875 h 210118"/>
            <a:gd name="connsiteX15" fmla="*/ 47625 w 438543"/>
            <a:gd name="connsiteY15" fmla="*/ 114300 h 210118"/>
            <a:gd name="connsiteX16" fmla="*/ 0 w 438543"/>
            <a:gd name="connsiteY16" fmla="*/ 47625 h 2101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438543" h="210118">
              <a:moveTo>
                <a:pt x="19050" y="0"/>
              </a:moveTo>
              <a:cubicBezTo>
                <a:pt x="34925" y="6350"/>
                <a:pt x="51382" y="11404"/>
                <a:pt x="66675" y="19050"/>
              </a:cubicBezTo>
              <a:cubicBezTo>
                <a:pt x="76914" y="24170"/>
                <a:pt x="84728" y="33591"/>
                <a:pt x="95250" y="38100"/>
              </a:cubicBezTo>
              <a:cubicBezTo>
                <a:pt x="107282" y="43257"/>
                <a:pt x="120650" y="44450"/>
                <a:pt x="133350" y="47625"/>
              </a:cubicBezTo>
              <a:cubicBezTo>
                <a:pt x="161925" y="44450"/>
                <a:pt x="190715" y="42827"/>
                <a:pt x="219075" y="38100"/>
              </a:cubicBezTo>
              <a:cubicBezTo>
                <a:pt x="228979" y="36449"/>
                <a:pt x="237610" y="28575"/>
                <a:pt x="247650" y="28575"/>
              </a:cubicBezTo>
              <a:cubicBezTo>
                <a:pt x="298549" y="28575"/>
                <a:pt x="349250" y="34925"/>
                <a:pt x="400050" y="38100"/>
              </a:cubicBezTo>
              <a:cubicBezTo>
                <a:pt x="409575" y="44450"/>
                <a:pt x="421474" y="48211"/>
                <a:pt x="428625" y="57150"/>
              </a:cubicBezTo>
              <a:cubicBezTo>
                <a:pt x="445145" y="77800"/>
                <a:pt x="438092" y="126307"/>
                <a:pt x="428625" y="142875"/>
              </a:cubicBezTo>
              <a:cubicBezTo>
                <a:pt x="423644" y="151592"/>
                <a:pt x="409575" y="149225"/>
                <a:pt x="400050" y="152400"/>
              </a:cubicBezTo>
              <a:cubicBezTo>
                <a:pt x="390525" y="161925"/>
                <a:pt x="383738" y="175401"/>
                <a:pt x="371475" y="180975"/>
              </a:cubicBezTo>
              <a:cubicBezTo>
                <a:pt x="347640" y="191809"/>
                <a:pt x="320113" y="191746"/>
                <a:pt x="295275" y="200025"/>
              </a:cubicBezTo>
              <a:lnTo>
                <a:pt x="266700" y="209550"/>
              </a:lnTo>
              <a:cubicBezTo>
                <a:pt x="209550" y="206375"/>
                <a:pt x="149794" y="217380"/>
                <a:pt x="95250" y="200025"/>
              </a:cubicBezTo>
              <a:cubicBezTo>
                <a:pt x="73433" y="193083"/>
                <a:pt x="64390" y="164595"/>
                <a:pt x="57150" y="142875"/>
              </a:cubicBezTo>
              <a:cubicBezTo>
                <a:pt x="53975" y="133350"/>
                <a:pt x="52501" y="123077"/>
                <a:pt x="47625" y="114300"/>
              </a:cubicBezTo>
              <a:cubicBezTo>
                <a:pt x="22256" y="68635"/>
                <a:pt x="22729" y="70354"/>
                <a:pt x="0" y="47625"/>
              </a:cubicBezTo>
            </a:path>
          </a:pathLst>
        </a:cu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221875</xdr:colOff>
      <xdr:row>53</xdr:row>
      <xdr:rowOff>145676</xdr:rowOff>
    </xdr:from>
    <xdr:to>
      <xdr:col>2</xdr:col>
      <xdr:colOff>221875</xdr:colOff>
      <xdr:row>55</xdr:row>
      <xdr:rowOff>156882</xdr:rowOff>
    </xdr:to>
    <xdr:cxnSp macro="">
      <xdr:nvCxnSpPr>
        <xdr:cNvPr id="46" name="Conector reto 45"/>
        <xdr:cNvCxnSpPr/>
      </xdr:nvCxnSpPr>
      <xdr:spPr>
        <a:xfrm>
          <a:off x="1432110" y="10096500"/>
          <a:ext cx="0" cy="39220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546846</xdr:colOff>
      <xdr:row>48</xdr:row>
      <xdr:rowOff>57710</xdr:rowOff>
    </xdr:from>
    <xdr:to>
      <xdr:col>2</xdr:col>
      <xdr:colOff>413497</xdr:colOff>
      <xdr:row>50</xdr:row>
      <xdr:rowOff>67235</xdr:rowOff>
    </xdr:to>
    <xdr:sp macro="" textlink="">
      <xdr:nvSpPr>
        <xdr:cNvPr id="47" name="CaixaDeTexto 46"/>
        <xdr:cNvSpPr txBox="1"/>
      </xdr:nvSpPr>
      <xdr:spPr>
        <a:xfrm flipH="1">
          <a:off x="1151964" y="9056034"/>
          <a:ext cx="471768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rgbClr val="FF0000"/>
              </a:solidFill>
            </a:rPr>
            <a:t>?</a:t>
          </a:r>
        </a:p>
      </xdr:txBody>
    </xdr:sp>
    <xdr:clientData/>
  </xdr:twoCellAnchor>
  <xdr:twoCellAnchor>
    <xdr:from>
      <xdr:col>9</xdr:col>
      <xdr:colOff>425824</xdr:colOff>
      <xdr:row>40</xdr:row>
      <xdr:rowOff>149039</xdr:rowOff>
    </xdr:from>
    <xdr:to>
      <xdr:col>16</xdr:col>
      <xdr:colOff>71232</xdr:colOff>
      <xdr:row>40</xdr:row>
      <xdr:rowOff>158562</xdr:rowOff>
    </xdr:to>
    <xdr:cxnSp macro="">
      <xdr:nvCxnSpPr>
        <xdr:cNvPr id="48" name="Conector de Seta Reta 47"/>
        <xdr:cNvCxnSpPr/>
      </xdr:nvCxnSpPr>
      <xdr:spPr>
        <a:xfrm>
          <a:off x="5871883" y="8183657"/>
          <a:ext cx="3881231" cy="952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201705</xdr:colOff>
      <xdr:row>4</xdr:row>
      <xdr:rowOff>2241</xdr:rowOff>
    </xdr:from>
    <xdr:ext cx="23756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/>
            <xdr:cNvSpPr txBox="1"/>
          </xdr:nvSpPr>
          <xdr:spPr>
            <a:xfrm flipH="1">
              <a:off x="806823" y="932329"/>
              <a:ext cx="23756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 flipH="1">
              <a:off x="806823" y="932329"/>
              <a:ext cx="23756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𝒙 ̅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1</xdr:col>
      <xdr:colOff>253251</xdr:colOff>
      <xdr:row>7</xdr:row>
      <xdr:rowOff>20169</xdr:rowOff>
    </xdr:from>
    <xdr:ext cx="3630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CaixaDeTexto 48"/>
            <xdr:cNvSpPr txBox="1"/>
          </xdr:nvSpPr>
          <xdr:spPr>
            <a:xfrm flipH="1">
              <a:off x="858369" y="1566581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49" name="CaixaDeTexto 48"/>
            <xdr:cNvSpPr txBox="1"/>
          </xdr:nvSpPr>
          <xdr:spPr>
            <a:xfrm flipH="1">
              <a:off x="858369" y="1566581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𝒙 ̅</a:t>
              </a:r>
              <a:r>
                <a:rPr lang="pt-B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1</xdr:col>
      <xdr:colOff>259975</xdr:colOff>
      <xdr:row>8</xdr:row>
      <xdr:rowOff>15687</xdr:rowOff>
    </xdr:from>
    <xdr:ext cx="3630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CaixaDeTexto 49"/>
            <xdr:cNvSpPr txBox="1"/>
          </xdr:nvSpPr>
          <xdr:spPr>
            <a:xfrm flipH="1">
              <a:off x="865093" y="1786216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𝒔</m:t>
                    </m:r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50" name="CaixaDeTexto 49"/>
            <xdr:cNvSpPr txBox="1"/>
          </xdr:nvSpPr>
          <xdr:spPr>
            <a:xfrm flipH="1">
              <a:off x="865093" y="1786216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𝒔</a:t>
              </a:r>
              <a:r>
                <a:rPr lang="pt-B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pt-BR" sz="1400" b="1"/>
            </a:p>
          </xdr:txBody>
        </xdr:sp>
      </mc:Fallback>
    </mc:AlternateContent>
    <xdr:clientData/>
  </xdr:oneCellAnchor>
  <xdr:twoCellAnchor>
    <xdr:from>
      <xdr:col>2</xdr:col>
      <xdr:colOff>0</xdr:colOff>
      <xdr:row>64</xdr:row>
      <xdr:rowOff>0</xdr:rowOff>
    </xdr:from>
    <xdr:to>
      <xdr:col>3</xdr:col>
      <xdr:colOff>323850</xdr:colOff>
      <xdr:row>66</xdr:row>
      <xdr:rowOff>142876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CaixaDeTexto 50"/>
            <xdr:cNvSpPr txBox="1"/>
          </xdr:nvSpPr>
          <xdr:spPr>
            <a:xfrm>
              <a:off x="1210235" y="12640235"/>
              <a:ext cx="928968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𝑧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pt-BR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num>
                      <m:den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51" name="CaixaDeTexto 50"/>
            <xdr:cNvSpPr txBox="1"/>
          </xdr:nvSpPr>
          <xdr:spPr>
            <a:xfrm>
              <a:off x="1210235" y="12640235"/>
              <a:ext cx="928968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𝑧=(𝑋−𝑥 ̅)/𝑠</a:t>
              </a:r>
              <a:endParaRPr lang="pt-BR" sz="14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1</xdr:row>
      <xdr:rowOff>19050</xdr:rowOff>
    </xdr:from>
    <xdr:to>
      <xdr:col>20</xdr:col>
      <xdr:colOff>276224</xdr:colOff>
      <xdr:row>20</xdr:row>
      <xdr:rowOff>57150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3</xdr:row>
      <xdr:rowOff>169322</xdr:rowOff>
    </xdr:from>
    <xdr:to>
      <xdr:col>20</xdr:col>
      <xdr:colOff>76200</xdr:colOff>
      <xdr:row>17</xdr:row>
      <xdr:rowOff>123825</xdr:rowOff>
    </xdr:to>
    <xdr:sp macro="" textlink="">
      <xdr:nvSpPr>
        <xdr:cNvPr id="11" name="Forma Livre 10"/>
        <xdr:cNvSpPr/>
      </xdr:nvSpPr>
      <xdr:spPr>
        <a:xfrm>
          <a:off x="5867400" y="740822"/>
          <a:ext cx="5334000" cy="2621503"/>
        </a:xfrm>
        <a:custGeom>
          <a:avLst/>
          <a:gdLst>
            <a:gd name="connsiteX0" fmla="*/ 0 w 5334000"/>
            <a:gd name="connsiteY0" fmla="*/ 2621503 h 2621503"/>
            <a:gd name="connsiteX1" fmla="*/ 1685925 w 5334000"/>
            <a:gd name="connsiteY1" fmla="*/ 2128 h 2621503"/>
            <a:gd name="connsiteX2" fmla="*/ 3771900 w 5334000"/>
            <a:gd name="connsiteY2" fmla="*/ 2183353 h 2621503"/>
            <a:gd name="connsiteX3" fmla="*/ 5334000 w 5334000"/>
            <a:gd name="connsiteY3" fmla="*/ 2564353 h 26215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334000" h="2621503">
              <a:moveTo>
                <a:pt x="0" y="2621503"/>
              </a:moveTo>
              <a:cubicBezTo>
                <a:pt x="528637" y="1348328"/>
                <a:pt x="1057275" y="75153"/>
                <a:pt x="1685925" y="2128"/>
              </a:cubicBezTo>
              <a:cubicBezTo>
                <a:pt x="2314575" y="-70897"/>
                <a:pt x="3163888" y="1756316"/>
                <a:pt x="3771900" y="2183353"/>
              </a:cubicBezTo>
              <a:cubicBezTo>
                <a:pt x="4379912" y="2610390"/>
                <a:pt x="4856956" y="2587371"/>
                <a:pt x="5334000" y="2564353"/>
              </a:cubicBezTo>
            </a:path>
          </a:pathLst>
        </a:custGeom>
        <a:noFill/>
        <a:ln w="2857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15</xdr:col>
      <xdr:colOff>57150</xdr:colOff>
      <xdr:row>8</xdr:row>
      <xdr:rowOff>142875</xdr:rowOff>
    </xdr:from>
    <xdr:ext cx="2343150" cy="968983"/>
    <xdr:sp macro="" textlink="">
      <xdr:nvSpPr>
        <xdr:cNvPr id="3" name="CaixaDeTexto 2"/>
        <xdr:cNvSpPr txBox="1"/>
      </xdr:nvSpPr>
      <xdr:spPr>
        <a:xfrm>
          <a:off x="9963150" y="1666875"/>
          <a:ext cx="2343150" cy="96898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/>
            <a:t>Problema de "cauda longa": a distribuição Normal</a:t>
          </a:r>
          <a:r>
            <a:rPr lang="pt-BR" sz="1400" b="1" baseline="0"/>
            <a:t> não deve ser usada para análise de chuvas extremas </a:t>
          </a:r>
          <a:endParaRPr lang="pt-BR" sz="1400" b="1"/>
        </a:p>
      </xdr:txBody>
    </xdr:sp>
    <xdr:clientData/>
  </xdr:oneCellAnchor>
  <xdr:twoCellAnchor>
    <xdr:from>
      <xdr:col>14</xdr:col>
      <xdr:colOff>537576</xdr:colOff>
      <xdr:row>14</xdr:row>
      <xdr:rowOff>85329</xdr:rowOff>
    </xdr:from>
    <xdr:to>
      <xdr:col>20</xdr:col>
      <xdr:colOff>198083</xdr:colOff>
      <xdr:row>15</xdr:row>
      <xdr:rowOff>142479</xdr:rowOff>
    </xdr:to>
    <xdr:sp macro="" textlink="">
      <xdr:nvSpPr>
        <xdr:cNvPr id="6" name="Chave Direita 5"/>
        <xdr:cNvSpPr/>
      </xdr:nvSpPr>
      <xdr:spPr>
        <a:xfrm rot="16975112">
          <a:off x="10454805" y="2131500"/>
          <a:ext cx="247650" cy="1489307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3</xdr:row>
      <xdr:rowOff>66675</xdr:rowOff>
    </xdr:from>
    <xdr:to>
      <xdr:col>18</xdr:col>
      <xdr:colOff>123825</xdr:colOff>
      <xdr:row>20</xdr:row>
      <xdr:rowOff>95250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742950"/>
          <a:ext cx="4933950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200025</xdr:colOff>
      <xdr:row>22</xdr:row>
      <xdr:rowOff>142875</xdr:rowOff>
    </xdr:from>
    <xdr:to>
      <xdr:col>20</xdr:col>
      <xdr:colOff>361950</xdr:colOff>
      <xdr:row>41</xdr:row>
      <xdr:rowOff>180975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211230</xdr:colOff>
      <xdr:row>2</xdr:row>
      <xdr:rowOff>49866</xdr:rowOff>
    </xdr:from>
    <xdr:ext cx="23756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/>
            <xdr:cNvSpPr txBox="1"/>
          </xdr:nvSpPr>
          <xdr:spPr>
            <a:xfrm flipH="1">
              <a:off x="820830" y="430866"/>
              <a:ext cx="23756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6" name="CaixaDeTexto 5"/>
            <xdr:cNvSpPr txBox="1"/>
          </xdr:nvSpPr>
          <xdr:spPr>
            <a:xfrm flipH="1">
              <a:off x="820830" y="430866"/>
              <a:ext cx="23756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spAutoFit/>
            </a:bodyPr>
            <a:lstStyle/>
            <a:p>
              <a:pPr/>
              <a:r>
                <a:rPr lang="pt-BR" sz="1400" b="1" i="0">
                  <a:latin typeface="Cambria Math" panose="02040503050406030204" pitchFamily="18" charset="0"/>
                </a:rPr>
                <a:t>𝒙 ̅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1</xdr:col>
      <xdr:colOff>253251</xdr:colOff>
      <xdr:row>5</xdr:row>
      <xdr:rowOff>20169</xdr:rowOff>
    </xdr:from>
    <xdr:ext cx="3630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/>
            <xdr:cNvSpPr txBox="1"/>
          </xdr:nvSpPr>
          <xdr:spPr>
            <a:xfrm flipH="1">
              <a:off x="862851" y="1582269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 flipH="1">
              <a:off x="862851" y="1582269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𝒙 ̅</a:t>
              </a:r>
              <a:r>
                <a:rPr lang="pt-B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1</xdr:col>
      <xdr:colOff>259975</xdr:colOff>
      <xdr:row>6</xdr:row>
      <xdr:rowOff>15687</xdr:rowOff>
    </xdr:from>
    <xdr:ext cx="3630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/>
            <xdr:cNvSpPr txBox="1"/>
          </xdr:nvSpPr>
          <xdr:spPr>
            <a:xfrm flipH="1">
              <a:off x="869575" y="1806387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𝒔</m:t>
                    </m:r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 flipH="1">
              <a:off x="869575" y="1806387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𝒔</a:t>
              </a:r>
              <a:r>
                <a:rPr lang="pt-B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0</xdr:col>
      <xdr:colOff>533401</xdr:colOff>
      <xdr:row>8</xdr:row>
      <xdr:rowOff>0</xdr:rowOff>
    </xdr:from>
    <xdr:ext cx="3886200" cy="530658"/>
    <xdr:sp macro="" textlink="">
      <xdr:nvSpPr>
        <xdr:cNvPr id="9" name="CaixaDeTexto 8"/>
        <xdr:cNvSpPr txBox="1"/>
      </xdr:nvSpPr>
      <xdr:spPr>
        <a:xfrm>
          <a:off x="533401" y="1724025"/>
          <a:ext cx="3886200" cy="5306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/>
            <a:t>A distribuição de Gumbel emprega uma </a:t>
          </a:r>
          <a:r>
            <a:rPr lang="pt-BR" sz="1400">
              <a:solidFill>
                <a:schemeClr val="tx1"/>
              </a:solidFill>
              <a:latin typeface="+mn-lt"/>
              <a:ea typeface="+mn-ea"/>
              <a:cs typeface="+mn-cs"/>
            </a:rPr>
            <a:t>variável chamada "y" , similar à variável "z" da Normal </a:t>
          </a:r>
          <a:endParaRPr lang="pt-BR" sz="1400" b="1"/>
        </a:p>
      </xdr:txBody>
    </xdr:sp>
    <xdr:clientData/>
  </xdr:oneCellAnchor>
  <xdr:twoCellAnchor>
    <xdr:from>
      <xdr:col>1</xdr:col>
      <xdr:colOff>57150</xdr:colOff>
      <xdr:row>12</xdr:row>
      <xdr:rowOff>180975</xdr:rowOff>
    </xdr:from>
    <xdr:to>
      <xdr:col>2</xdr:col>
      <xdr:colOff>376518</xdr:colOff>
      <xdr:row>15</xdr:row>
      <xdr:rowOff>133351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/>
            <xdr:cNvSpPr txBox="1"/>
          </xdr:nvSpPr>
          <xdr:spPr>
            <a:xfrm>
              <a:off x="666750" y="2667000"/>
              <a:ext cx="928968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den>
                    </m:f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666750" y="2667000"/>
              <a:ext cx="928968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𝑦=(𝑋−</a:t>
              </a:r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𝜇)/𝛼</a:t>
              </a:r>
              <a:endParaRPr lang="pt-BR" sz="1400"/>
            </a:p>
          </xdr:txBody>
        </xdr:sp>
      </mc:Fallback>
    </mc:AlternateContent>
    <xdr:clientData/>
  </xdr:twoCellAnchor>
  <xdr:twoCellAnchor>
    <xdr:from>
      <xdr:col>3</xdr:col>
      <xdr:colOff>485775</xdr:colOff>
      <xdr:row>14</xdr:row>
      <xdr:rowOff>85725</xdr:rowOff>
    </xdr:from>
    <xdr:to>
      <xdr:col>5</xdr:col>
      <xdr:colOff>195543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/>
            <xdr:cNvSpPr txBox="1"/>
          </xdr:nvSpPr>
          <xdr:spPr>
            <a:xfrm>
              <a:off x="2314575" y="2952750"/>
              <a:ext cx="928968" cy="3619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pt-BR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𝛼</m:t>
                  </m:r>
                  <m:r>
                    <a:rPr lang="pt-BR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400"/>
                <a:t>0,78 s</a:t>
              </a:r>
            </a:p>
          </xdr:txBody>
        </xdr:sp>
      </mc:Choice>
      <mc:Fallback xmlns="">
        <xdr:sp macro="" textlink="">
          <xdr:nvSpPr>
            <xdr:cNvPr id="11" name="CaixaDeTexto 10"/>
            <xdr:cNvSpPr txBox="1"/>
          </xdr:nvSpPr>
          <xdr:spPr>
            <a:xfrm>
              <a:off x="2314575" y="2952750"/>
              <a:ext cx="928968" cy="3619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pt-BR" sz="1400" b="0" i="0">
                  <a:latin typeface="Cambria Math" panose="02040503050406030204" pitchFamily="18" charset="0"/>
                </a:rPr>
                <a:t>=</a:t>
              </a:r>
              <a:r>
                <a:rPr lang="pt-BR" sz="1400"/>
                <a:t>0,78 s</a:t>
              </a:r>
            </a:p>
          </xdr:txBody>
        </xdr:sp>
      </mc:Fallback>
    </mc:AlternateContent>
    <xdr:clientData/>
  </xdr:twoCellAnchor>
  <xdr:twoCellAnchor>
    <xdr:from>
      <xdr:col>3</xdr:col>
      <xdr:colOff>514349</xdr:colOff>
      <xdr:row>11</xdr:row>
      <xdr:rowOff>171450</xdr:rowOff>
    </xdr:from>
    <xdr:to>
      <xdr:col>6</xdr:col>
      <xdr:colOff>200025</xdr:colOff>
      <xdr:row>13</xdr:row>
      <xdr:rowOff>152400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/>
            <xdr:cNvSpPr txBox="1"/>
          </xdr:nvSpPr>
          <xdr:spPr>
            <a:xfrm>
              <a:off x="2343149" y="2466975"/>
              <a:ext cx="1514476" cy="3619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pt-B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pt-BR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−0,5772 </m:t>
                    </m:r>
                    <m:r>
                      <a:rPr lang="pt-BR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12" name="CaixaDeTexto 11"/>
            <xdr:cNvSpPr txBox="1"/>
          </xdr:nvSpPr>
          <xdr:spPr>
            <a:xfrm>
              <a:off x="2343149" y="2466975"/>
              <a:ext cx="1514476" cy="3619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pt-BR" sz="1400" b="0" i="0">
                  <a:latin typeface="Cambria Math" panose="02040503050406030204" pitchFamily="18" charset="0"/>
                </a:rPr>
                <a:t>=</a:t>
              </a:r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 ̅−0,5772 𝛼</a:t>
              </a:r>
              <a:endParaRPr lang="pt-BR" sz="1400"/>
            </a:p>
          </xdr:txBody>
        </xdr:sp>
      </mc:Fallback>
    </mc:AlternateContent>
    <xdr:clientData/>
  </xdr:twoCellAnchor>
  <xdr:twoCellAnchor>
    <xdr:from>
      <xdr:col>2</xdr:col>
      <xdr:colOff>323850</xdr:colOff>
      <xdr:row>15</xdr:row>
      <xdr:rowOff>19051</xdr:rowOff>
    </xdr:from>
    <xdr:to>
      <xdr:col>3</xdr:col>
      <xdr:colOff>485775</xdr:colOff>
      <xdr:row>15</xdr:row>
      <xdr:rowOff>76200</xdr:rowOff>
    </xdr:to>
    <xdr:cxnSp macro="">
      <xdr:nvCxnSpPr>
        <xdr:cNvPr id="14" name="Conector de Seta Reta 13"/>
        <xdr:cNvCxnSpPr>
          <a:endCxn id="11" idx="1"/>
        </xdr:cNvCxnSpPr>
      </xdr:nvCxnSpPr>
      <xdr:spPr>
        <a:xfrm>
          <a:off x="1543050" y="3076576"/>
          <a:ext cx="771525" cy="571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12</xdr:row>
      <xdr:rowOff>161925</xdr:rowOff>
    </xdr:from>
    <xdr:to>
      <xdr:col>3</xdr:col>
      <xdr:colOff>514349</xdr:colOff>
      <xdr:row>13</xdr:row>
      <xdr:rowOff>123825</xdr:rowOff>
    </xdr:to>
    <xdr:cxnSp macro="">
      <xdr:nvCxnSpPr>
        <xdr:cNvPr id="18" name="Conector de Seta Reta 17"/>
        <xdr:cNvCxnSpPr>
          <a:endCxn id="12" idx="1"/>
        </xdr:cNvCxnSpPr>
      </xdr:nvCxnSpPr>
      <xdr:spPr>
        <a:xfrm flipV="1">
          <a:off x="1647825" y="2647950"/>
          <a:ext cx="695324" cy="1524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47625</xdr:colOff>
      <xdr:row>26</xdr:row>
      <xdr:rowOff>47625</xdr:rowOff>
    </xdr:from>
    <xdr:ext cx="5229225" cy="2411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aixaDeTexto 20"/>
            <xdr:cNvSpPr txBox="1"/>
          </xdr:nvSpPr>
          <xdr:spPr>
            <a:xfrm>
              <a:off x="47625" y="5200650"/>
              <a:ext cx="5229225" cy="2411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𝑿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𝟏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−</m:t>
                    </m:r>
                    <m:sSup>
                      <m:sSupPr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t-BR" sz="1400" b="1" i="1">
                                <a:latin typeface="Cambria Math" panose="02040503050406030204" pitchFamily="18" charset="0"/>
                              </a:rPr>
                              <m:t>𝒚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21" name="CaixaDeTexto 20"/>
            <xdr:cNvSpPr txBox="1"/>
          </xdr:nvSpPr>
          <xdr:spPr>
            <a:xfrm>
              <a:off x="47625" y="5200650"/>
              <a:ext cx="5229225" cy="2411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4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 &gt;𝑿=𝟏 −𝒆^(〖−𝒆〗^(−𝒚) )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0</xdr:col>
      <xdr:colOff>523876</xdr:colOff>
      <xdr:row>22</xdr:row>
      <xdr:rowOff>0</xdr:rowOff>
    </xdr:from>
    <xdr:ext cx="3886200" cy="530658"/>
    <xdr:sp macro="" textlink="">
      <xdr:nvSpPr>
        <xdr:cNvPr id="22" name="CaixaDeTexto 21"/>
        <xdr:cNvSpPr txBox="1"/>
      </xdr:nvSpPr>
      <xdr:spPr>
        <a:xfrm>
          <a:off x="523876" y="4391025"/>
          <a:ext cx="3886200" cy="5306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400"/>
            <a:t>A probabilidade da precipitação</a:t>
          </a:r>
          <a:r>
            <a:rPr lang="pt-BR" sz="1400" baseline="0"/>
            <a:t> ser maior do que um valor dado fica:</a:t>
          </a:r>
          <a:endParaRPr lang="pt-BR" sz="1400" b="1"/>
        </a:p>
      </xdr:txBody>
    </xdr:sp>
    <xdr:clientData/>
  </xdr:oneCellAnchor>
  <xdr:oneCellAnchor>
    <xdr:from>
      <xdr:col>0</xdr:col>
      <xdr:colOff>542925</xdr:colOff>
      <xdr:row>28</xdr:row>
      <xdr:rowOff>57150</xdr:rowOff>
    </xdr:from>
    <xdr:ext cx="3886200" cy="530658"/>
    <xdr:sp macro="" textlink="">
      <xdr:nvSpPr>
        <xdr:cNvPr id="23" name="CaixaDeTexto 22"/>
        <xdr:cNvSpPr txBox="1"/>
      </xdr:nvSpPr>
      <xdr:spPr>
        <a:xfrm>
          <a:off x="542925" y="5591175"/>
          <a:ext cx="3886200" cy="5306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1400" b="0"/>
            <a:t>Como</a:t>
          </a:r>
          <a:r>
            <a:rPr lang="pt-BR" sz="1400" b="0" baseline="0"/>
            <a:t> a equação pode ser resolvida para todo </a:t>
          </a:r>
          <a:r>
            <a:rPr lang="pt-BR" sz="1400" b="1" baseline="0"/>
            <a:t>y</a:t>
          </a:r>
          <a:r>
            <a:rPr lang="pt-BR" sz="1400" b="0" baseline="0"/>
            <a:t>, não há necessidade de tabelas.</a:t>
          </a:r>
          <a:endParaRPr lang="pt-BR" sz="1400" b="1"/>
        </a:p>
      </xdr:txBody>
    </xdr:sp>
    <xdr:clientData/>
  </xdr:oneCellAnchor>
  <xdr:oneCellAnchor>
    <xdr:from>
      <xdr:col>1</xdr:col>
      <xdr:colOff>19050</xdr:colOff>
      <xdr:row>34</xdr:row>
      <xdr:rowOff>28575</xdr:rowOff>
    </xdr:from>
    <xdr:ext cx="389407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aixaDeTexto 23"/>
            <xdr:cNvSpPr txBox="1"/>
          </xdr:nvSpPr>
          <xdr:spPr>
            <a:xfrm>
              <a:off x="628650" y="2409825"/>
              <a:ext cx="389407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2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𝟑𝟎𝟎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𝒎𝒎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?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24" name="CaixaDeTexto 23"/>
            <xdr:cNvSpPr txBox="1"/>
          </xdr:nvSpPr>
          <xdr:spPr>
            <a:xfrm>
              <a:off x="628650" y="2409825"/>
              <a:ext cx="389407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2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 &gt;</a:t>
              </a:r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𝟑𝟎𝟎 𝒎𝒎?</a:t>
              </a:r>
              <a:endParaRPr lang="pt-BR" sz="1200" b="1"/>
            </a:p>
          </xdr:txBody>
        </xdr:sp>
      </mc:Fallback>
    </mc:AlternateContent>
    <xdr:clientData/>
  </xdr:oneCellAnchor>
  <xdr:twoCellAnchor>
    <xdr:from>
      <xdr:col>1</xdr:col>
      <xdr:colOff>0</xdr:colOff>
      <xdr:row>36</xdr:row>
      <xdr:rowOff>0</xdr:rowOff>
    </xdr:from>
    <xdr:to>
      <xdr:col>2</xdr:col>
      <xdr:colOff>319368</xdr:colOff>
      <xdr:row>38</xdr:row>
      <xdr:rowOff>142876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aixaDeTexto 24"/>
            <xdr:cNvSpPr txBox="1"/>
          </xdr:nvSpPr>
          <xdr:spPr>
            <a:xfrm>
              <a:off x="609600" y="7143750"/>
              <a:ext cx="928968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den>
                    </m:f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5" name="CaixaDeTexto 24"/>
            <xdr:cNvSpPr txBox="1"/>
          </xdr:nvSpPr>
          <xdr:spPr>
            <a:xfrm>
              <a:off x="609600" y="7143750"/>
              <a:ext cx="928968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𝑦=(𝑋−</a:t>
              </a:r>
              <a:r>
                <a:rPr lang="pt-B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𝜇)/𝛼</a:t>
              </a:r>
              <a:endParaRPr lang="pt-BR" sz="1400"/>
            </a:p>
          </xdr:txBody>
        </xdr:sp>
      </mc:Fallback>
    </mc:AlternateContent>
    <xdr:clientData/>
  </xdr:twoCellAnchor>
  <xdr:twoCellAnchor>
    <xdr:from>
      <xdr:col>3</xdr:col>
      <xdr:colOff>95249</xdr:colOff>
      <xdr:row>36</xdr:row>
      <xdr:rowOff>19050</xdr:rowOff>
    </xdr:from>
    <xdr:to>
      <xdr:col>6</xdr:col>
      <xdr:colOff>76200</xdr:colOff>
      <xdr:row>38</xdr:row>
      <xdr:rowOff>161926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aixaDeTexto 25"/>
            <xdr:cNvSpPr txBox="1"/>
          </xdr:nvSpPr>
          <xdr:spPr>
            <a:xfrm>
              <a:off x="1924049" y="7162800"/>
              <a:ext cx="1809751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pt-BR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300−110,491</m:t>
                        </m:r>
                      </m:num>
                      <m:den>
                        <m:r>
                          <a:rPr lang="pt-BR" sz="1400" b="0" i="1">
                            <a:latin typeface="Cambria Math" panose="02040503050406030204" pitchFamily="18" charset="0"/>
                          </a:rPr>
                          <m:t>50,778</m:t>
                        </m:r>
                      </m:den>
                    </m:f>
                  </m:oMath>
                </m:oMathPara>
              </a14:m>
              <a:endParaRPr lang="pt-BR" sz="1400"/>
            </a:p>
          </xdr:txBody>
        </xdr:sp>
      </mc:Choice>
      <mc:Fallback xmlns="">
        <xdr:sp macro="" textlink="">
          <xdr:nvSpPr>
            <xdr:cNvPr id="26" name="CaixaDeTexto 25"/>
            <xdr:cNvSpPr txBox="1"/>
          </xdr:nvSpPr>
          <xdr:spPr>
            <a:xfrm>
              <a:off x="1924049" y="7162800"/>
              <a:ext cx="1809751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𝑦=(300−110,491)/50,778</a:t>
              </a:r>
              <a:endParaRPr lang="pt-BR" sz="1400"/>
            </a:p>
          </xdr:txBody>
        </xdr:sp>
      </mc:Fallback>
    </mc:AlternateContent>
    <xdr:clientData/>
  </xdr:twoCellAnchor>
  <xdr:twoCellAnchor>
    <xdr:from>
      <xdr:col>6</xdr:col>
      <xdr:colOff>390525</xdr:colOff>
      <xdr:row>35</xdr:row>
      <xdr:rowOff>152400</xdr:rowOff>
    </xdr:from>
    <xdr:to>
      <xdr:col>7</xdr:col>
      <xdr:colOff>600075</xdr:colOff>
      <xdr:row>38</xdr:row>
      <xdr:rowOff>104776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aixaDeTexto 26"/>
            <xdr:cNvSpPr txBox="1"/>
          </xdr:nvSpPr>
          <xdr:spPr>
            <a:xfrm>
              <a:off x="4048125" y="7105650"/>
              <a:ext cx="819150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14:m>
                <m:oMath xmlns:m="http://schemas.openxmlformats.org/officeDocument/2006/math">
                  <m:r>
                    <a:rPr lang="pt-BR" sz="1400" b="0" i="1">
                      <a:latin typeface="Cambria Math" panose="02040503050406030204" pitchFamily="18" charset="0"/>
                    </a:rPr>
                    <m:t>𝑦</m:t>
                  </m:r>
                  <m:r>
                    <a:rPr lang="pt-BR" sz="14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400"/>
                <a:t>3,732</a:t>
              </a:r>
            </a:p>
          </xdr:txBody>
        </xdr:sp>
      </mc:Choice>
      <mc:Fallback xmlns="">
        <xdr:sp macro="" textlink="">
          <xdr:nvSpPr>
            <xdr:cNvPr id="27" name="CaixaDeTexto 26"/>
            <xdr:cNvSpPr txBox="1"/>
          </xdr:nvSpPr>
          <xdr:spPr>
            <a:xfrm>
              <a:off x="4048125" y="7105650"/>
              <a:ext cx="819150" cy="523876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400" b="0" i="0">
                  <a:latin typeface="Cambria Math" panose="02040503050406030204" pitchFamily="18" charset="0"/>
                </a:rPr>
                <a:t>𝑦=</a:t>
              </a:r>
              <a:r>
                <a:rPr lang="pt-BR" sz="1400"/>
                <a:t>3,732</a:t>
              </a:r>
            </a:p>
          </xdr:txBody>
        </xdr:sp>
      </mc:Fallback>
    </mc:AlternateContent>
    <xdr:clientData/>
  </xdr:twoCellAnchor>
  <xdr:oneCellAnchor>
    <xdr:from>
      <xdr:col>0</xdr:col>
      <xdr:colOff>466725</xdr:colOff>
      <xdr:row>43</xdr:row>
      <xdr:rowOff>19050</xdr:rowOff>
    </xdr:from>
    <xdr:ext cx="5991225" cy="2607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CaixaDeTexto 27"/>
            <xdr:cNvSpPr txBox="1"/>
          </xdr:nvSpPr>
          <xdr:spPr>
            <a:xfrm>
              <a:off x="466725" y="8496300"/>
              <a:ext cx="5991225" cy="2607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𝑷𝒓𝒐𝒃𝒂𝒃𝒊𝒍𝒊𝒅𝒂𝒅𝒆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𝒅𝒂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𝒑𝒓𝒆𝒄𝒊𝒑𝒊𝒕𝒂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𝒐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𝒐𝒖𝒕𝒖𝒃𝒓𝒐</m:t>
                    </m:r>
                    <m:r>
                      <a:rPr lang="pt-BR" sz="1400" b="1" i="1">
                        <a:latin typeface="Cambria Math" panose="02040503050406030204" pitchFamily="18" charset="0"/>
                      </a:rPr>
                      <m:t> &gt;</m:t>
                    </m:r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𝟑𝟎𝟎</m:t>
                    </m:r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𝒎𝒎</m:t>
                    </m:r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sSup>
                      <m:sSupPr>
                        <m:ctrlPr>
                          <a:rPr lang="pt-BR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𝟕𝟑𝟐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28" name="CaixaDeTexto 27"/>
            <xdr:cNvSpPr txBox="1"/>
          </xdr:nvSpPr>
          <xdr:spPr>
            <a:xfrm>
              <a:off x="466725" y="8496300"/>
              <a:ext cx="5991225" cy="2607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400" b="1" i="0">
                  <a:latin typeface="Cambria Math" panose="02040503050406030204" pitchFamily="18" charset="0"/>
                </a:rPr>
                <a:t>𝑷𝒓𝒐𝒃𝒂𝒃𝒊𝒍𝒊𝒅𝒂𝒅𝒆 𝒅𝒂 𝒑𝒓𝒆𝒄𝒊𝒑𝒊𝒕𝒂çã𝒐 𝒐𝒖𝒕𝒖𝒃𝒓𝒐 &gt;</a:t>
              </a:r>
              <a:r>
                <a:rPr lang="pt-B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𝟑𝟎𝟎 𝒎𝒎=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 −𝒆^(〖−𝒆〗^(−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𝟑,𝟕𝟑𝟐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)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0</xdr:col>
      <xdr:colOff>457200</xdr:colOff>
      <xdr:row>44</xdr:row>
      <xdr:rowOff>152400</xdr:rowOff>
    </xdr:from>
    <xdr:ext cx="230505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aixaDeTexto 28"/>
            <xdr:cNvSpPr txBox="1"/>
          </xdr:nvSpPr>
          <xdr:spPr>
            <a:xfrm>
              <a:off x="457200" y="8820150"/>
              <a:ext cx="230505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sSup>
                      <m:sSupPr>
                        <m:ctrlPr>
                          <a:rPr lang="pt-BR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pt-BR" sz="14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𝟕𝟑𝟐</m:t>
                            </m:r>
                          </m:sup>
                        </m:sSup>
                      </m:sup>
                    </m:sSup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≈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r>
                      <a:rPr lang="pt-BR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𝟎𝟐𝟒</m:t>
                    </m:r>
                  </m:oMath>
                </m:oMathPara>
              </a14:m>
              <a:endParaRPr lang="pt-BR" sz="1400" b="1"/>
            </a:p>
            <a:p>
              <a:endParaRPr lang="pt-BR" sz="1400" b="1"/>
            </a:p>
          </xdr:txBody>
        </xdr:sp>
      </mc:Choice>
      <mc:Fallback xmlns="">
        <xdr:sp macro="" textlink="">
          <xdr:nvSpPr>
            <xdr:cNvPr id="29" name="CaixaDeTexto 28"/>
            <xdr:cNvSpPr txBox="1"/>
          </xdr:nvSpPr>
          <xdr:spPr>
            <a:xfrm>
              <a:off x="457200" y="8820150"/>
              <a:ext cx="230505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 −𝒆^(〖−𝒆〗^(−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𝟑,𝟕𝟑𝟐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)</a:t>
              </a:r>
              <a:r>
                <a:rPr lang="pt-B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≈𝟎,𝟎𝟐𝟒</a:t>
              </a:r>
              <a:endParaRPr lang="pt-BR" sz="1400" b="1"/>
            </a:p>
            <a:p>
              <a:pPr/>
              <a:endParaRPr lang="pt-BR" sz="1400" b="1"/>
            </a:p>
          </xdr:txBody>
        </xdr:sp>
      </mc:Fallback>
    </mc:AlternateContent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0.11771</cdr:x>
      <cdr:y>0.15451</cdr:y>
    </cdr:from>
    <cdr:to>
      <cdr:x>0.97007</cdr:x>
      <cdr:y>0.87124</cdr:y>
    </cdr:to>
    <cdr:sp macro="" textlink="">
      <cdr:nvSpPr>
        <cdr:cNvPr id="2" name="Forma Livre 1"/>
        <cdr:cNvSpPr/>
      </cdr:nvSpPr>
      <cdr:spPr>
        <a:xfrm xmlns:a="http://schemas.openxmlformats.org/drawingml/2006/main">
          <a:off x="736600" y="565150"/>
          <a:ext cx="5334000" cy="2621503"/>
        </a:xfrm>
        <a:custGeom xmlns:a="http://schemas.openxmlformats.org/drawingml/2006/main">
          <a:avLst/>
          <a:gdLst>
            <a:gd name="connsiteX0" fmla="*/ 0 w 5334000"/>
            <a:gd name="connsiteY0" fmla="*/ 2621503 h 2621503"/>
            <a:gd name="connsiteX1" fmla="*/ 1685925 w 5334000"/>
            <a:gd name="connsiteY1" fmla="*/ 2128 h 2621503"/>
            <a:gd name="connsiteX2" fmla="*/ 3771900 w 5334000"/>
            <a:gd name="connsiteY2" fmla="*/ 2183353 h 2621503"/>
            <a:gd name="connsiteX3" fmla="*/ 5334000 w 5334000"/>
            <a:gd name="connsiteY3" fmla="*/ 2564353 h 26215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334000" h="2621503">
              <a:moveTo>
                <a:pt x="0" y="2621503"/>
              </a:moveTo>
              <a:cubicBezTo>
                <a:pt x="528637" y="1348328"/>
                <a:pt x="1057275" y="75153"/>
                <a:pt x="1685925" y="2128"/>
              </a:cubicBezTo>
              <a:cubicBezTo>
                <a:pt x="2314575" y="-70897"/>
                <a:pt x="3163888" y="1756316"/>
                <a:pt x="3771900" y="2183353"/>
              </a:cubicBezTo>
              <a:cubicBezTo>
                <a:pt x="4379912" y="2610390"/>
                <a:pt x="4856956" y="2587371"/>
                <a:pt x="5334000" y="2564353"/>
              </a:cubicBezTo>
            </a:path>
          </a:pathLst>
        </a:custGeom>
        <a:noFill xmlns:a="http://schemas.openxmlformats.org/drawingml/2006/main"/>
        <a:ln xmlns:a="http://schemas.openxmlformats.org/drawingml/2006/main" w="28575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>
            <a:solidFill>
              <a:sysClr val="windowText" lastClr="000000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152399</xdr:colOff>
      <xdr:row>5</xdr:row>
      <xdr:rowOff>180975</xdr:rowOff>
    </xdr:from>
    <xdr:ext cx="2790825" cy="781240"/>
    <xdr:sp macro="" textlink="">
      <xdr:nvSpPr>
        <xdr:cNvPr id="2" name="CaixaDeTexto 1"/>
        <xdr:cNvSpPr txBox="1"/>
      </xdr:nvSpPr>
      <xdr:spPr>
        <a:xfrm>
          <a:off x="7086599" y="1228725"/>
          <a:ext cx="2790825" cy="78124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Problema de "cauda longa": a distribuição Normal</a:t>
          </a:r>
          <a:r>
            <a:rPr lang="pt-BR" sz="1100" b="1" baseline="0"/>
            <a:t> deve ser evitada para análise de chuvas extremas, pois torna extremamente raras ocorrências bastante plausíveis </a:t>
          </a:r>
          <a:endParaRPr lang="pt-BR" sz="1100" b="1"/>
        </a:p>
      </xdr:txBody>
    </xdr:sp>
    <xdr:clientData/>
  </xdr:oneCellAnchor>
  <xdr:oneCellAnchor>
    <xdr:from>
      <xdr:col>0</xdr:col>
      <xdr:colOff>95251</xdr:colOff>
      <xdr:row>9</xdr:row>
      <xdr:rowOff>104775</xdr:rowOff>
    </xdr:from>
    <xdr:ext cx="156210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/>
            <xdr:cNvSpPr txBox="1"/>
          </xdr:nvSpPr>
          <xdr:spPr>
            <a:xfrm>
              <a:off x="95251" y="1914525"/>
              <a:ext cx="156210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𝑷</m:t>
                        </m:r>
                      </m:e>
                      <m:sub>
                        <m:r>
                          <a:rPr lang="pt-BR" sz="11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𝑮𝒖𝒎𝒃𝒆𝒍</m:t>
                        </m:r>
                      </m:sub>
                    </m:sSub>
                    <m:r>
                      <a:rPr lang="pt-BR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pt-BR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sSup>
                      <m:sSupPr>
                        <m:ctrlP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𝒚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pt-BR" sz="1100" b="1"/>
            </a:p>
            <a:p>
              <a:endParaRPr lang="pt-BR" sz="1100" b="1"/>
            </a:p>
            <a:p>
              <a:endParaRPr lang="pt-BR" sz="1100" b="1"/>
            </a:p>
          </xdr:txBody>
        </xdr:sp>
      </mc:Choice>
      <mc:Fallback xmlns="">
        <xdr:sp macro="" textlink="">
          <xdr:nvSpPr>
            <xdr:cNvPr id="3" name="CaixaDeTexto 2"/>
            <xdr:cNvSpPr txBox="1"/>
          </xdr:nvSpPr>
          <xdr:spPr>
            <a:xfrm>
              <a:off x="95251" y="1914525"/>
              <a:ext cx="156210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𝑷_𝑮𝒖𝒎𝒃𝒆𝒍=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 −𝒆^(〖−𝒆〗^(−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</a:t>
              </a:r>
              <a:r>
                <a:rPr lang="pt-BR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)</a:t>
              </a:r>
              <a:endParaRPr lang="pt-BR" sz="1100" b="1"/>
            </a:p>
            <a:p>
              <a:pPr/>
              <a:endParaRPr lang="pt-BR" sz="1100" b="1"/>
            </a:p>
            <a:p>
              <a:pPr/>
              <a:endParaRPr lang="pt-BR" sz="1100" b="1"/>
            </a:p>
          </xdr:txBody>
        </xdr:sp>
      </mc:Fallback>
    </mc:AlternateContent>
    <xdr:clientData/>
  </xdr:oneCellAnchor>
  <xdr:oneCellAnchor>
    <xdr:from>
      <xdr:col>7</xdr:col>
      <xdr:colOff>171449</xdr:colOff>
      <xdr:row>13</xdr:row>
      <xdr:rowOff>9525</xdr:rowOff>
    </xdr:from>
    <xdr:ext cx="3752851" cy="953466"/>
    <xdr:sp macro="" textlink="">
      <xdr:nvSpPr>
        <xdr:cNvPr id="4" name="CaixaDeTexto 3"/>
        <xdr:cNvSpPr txBox="1"/>
      </xdr:nvSpPr>
      <xdr:spPr>
        <a:xfrm>
          <a:off x="7105649" y="2581275"/>
          <a:ext cx="3752851" cy="953466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 b="1"/>
            <a:t>Em</a:t>
          </a:r>
          <a:r>
            <a:rPr lang="pt-BR" sz="1100" b="1" baseline="0"/>
            <a:t> comparação com a distribuição Normal, Gumbel fornece valores de probabilidade e tempo de retorno muito similares para limites de chuva até 250 mm. Para limites mais elevados, Gumbel fornece probabilidades mais consistentes  e mais de acordo com a realidade</a:t>
          </a:r>
          <a:endParaRPr lang="pt-BR" sz="1100" b="1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11</xdr:row>
      <xdr:rowOff>142874</xdr:rowOff>
    </xdr:from>
    <xdr:to>
      <xdr:col>20</xdr:col>
      <xdr:colOff>457199</xdr:colOff>
      <xdr:row>31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723901</xdr:colOff>
      <xdr:row>15</xdr:row>
      <xdr:rowOff>66674</xdr:rowOff>
    </xdr:from>
    <xdr:to>
      <xdr:col>20</xdr:col>
      <xdr:colOff>219075</xdr:colOff>
      <xdr:row>27</xdr:row>
      <xdr:rowOff>152399</xdr:rowOff>
    </xdr:to>
    <xdr:sp macro="" textlink="">
      <xdr:nvSpPr>
        <xdr:cNvPr id="4" name="Forma Livre 3"/>
        <xdr:cNvSpPr/>
      </xdr:nvSpPr>
      <xdr:spPr>
        <a:xfrm>
          <a:off x="7372351" y="3133724"/>
          <a:ext cx="4543424" cy="2371725"/>
        </a:xfrm>
        <a:custGeom>
          <a:avLst/>
          <a:gdLst>
            <a:gd name="connsiteX0" fmla="*/ 0 w 5057775"/>
            <a:gd name="connsiteY0" fmla="*/ 2612630 h 2612630"/>
            <a:gd name="connsiteX1" fmla="*/ 1152525 w 5057775"/>
            <a:gd name="connsiteY1" fmla="*/ 2780 h 2612630"/>
            <a:gd name="connsiteX2" fmla="*/ 2809875 w 5057775"/>
            <a:gd name="connsiteY2" fmla="*/ 2117330 h 2612630"/>
            <a:gd name="connsiteX3" fmla="*/ 5057775 w 5057775"/>
            <a:gd name="connsiteY3" fmla="*/ 2507855 h 261263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57775" h="2612630">
              <a:moveTo>
                <a:pt x="0" y="2612630"/>
              </a:moveTo>
              <a:cubicBezTo>
                <a:pt x="342106" y="1348980"/>
                <a:pt x="684213" y="85330"/>
                <a:pt x="1152525" y="2780"/>
              </a:cubicBezTo>
              <a:cubicBezTo>
                <a:pt x="1620838" y="-79770"/>
                <a:pt x="2159000" y="1699818"/>
                <a:pt x="2809875" y="2117330"/>
              </a:cubicBezTo>
              <a:cubicBezTo>
                <a:pt x="3460750" y="2534842"/>
                <a:pt x="4259262" y="2521348"/>
                <a:pt x="5057775" y="2507855"/>
              </a:cubicBezTo>
            </a:path>
          </a:pathLst>
        </a:custGeom>
        <a:noFill/>
        <a:ln w="19050">
          <a:solidFill>
            <a:sysClr val="windowText" lastClr="0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0</xdr:col>
      <xdr:colOff>257175</xdr:colOff>
      <xdr:row>0</xdr:row>
      <xdr:rowOff>95250</xdr:rowOff>
    </xdr:from>
    <xdr:ext cx="1860638" cy="280205"/>
    <xdr:sp macro="" textlink="">
      <xdr:nvSpPr>
        <xdr:cNvPr id="5" name="CaixaDeTexto 4"/>
        <xdr:cNvSpPr txBox="1"/>
      </xdr:nvSpPr>
      <xdr:spPr>
        <a:xfrm>
          <a:off x="257175" y="95250"/>
          <a:ext cx="1860638" cy="28020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 b="1"/>
            <a:t>Dados Inmet Florianópolis</a:t>
          </a:r>
        </a:p>
      </xdr:txBody>
    </xdr:sp>
    <xdr:clientData/>
  </xdr:oneCellAnchor>
  <xdr:oneCellAnchor>
    <xdr:from>
      <xdr:col>0</xdr:col>
      <xdr:colOff>266700</xdr:colOff>
      <xdr:row>1</xdr:row>
      <xdr:rowOff>180975</xdr:rowOff>
    </xdr:from>
    <xdr:ext cx="3076575" cy="468077"/>
    <xdr:sp macro="" textlink="">
      <xdr:nvSpPr>
        <xdr:cNvPr id="6" name="CaixaDeTexto 5"/>
        <xdr:cNvSpPr txBox="1"/>
      </xdr:nvSpPr>
      <xdr:spPr>
        <a:xfrm>
          <a:off x="266700" y="561975"/>
          <a:ext cx="3076575" cy="4680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200" b="1"/>
            <a:t>A série</a:t>
          </a:r>
          <a:r>
            <a:rPr lang="pt-BR" sz="1200" b="1" baseline="0"/>
            <a:t> anual ao lado foi obtida extraíndo a máxima chuva mensal de cada ano da série</a:t>
          </a:r>
          <a:endParaRPr lang="pt-BR" sz="1200" b="1"/>
        </a:p>
      </xdr:txBody>
    </xdr:sp>
    <xdr:clientData/>
  </xdr:oneCellAnchor>
  <xdr:oneCellAnchor>
    <xdr:from>
      <xdr:col>3</xdr:col>
      <xdr:colOff>0</xdr:colOff>
      <xdr:row>7</xdr:row>
      <xdr:rowOff>0</xdr:rowOff>
    </xdr:from>
    <xdr:ext cx="3630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/>
            <xdr:cNvSpPr txBox="1"/>
          </xdr:nvSpPr>
          <xdr:spPr>
            <a:xfrm flipH="1">
              <a:off x="2143125" y="1543050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pt-B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7" name="CaixaDeTexto 6"/>
            <xdr:cNvSpPr txBox="1"/>
          </xdr:nvSpPr>
          <xdr:spPr>
            <a:xfrm flipH="1">
              <a:off x="2143125" y="1543050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𝒙 ̅</a:t>
              </a:r>
              <a:endParaRPr lang="pt-BR" sz="1400" b="1"/>
            </a:p>
          </xdr:txBody>
        </xdr:sp>
      </mc:Fallback>
    </mc:AlternateContent>
    <xdr:clientData/>
  </xdr:oneCellAnchor>
  <xdr:oneCellAnchor>
    <xdr:from>
      <xdr:col>2</xdr:col>
      <xdr:colOff>597274</xdr:colOff>
      <xdr:row>9</xdr:row>
      <xdr:rowOff>157443</xdr:rowOff>
    </xdr:from>
    <xdr:ext cx="36307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/>
            <xdr:cNvSpPr txBox="1"/>
          </xdr:nvSpPr>
          <xdr:spPr>
            <a:xfrm flipH="1">
              <a:off x="2130799" y="2081493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400" b="1" i="1">
                        <a:latin typeface="Cambria Math" panose="02040503050406030204" pitchFamily="18" charset="0"/>
                      </a:rPr>
                      <m:t>𝒔</m:t>
                    </m:r>
                  </m:oMath>
                </m:oMathPara>
              </a14:m>
              <a:endParaRPr lang="pt-BR" sz="1400" b="1"/>
            </a:p>
          </xdr:txBody>
        </xdr:sp>
      </mc:Choice>
      <mc:Fallback xmlns="">
        <xdr:sp macro="" textlink="">
          <xdr:nvSpPr>
            <xdr:cNvPr id="8" name="CaixaDeTexto 7"/>
            <xdr:cNvSpPr txBox="1"/>
          </xdr:nvSpPr>
          <xdr:spPr>
            <a:xfrm flipH="1">
              <a:off x="2130799" y="2081493"/>
              <a:ext cx="36307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400" b="1" i="0">
                  <a:latin typeface="Cambria Math" panose="02040503050406030204" pitchFamily="18" charset="0"/>
                </a:rPr>
                <a:t>𝒔</a:t>
              </a:r>
              <a:endParaRPr lang="pt-BR" sz="1400" b="1"/>
            </a:p>
          </xdr:txBody>
        </xdr:sp>
      </mc:Fallback>
    </mc:AlternateContent>
    <xdr:clientData/>
  </xdr:oneCellAnchor>
  <xdr:twoCellAnchor>
    <xdr:from>
      <xdr:col>2</xdr:col>
      <xdr:colOff>123825</xdr:colOff>
      <xdr:row>13</xdr:row>
      <xdr:rowOff>171450</xdr:rowOff>
    </xdr:from>
    <xdr:to>
      <xdr:col>3</xdr:col>
      <xdr:colOff>180975</xdr:colOff>
      <xdr:row>15</xdr:row>
      <xdr:rowOff>57150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/>
            <xdr:cNvSpPr txBox="1"/>
          </xdr:nvSpPr>
          <xdr:spPr>
            <a:xfrm>
              <a:off x="1657350" y="2857500"/>
              <a:ext cx="666750" cy="26670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l"/>
              <a14:m>
                <m:oMath xmlns:m="http://schemas.openxmlformats.org/officeDocument/2006/math">
                  <m:r>
                    <a:rPr lang="pt-BR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𝛼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100"/>
                <a:t>0,78 s</a:t>
              </a:r>
            </a:p>
          </xdr:txBody>
        </xdr:sp>
      </mc:Choice>
      <mc:Fallback xmlns="">
        <xdr:sp macro="" textlink="">
          <xdr:nvSpPr>
            <xdr:cNvPr id="9" name="CaixaDeTexto 8"/>
            <xdr:cNvSpPr txBox="1"/>
          </xdr:nvSpPr>
          <xdr:spPr>
            <a:xfrm>
              <a:off x="1657350" y="2857500"/>
              <a:ext cx="666750" cy="26670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l"/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pt-BR" sz="1100" b="0" i="0">
                  <a:latin typeface="Cambria Math" panose="02040503050406030204" pitchFamily="18" charset="0"/>
                </a:rPr>
                <a:t>=</a:t>
              </a:r>
              <a:r>
                <a:rPr lang="pt-BR" sz="1100"/>
                <a:t>0,78 s</a:t>
              </a:r>
            </a:p>
          </xdr:txBody>
        </xdr:sp>
      </mc:Fallback>
    </mc:AlternateContent>
    <xdr:clientData/>
  </xdr:twoCellAnchor>
  <xdr:twoCellAnchor>
    <xdr:from>
      <xdr:col>2</xdr:col>
      <xdr:colOff>123824</xdr:colOff>
      <xdr:row>12</xdr:row>
      <xdr:rowOff>161925</xdr:rowOff>
    </xdr:from>
    <xdr:to>
      <xdr:col>4</xdr:col>
      <xdr:colOff>47625</xdr:colOff>
      <xdr:row>14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/>
            <xdr:cNvSpPr txBox="1"/>
          </xdr:nvSpPr>
          <xdr:spPr>
            <a:xfrm>
              <a:off x="1657349" y="2657475"/>
              <a:ext cx="1143001" cy="2476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−0,5772 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0" name="CaixaDeTexto 9"/>
            <xdr:cNvSpPr txBox="1"/>
          </xdr:nvSpPr>
          <xdr:spPr>
            <a:xfrm>
              <a:off x="1657349" y="2657475"/>
              <a:ext cx="1143001" cy="2476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pt-BR" sz="1100" b="0" i="0">
                  <a:latin typeface="Cambria Math" panose="02040503050406030204" pitchFamily="18" charset="0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 ̅−0,5772 𝛼</a:t>
              </a:r>
              <a:endParaRPr lang="pt-BR" sz="1100"/>
            </a:p>
          </xdr:txBody>
        </xdr:sp>
      </mc:Fallback>
    </mc:AlternateContent>
    <xdr:clientData/>
  </xdr:twoCellAnchor>
  <xdr:twoCellAnchor>
    <xdr:from>
      <xdr:col>0</xdr:col>
      <xdr:colOff>676275</xdr:colOff>
      <xdr:row>15</xdr:row>
      <xdr:rowOff>95250</xdr:rowOff>
    </xdr:from>
    <xdr:to>
      <xdr:col>1</xdr:col>
      <xdr:colOff>533400</xdr:colOff>
      <xdr:row>17</xdr:row>
      <xdr:rowOff>114300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/>
            <xdr:cNvSpPr txBox="1"/>
          </xdr:nvSpPr>
          <xdr:spPr>
            <a:xfrm>
              <a:off x="676275" y="3162300"/>
              <a:ext cx="781050" cy="4000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3" name="CaixaDeTexto 12"/>
            <xdr:cNvSpPr txBox="1"/>
          </xdr:nvSpPr>
          <xdr:spPr>
            <a:xfrm>
              <a:off x="676275" y="3162300"/>
              <a:ext cx="781050" cy="40005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𝑦=(𝑋−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𝜇)/𝛼</a:t>
              </a:r>
              <a:endParaRPr lang="pt-BR" sz="1100"/>
            </a:p>
          </xdr:txBody>
        </xdr:sp>
      </mc:Fallback>
    </mc:AlternateContent>
    <xdr:clientData/>
  </xdr:twoCellAnchor>
  <xdr:oneCellAnchor>
    <xdr:from>
      <xdr:col>0</xdr:col>
      <xdr:colOff>552450</xdr:colOff>
      <xdr:row>18</xdr:row>
      <xdr:rowOff>57150</xdr:rowOff>
    </xdr:from>
    <xdr:ext cx="2276475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ixaDeTexto 13"/>
            <xdr:cNvSpPr txBox="1"/>
          </xdr:nvSpPr>
          <xdr:spPr>
            <a:xfrm>
              <a:off x="552450" y="3695700"/>
              <a:ext cx="2276475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𝑷𝒓𝒐𝒃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</m:e>
                      <m:sub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𝑮𝒖𝒎𝒃𝒆𝒍</m:t>
                        </m:r>
                      </m:sub>
                    </m:sSub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𝑿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sSup>
                      <m:sSupPr>
                        <m:ctrlPr>
                          <a:rPr lang="pt-B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𝒚</m:t>
                            </m:r>
                          </m:sup>
                        </m:sSup>
                      </m:sup>
                    </m:sSup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14" name="CaixaDeTexto 13"/>
            <xdr:cNvSpPr txBox="1"/>
          </xdr:nvSpPr>
          <xdr:spPr>
            <a:xfrm>
              <a:off x="552450" y="3695700"/>
              <a:ext cx="2276475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〖𝑷𝒓𝒐𝒃.〗_𝑮𝒖𝒎𝒃𝒆𝒍&gt;𝑿=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 −𝒆^(〖−𝒆〗^(−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𝒚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)</a:t>
              </a:r>
              <a:endParaRPr lang="pt-BR" sz="1200" b="1"/>
            </a:p>
          </xdr:txBody>
        </xdr:sp>
      </mc:Fallback>
    </mc:AlternateContent>
    <xdr:clientData/>
  </xdr:oneCellAnchor>
  <xdr:oneCellAnchor>
    <xdr:from>
      <xdr:col>0</xdr:col>
      <xdr:colOff>47624</xdr:colOff>
      <xdr:row>20</xdr:row>
      <xdr:rowOff>171450</xdr:rowOff>
    </xdr:from>
    <xdr:ext cx="3986493" cy="843693"/>
    <xdr:sp macro="" textlink="">
      <xdr:nvSpPr>
        <xdr:cNvPr id="15" name="CaixaDeTexto 14"/>
        <xdr:cNvSpPr txBox="1"/>
      </xdr:nvSpPr>
      <xdr:spPr>
        <a:xfrm>
          <a:off x="47624" y="4194362"/>
          <a:ext cx="3986493" cy="84369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/>
            <a:t>Qual a probabilidade de chover</a:t>
          </a:r>
          <a:r>
            <a:rPr lang="pt-BR" sz="1600" b="1" baseline="0"/>
            <a:t> mais do que 300 mm em Florianópolis em um mês qualquer?</a:t>
          </a:r>
          <a:endParaRPr lang="pt-BR" sz="1600" b="1"/>
        </a:p>
      </xdr:txBody>
    </xdr:sp>
    <xdr:clientData/>
  </xdr:oneCellAnchor>
  <xdr:twoCellAnchor>
    <xdr:from>
      <xdr:col>0</xdr:col>
      <xdr:colOff>276224</xdr:colOff>
      <xdr:row>25</xdr:row>
      <xdr:rowOff>161924</xdr:rowOff>
    </xdr:from>
    <xdr:to>
      <xdr:col>2</xdr:col>
      <xdr:colOff>504824</xdr:colOff>
      <xdr:row>29</xdr:row>
      <xdr:rowOff>76199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aixaDeTexto 15"/>
            <xdr:cNvSpPr txBox="1"/>
          </xdr:nvSpPr>
          <xdr:spPr>
            <a:xfrm>
              <a:off x="276224" y="5133974"/>
              <a:ext cx="1762125" cy="67627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300−275,42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90,29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=0,2722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16" name="CaixaDeTexto 15"/>
            <xdr:cNvSpPr txBox="1"/>
          </xdr:nvSpPr>
          <xdr:spPr>
            <a:xfrm>
              <a:off x="276224" y="5133974"/>
              <a:ext cx="1762125" cy="67627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𝑦=(300−275,42)/90,29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=0,2722</a:t>
              </a:r>
              <a:endParaRPr lang="pt-BR" sz="1100"/>
            </a:p>
          </xdr:txBody>
        </xdr:sp>
      </mc:Fallback>
    </mc:AlternateContent>
    <xdr:clientData/>
  </xdr:twoCellAnchor>
  <xdr:oneCellAnchor>
    <xdr:from>
      <xdr:col>0</xdr:col>
      <xdr:colOff>228600</xdr:colOff>
      <xdr:row>29</xdr:row>
      <xdr:rowOff>171450</xdr:rowOff>
    </xdr:from>
    <xdr:ext cx="295275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aixaDeTexto 17"/>
            <xdr:cNvSpPr txBox="1"/>
          </xdr:nvSpPr>
          <xdr:spPr>
            <a:xfrm>
              <a:off x="228600" y="5905500"/>
              <a:ext cx="295275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𝑷𝒓𝒐𝒃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</m:e>
                      <m:sub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𝑮𝒖𝒎𝒃𝒆𝒍</m:t>
                        </m:r>
                      </m:sub>
                    </m:sSub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𝟑𝟎𝟎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sSup>
                      <m:sSupPr>
                        <m:ctrlPr>
                          <a:rPr lang="pt-B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𝟐𝟕𝟐𝟐</m:t>
                            </m:r>
                          </m:sup>
                        </m:sSup>
                      </m:sup>
                    </m:sSup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≈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𝟓𝟑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18" name="CaixaDeTexto 17"/>
            <xdr:cNvSpPr txBox="1"/>
          </xdr:nvSpPr>
          <xdr:spPr>
            <a:xfrm>
              <a:off x="228600" y="5905500"/>
              <a:ext cx="295275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〖𝑷𝒓𝒐𝒃.〗_𝑮𝒖𝒎𝒃𝒆𝒍&gt;𝟑𝟎𝟎=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 −𝒆^(〖−𝒆〗^(−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𝟎,𝟐𝟕𝟐𝟐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)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≈𝟎,𝟓𝟑</a:t>
              </a:r>
              <a:endParaRPr lang="pt-BR" sz="1200" b="1"/>
            </a:p>
          </xdr:txBody>
        </xdr:sp>
      </mc:Fallback>
    </mc:AlternateContent>
    <xdr:clientData/>
  </xdr:oneCellAnchor>
  <xdr:oneCellAnchor>
    <xdr:from>
      <xdr:col>0</xdr:col>
      <xdr:colOff>66674</xdr:colOff>
      <xdr:row>32</xdr:row>
      <xdr:rowOff>0</xdr:rowOff>
    </xdr:from>
    <xdr:ext cx="3967443" cy="3097771"/>
    <xdr:sp macro="" textlink="">
      <xdr:nvSpPr>
        <xdr:cNvPr id="19" name="CaixaDeTexto 18"/>
        <xdr:cNvSpPr txBox="1"/>
      </xdr:nvSpPr>
      <xdr:spPr>
        <a:xfrm>
          <a:off x="66674" y="6308912"/>
          <a:ext cx="3967443" cy="3097771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/>
            <a:t>O resultado diz </a:t>
          </a:r>
          <a:r>
            <a:rPr lang="pt-BR" sz="1600" b="1" baseline="0"/>
            <a:t>que a probabilidade de chover mais do que 300 mm em qualquer mês em Florianópolis é igual a 0,53 ou 53%, um valor bastante alto.</a:t>
          </a:r>
        </a:p>
        <a:p>
          <a:endParaRPr lang="pt-BR" sz="1600" b="1" baseline="0"/>
        </a:p>
        <a:p>
          <a:r>
            <a:rPr lang="pt-BR" sz="1600" b="1" baseline="0"/>
            <a:t>Comparem com a chance de chover acima de 300 mm no mês específico de outubro, ao redor de apenas 2,5% (por Gumbel).</a:t>
          </a:r>
        </a:p>
        <a:p>
          <a:endParaRPr lang="pt-BR" sz="1600" b="1" baseline="0"/>
        </a:p>
        <a:p>
          <a:r>
            <a:rPr lang="pt-BR" sz="1600" b="1" baseline="0"/>
            <a:t>Quando ampliam-se as possibilidades ao longo do ano, aumentam as chances, o que é coerente.</a:t>
          </a:r>
          <a:endParaRPr lang="pt-BR" sz="1600" b="1"/>
        </a:p>
      </xdr:txBody>
    </xdr:sp>
    <xdr:clientData/>
  </xdr:oneCellAnchor>
  <xdr:oneCellAnchor>
    <xdr:from>
      <xdr:col>0</xdr:col>
      <xdr:colOff>0</xdr:colOff>
      <xdr:row>52</xdr:row>
      <xdr:rowOff>0</xdr:rowOff>
    </xdr:from>
    <xdr:ext cx="4034118" cy="843693"/>
    <xdr:sp macro="" textlink="">
      <xdr:nvSpPr>
        <xdr:cNvPr id="20" name="CaixaDeTexto 19"/>
        <xdr:cNvSpPr txBox="1"/>
      </xdr:nvSpPr>
      <xdr:spPr>
        <a:xfrm>
          <a:off x="0" y="10118912"/>
          <a:ext cx="4034118" cy="84369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/>
            <a:t>Qual a probabilidade de chover</a:t>
          </a:r>
          <a:r>
            <a:rPr lang="pt-BR" sz="1600" b="1" baseline="0"/>
            <a:t> mais do que 500 mm em Florianópolis em um mês qualquer?</a:t>
          </a:r>
          <a:endParaRPr lang="pt-BR" sz="1600" b="1"/>
        </a:p>
      </xdr:txBody>
    </xdr:sp>
    <xdr:clientData/>
  </xdr:oneCellAnchor>
  <xdr:twoCellAnchor>
    <xdr:from>
      <xdr:col>0</xdr:col>
      <xdr:colOff>228599</xdr:colOff>
      <xdr:row>56</xdr:row>
      <xdr:rowOff>180974</xdr:rowOff>
    </xdr:from>
    <xdr:to>
      <xdr:col>2</xdr:col>
      <xdr:colOff>457199</xdr:colOff>
      <xdr:row>60</xdr:row>
      <xdr:rowOff>95249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aixaDeTexto 20"/>
            <xdr:cNvSpPr txBox="1"/>
          </xdr:nvSpPr>
          <xdr:spPr>
            <a:xfrm>
              <a:off x="228599" y="11061886"/>
              <a:ext cx="1752600" cy="67627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500−275,42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90,29</m:t>
                        </m:r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=2,4873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1" name="CaixaDeTexto 20"/>
            <xdr:cNvSpPr txBox="1"/>
          </xdr:nvSpPr>
          <xdr:spPr>
            <a:xfrm>
              <a:off x="228599" y="11061886"/>
              <a:ext cx="1752600" cy="67627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𝑦=(500−275,42)/90,29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=2,4873</a:t>
              </a:r>
              <a:endParaRPr lang="pt-BR" sz="1100"/>
            </a:p>
          </xdr:txBody>
        </xdr:sp>
      </mc:Fallback>
    </mc:AlternateContent>
    <xdr:clientData/>
  </xdr:twoCellAnchor>
  <xdr:oneCellAnchor>
    <xdr:from>
      <xdr:col>0</xdr:col>
      <xdr:colOff>337858</xdr:colOff>
      <xdr:row>60</xdr:row>
      <xdr:rowOff>123264</xdr:rowOff>
    </xdr:from>
    <xdr:ext cx="295275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aixaDeTexto 21"/>
            <xdr:cNvSpPr txBox="1"/>
          </xdr:nvSpPr>
          <xdr:spPr>
            <a:xfrm>
              <a:off x="337858" y="11766176"/>
              <a:ext cx="295275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𝑷𝒓𝒐𝒃</m:t>
                        </m:r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.</m:t>
                        </m:r>
                      </m:e>
                      <m:sub>
                        <m:r>
                          <a:rPr lang="pt-BR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𝑮𝒖𝒎𝒃𝒆𝒍</m:t>
                        </m:r>
                      </m:sub>
                    </m:sSub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&gt;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𝟑𝟎𝟎</m:t>
                    </m:r>
                    <m:r>
                      <a:rPr lang="pt-BR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sSup>
                      <m:sSupPr>
                        <m:ctrlPr>
                          <a:rPr lang="pt-B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pt-BR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𝒆</m:t>
                        </m:r>
                      </m:e>
                      <m:sup>
                        <m:sSup>
                          <m:sSupPr>
                            <m:ctrlP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𝒆</m:t>
                            </m:r>
                          </m:e>
                          <m:sup>
                            <m:r>
                              <a:rPr lang="pt-BR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2,4873</m:t>
                            </m:r>
                            <m:r>
                              <m:rPr>
                                <m:nor/>
                              </m:rPr>
                              <a:rPr lang="pt-BR" sz="1200">
                                <a:effectLst/>
                              </a:rPr>
                              <m:t> </m:t>
                            </m:r>
                          </m:sup>
                        </m:sSup>
                      </m:sup>
                    </m:sSup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≈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,</m:t>
                    </m:r>
                    <m:r>
                      <a:rPr lang="pt-BR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𝟎𝟖</m:t>
                    </m:r>
                  </m:oMath>
                </m:oMathPara>
              </a14:m>
              <a:endParaRPr lang="pt-BR" sz="1200" b="1"/>
            </a:p>
          </xdr:txBody>
        </xdr:sp>
      </mc:Choice>
      <mc:Fallback xmlns="">
        <xdr:sp macro="" textlink="">
          <xdr:nvSpPr>
            <xdr:cNvPr id="22" name="CaixaDeTexto 21"/>
            <xdr:cNvSpPr txBox="1"/>
          </xdr:nvSpPr>
          <xdr:spPr>
            <a:xfrm>
              <a:off x="337858" y="11766176"/>
              <a:ext cx="2952750" cy="3524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pt-BR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〖𝑷𝒓𝒐𝒃.〗_𝑮𝒖𝒎𝒃𝒆𝒍&gt;𝟑𝟎𝟎=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 −𝒆^(〖−𝒆〗^(−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2,4873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pt-BR" sz="1200" i="0">
                  <a:effectLst/>
                </a:rPr>
                <a:t> 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) )</a:t>
              </a:r>
              <a:r>
                <a:rPr lang="pt-BR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≈𝟎,𝟎𝟖</a:t>
              </a:r>
              <a:endParaRPr lang="pt-BR" sz="1200" b="1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4034118" cy="843693"/>
    <xdr:sp macro="" textlink="">
      <xdr:nvSpPr>
        <xdr:cNvPr id="23" name="CaixaDeTexto 22"/>
        <xdr:cNvSpPr txBox="1"/>
      </xdr:nvSpPr>
      <xdr:spPr>
        <a:xfrm>
          <a:off x="0" y="12606618"/>
          <a:ext cx="4034118" cy="84369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/>
            <a:t>Uma vez a cada 12 anos, em média, ocorre um mês em Florianópolis</a:t>
          </a:r>
          <a:r>
            <a:rPr lang="pt-BR" sz="1600" b="1" baseline="0"/>
            <a:t> com acumulado de chuva maior do que 500 mm</a:t>
          </a:r>
          <a:endParaRPr lang="pt-BR" sz="1600" b="1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1</xdr:row>
      <xdr:rowOff>0</xdr:rowOff>
    </xdr:from>
    <xdr:to>
      <xdr:col>17</xdr:col>
      <xdr:colOff>247650</xdr:colOff>
      <xdr:row>19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S66"/>
  <sheetViews>
    <sheetView topLeftCell="B1" zoomScaleNormal="100" workbookViewId="0">
      <selection activeCell="S66" sqref="S66"/>
    </sheetView>
  </sheetViews>
  <sheetFormatPr defaultRowHeight="15"/>
  <cols>
    <col min="2" max="2" width="9.5703125" customWidth="1"/>
    <col min="3" max="3" width="11.5703125" customWidth="1"/>
    <col min="4" max="4" width="12.7109375" customWidth="1"/>
    <col min="6" max="6" width="15.42578125" customWidth="1"/>
    <col min="7" max="7" width="15.140625" customWidth="1"/>
    <col min="18" max="18" width="10.140625" customWidth="1"/>
  </cols>
  <sheetData>
    <row r="1" spans="2:18" ht="18.75">
      <c r="B1" s="4" t="s">
        <v>0</v>
      </c>
      <c r="C1" s="5"/>
      <c r="D1" s="5"/>
      <c r="E1" s="5"/>
      <c r="F1" s="5"/>
      <c r="G1" s="5"/>
    </row>
    <row r="2" spans="2:18" ht="18.75">
      <c r="B2" s="2"/>
      <c r="I2" s="1"/>
    </row>
    <row r="3" spans="2:18">
      <c r="D3" s="3" t="s">
        <v>7</v>
      </c>
      <c r="J3" s="12"/>
    </row>
    <row r="4" spans="2:18" ht="18.75" customHeight="1">
      <c r="B4" s="6" t="s">
        <v>1</v>
      </c>
      <c r="C4" s="7" t="s">
        <v>5</v>
      </c>
      <c r="D4" s="6" t="s">
        <v>6</v>
      </c>
      <c r="E4" s="6" t="s">
        <v>2</v>
      </c>
      <c r="F4" s="6" t="s">
        <v>3</v>
      </c>
      <c r="G4" s="6" t="s">
        <v>4</v>
      </c>
      <c r="I4" s="1"/>
    </row>
    <row r="5" spans="2:18">
      <c r="B5" s="8" t="s">
        <v>8</v>
      </c>
      <c r="C5" s="18">
        <v>154</v>
      </c>
      <c r="D5" s="18">
        <v>360.9</v>
      </c>
      <c r="E5" s="9">
        <v>1</v>
      </c>
      <c r="F5" s="43">
        <f>E5/57</f>
        <v>1.7543859649122806E-2</v>
      </c>
      <c r="G5" s="18">
        <f>1/F5</f>
        <v>57</v>
      </c>
    </row>
    <row r="6" spans="2:18" ht="15.75">
      <c r="B6" s="8" t="s">
        <v>9</v>
      </c>
      <c r="C6" s="18">
        <v>54.3</v>
      </c>
      <c r="D6" s="18">
        <v>288.8</v>
      </c>
      <c r="E6" s="9">
        <v>2</v>
      </c>
      <c r="F6" s="43">
        <f t="shared" ref="F6:F60" si="0">E6/57</f>
        <v>3.5087719298245612E-2</v>
      </c>
      <c r="G6" s="18">
        <f t="shared" ref="G6:G60" si="1">1/F6</f>
        <v>28.5</v>
      </c>
      <c r="I6" s="1"/>
      <c r="J6" s="13" t="s">
        <v>71</v>
      </c>
      <c r="K6" s="5" t="s">
        <v>70</v>
      </c>
      <c r="L6" s="5"/>
      <c r="M6" s="5"/>
      <c r="N6" s="5"/>
      <c r="O6" s="5"/>
      <c r="P6" s="5"/>
    </row>
    <row r="7" spans="2:18" ht="15.75">
      <c r="B7" s="8" t="s">
        <v>10</v>
      </c>
      <c r="C7" s="18">
        <v>124.9</v>
      </c>
      <c r="D7" s="18">
        <v>286.5</v>
      </c>
      <c r="E7" s="9">
        <v>3</v>
      </c>
      <c r="F7" s="43">
        <f t="shared" si="0"/>
        <v>5.2631578947368418E-2</v>
      </c>
      <c r="G7" s="18">
        <f t="shared" si="1"/>
        <v>19</v>
      </c>
      <c r="J7" s="13" t="s">
        <v>72</v>
      </c>
      <c r="K7" s="5" t="s">
        <v>73</v>
      </c>
      <c r="L7" s="5"/>
      <c r="M7" s="5"/>
      <c r="N7" s="5"/>
      <c r="O7" s="5"/>
      <c r="P7" s="5"/>
    </row>
    <row r="8" spans="2:18" ht="15.75">
      <c r="B8" s="8" t="s">
        <v>11</v>
      </c>
      <c r="C8" s="18">
        <v>176.8</v>
      </c>
      <c r="D8" s="18">
        <v>246</v>
      </c>
      <c r="E8" s="9">
        <v>4</v>
      </c>
      <c r="F8" s="43">
        <f t="shared" si="0"/>
        <v>7.0175438596491224E-2</v>
      </c>
      <c r="G8" s="18">
        <f t="shared" si="1"/>
        <v>14.25</v>
      </c>
      <c r="J8" s="13" t="s">
        <v>74</v>
      </c>
      <c r="K8" s="5" t="s">
        <v>75</v>
      </c>
      <c r="L8" s="5"/>
      <c r="M8" s="5"/>
      <c r="N8" s="5"/>
      <c r="O8" s="5"/>
      <c r="P8" s="5"/>
    </row>
    <row r="9" spans="2:18" ht="15.75">
      <c r="B9" s="8" t="s">
        <v>12</v>
      </c>
      <c r="C9" s="18">
        <v>47.9</v>
      </c>
      <c r="D9" s="18">
        <v>241.8</v>
      </c>
      <c r="E9" s="9">
        <v>5</v>
      </c>
      <c r="F9" s="43">
        <f t="shared" si="0"/>
        <v>8.771929824561403E-2</v>
      </c>
      <c r="G9" s="18">
        <f t="shared" si="1"/>
        <v>11.4</v>
      </c>
      <c r="J9" s="13" t="s">
        <v>76</v>
      </c>
      <c r="K9" s="5" t="s">
        <v>77</v>
      </c>
      <c r="L9" s="5"/>
      <c r="M9" s="5"/>
      <c r="N9" s="5"/>
      <c r="O9" s="5"/>
      <c r="P9" s="5"/>
    </row>
    <row r="10" spans="2:18">
      <c r="B10" s="8" t="s">
        <v>13</v>
      </c>
      <c r="C10" s="18">
        <v>149.80000000000001</v>
      </c>
      <c r="D10" s="18">
        <v>236.7</v>
      </c>
      <c r="E10" s="9">
        <v>6</v>
      </c>
      <c r="F10" s="43">
        <f t="shared" si="0"/>
        <v>0.10526315789473684</v>
      </c>
      <c r="G10" s="18">
        <f t="shared" si="1"/>
        <v>9.5</v>
      </c>
    </row>
    <row r="11" spans="2:18">
      <c r="B11" s="8" t="s">
        <v>14</v>
      </c>
      <c r="C11" s="18">
        <v>115.1</v>
      </c>
      <c r="D11" s="18">
        <v>220.6</v>
      </c>
      <c r="E11" s="9">
        <v>7</v>
      </c>
      <c r="F11" s="43">
        <f t="shared" si="0"/>
        <v>0.12280701754385964</v>
      </c>
      <c r="G11" s="18">
        <f t="shared" si="1"/>
        <v>8.1428571428571441</v>
      </c>
    </row>
    <row r="12" spans="2:18" ht="15.75">
      <c r="B12" s="8" t="s">
        <v>15</v>
      </c>
      <c r="C12" s="18">
        <v>148.30000000000001</v>
      </c>
      <c r="D12" s="18">
        <v>216.3</v>
      </c>
      <c r="E12" s="9">
        <v>8</v>
      </c>
      <c r="F12" s="43">
        <f t="shared" si="0"/>
        <v>0.14035087719298245</v>
      </c>
      <c r="G12" s="18">
        <f t="shared" si="1"/>
        <v>7.125</v>
      </c>
      <c r="J12" s="15" t="s">
        <v>78</v>
      </c>
      <c r="K12" s="16"/>
      <c r="L12" s="16"/>
      <c r="M12" s="16"/>
      <c r="N12" s="16"/>
      <c r="O12" s="16"/>
      <c r="P12" s="16"/>
      <c r="Q12" s="16"/>
      <c r="R12" s="16"/>
    </row>
    <row r="13" spans="2:18">
      <c r="B13" s="8" t="s">
        <v>16</v>
      </c>
      <c r="C13" s="18">
        <v>85.4</v>
      </c>
      <c r="D13" s="18">
        <v>201.6</v>
      </c>
      <c r="E13" s="9">
        <v>9</v>
      </c>
      <c r="F13" s="43">
        <f t="shared" si="0"/>
        <v>0.15789473684210525</v>
      </c>
      <c r="G13" s="18">
        <f t="shared" si="1"/>
        <v>6.3333333333333339</v>
      </c>
      <c r="J13" s="16"/>
      <c r="K13" s="16"/>
      <c r="L13" s="16"/>
      <c r="M13" s="16"/>
      <c r="N13" s="16"/>
      <c r="O13" s="16"/>
      <c r="P13" s="16"/>
      <c r="Q13" s="16"/>
      <c r="R13" s="16"/>
    </row>
    <row r="14" spans="2:18">
      <c r="B14" s="8" t="s">
        <v>17</v>
      </c>
      <c r="C14" s="18">
        <v>80.7</v>
      </c>
      <c r="D14" s="18">
        <v>195.8</v>
      </c>
      <c r="E14" s="9">
        <v>10</v>
      </c>
      <c r="F14" s="43">
        <f t="shared" si="0"/>
        <v>0.17543859649122806</v>
      </c>
      <c r="G14" s="18">
        <f t="shared" si="1"/>
        <v>5.7</v>
      </c>
      <c r="J14" s="16"/>
      <c r="K14" s="16"/>
      <c r="L14" s="16"/>
      <c r="M14" s="16"/>
      <c r="N14" s="16"/>
      <c r="O14" s="16"/>
      <c r="P14" s="16"/>
      <c r="Q14" s="16"/>
      <c r="R14" s="16"/>
    </row>
    <row r="15" spans="2:18">
      <c r="B15" s="8" t="s">
        <v>18</v>
      </c>
      <c r="C15" s="18">
        <v>73.7</v>
      </c>
      <c r="D15" s="18">
        <v>185.1</v>
      </c>
      <c r="E15" s="9">
        <v>11</v>
      </c>
      <c r="F15" s="43">
        <f t="shared" si="0"/>
        <v>0.19298245614035087</v>
      </c>
      <c r="G15" s="18">
        <f t="shared" si="1"/>
        <v>5.1818181818181825</v>
      </c>
      <c r="J15" s="16"/>
      <c r="K15" s="16"/>
      <c r="L15" s="16"/>
      <c r="M15" s="16"/>
      <c r="N15" s="16"/>
      <c r="O15" s="16"/>
      <c r="P15" s="16"/>
      <c r="Q15" s="16"/>
      <c r="R15" s="16"/>
    </row>
    <row r="16" spans="2:18">
      <c r="B16" s="8" t="s">
        <v>19</v>
      </c>
      <c r="C16" s="18">
        <v>112.2</v>
      </c>
      <c r="D16" s="18">
        <v>180.6</v>
      </c>
      <c r="E16" s="9">
        <v>12</v>
      </c>
      <c r="F16" s="43">
        <f t="shared" si="0"/>
        <v>0.21052631578947367</v>
      </c>
      <c r="G16" s="18">
        <f t="shared" si="1"/>
        <v>4.75</v>
      </c>
      <c r="J16" s="16"/>
      <c r="K16" s="16"/>
      <c r="L16" s="16"/>
      <c r="M16" s="16"/>
      <c r="N16" s="16"/>
      <c r="O16" s="16"/>
      <c r="P16" s="16"/>
      <c r="Q16" s="16"/>
      <c r="R16" s="16"/>
    </row>
    <row r="17" spans="2:19">
      <c r="B17" s="8" t="s">
        <v>20</v>
      </c>
      <c r="C17" s="18">
        <v>76.900000000000006</v>
      </c>
      <c r="D17" s="18">
        <v>177.9</v>
      </c>
      <c r="E17" s="9">
        <v>13</v>
      </c>
      <c r="F17" s="43">
        <f t="shared" si="0"/>
        <v>0.22807017543859648</v>
      </c>
      <c r="G17" s="18">
        <f t="shared" si="1"/>
        <v>4.384615384615385</v>
      </c>
    </row>
    <row r="18" spans="2:19">
      <c r="B18" s="8" t="s">
        <v>21</v>
      </c>
      <c r="C18" s="18">
        <v>85.2</v>
      </c>
      <c r="D18" s="18">
        <v>176.8</v>
      </c>
      <c r="E18" s="9">
        <v>14</v>
      </c>
      <c r="F18" s="43">
        <f t="shared" si="0"/>
        <v>0.24561403508771928</v>
      </c>
      <c r="G18" s="18">
        <f t="shared" si="1"/>
        <v>4.0714285714285721</v>
      </c>
    </row>
    <row r="19" spans="2:19" ht="15.75">
      <c r="B19" s="8" t="s">
        <v>22</v>
      </c>
      <c r="C19" s="18">
        <v>136.19999999999999</v>
      </c>
      <c r="D19" s="18">
        <v>170.3</v>
      </c>
      <c r="E19" s="9">
        <v>15</v>
      </c>
      <c r="F19" s="43">
        <f t="shared" si="0"/>
        <v>0.26315789473684209</v>
      </c>
      <c r="G19" s="18">
        <f t="shared" si="1"/>
        <v>3.8000000000000003</v>
      </c>
      <c r="J19" s="15" t="s">
        <v>79</v>
      </c>
      <c r="K19" s="16"/>
      <c r="L19" s="16"/>
      <c r="M19" s="16"/>
      <c r="N19" s="16"/>
      <c r="O19" s="16"/>
      <c r="P19" s="16"/>
      <c r="Q19" s="16"/>
      <c r="R19" s="16"/>
    </row>
    <row r="20" spans="2:19">
      <c r="B20" s="8" t="s">
        <v>23</v>
      </c>
      <c r="C20" s="18">
        <v>73.5</v>
      </c>
      <c r="D20" s="18">
        <v>169.8</v>
      </c>
      <c r="E20" s="9">
        <v>16</v>
      </c>
      <c r="F20" s="43">
        <f t="shared" si="0"/>
        <v>0.2807017543859649</v>
      </c>
      <c r="G20" s="18">
        <f t="shared" si="1"/>
        <v>3.5625</v>
      </c>
      <c r="J20" s="16"/>
      <c r="K20" s="16"/>
      <c r="L20" s="16"/>
      <c r="M20" s="16"/>
      <c r="N20" s="16"/>
      <c r="O20" s="16"/>
      <c r="P20" s="16"/>
      <c r="Q20" s="16"/>
      <c r="R20" s="16"/>
    </row>
    <row r="21" spans="2:19">
      <c r="B21" s="8" t="s">
        <v>24</v>
      </c>
      <c r="C21" s="18">
        <v>119</v>
      </c>
      <c r="D21" s="18">
        <v>154</v>
      </c>
      <c r="E21" s="9">
        <v>17</v>
      </c>
      <c r="F21" s="43">
        <f t="shared" si="0"/>
        <v>0.2982456140350877</v>
      </c>
      <c r="G21" s="18">
        <f t="shared" si="1"/>
        <v>3.3529411764705883</v>
      </c>
      <c r="J21" s="16"/>
      <c r="K21" s="16"/>
      <c r="L21" s="16"/>
      <c r="M21" s="16"/>
      <c r="N21" s="16"/>
      <c r="O21" s="16"/>
      <c r="P21" s="16"/>
      <c r="Q21" s="16"/>
      <c r="R21" s="16"/>
    </row>
    <row r="22" spans="2:19">
      <c r="B22" s="8" t="s">
        <v>25</v>
      </c>
      <c r="C22" s="18">
        <v>115.5</v>
      </c>
      <c r="D22" s="18">
        <v>149.80000000000001</v>
      </c>
      <c r="E22" s="9">
        <v>18</v>
      </c>
      <c r="F22" s="43">
        <f t="shared" si="0"/>
        <v>0.31578947368421051</v>
      </c>
      <c r="G22" s="18">
        <f t="shared" si="1"/>
        <v>3.166666666666667</v>
      </c>
      <c r="J22" s="16"/>
      <c r="K22" s="16"/>
      <c r="L22" s="16"/>
      <c r="M22" s="16"/>
      <c r="N22" s="16"/>
      <c r="O22" s="16"/>
      <c r="P22" s="16"/>
      <c r="Q22" s="16"/>
      <c r="R22" s="16"/>
    </row>
    <row r="23" spans="2:19">
      <c r="B23" s="8" t="s">
        <v>26</v>
      </c>
      <c r="C23" s="18">
        <v>241.8</v>
      </c>
      <c r="D23" s="18">
        <v>148.30000000000001</v>
      </c>
      <c r="E23" s="9">
        <v>19</v>
      </c>
      <c r="F23" s="43">
        <f t="shared" si="0"/>
        <v>0.33333333333333331</v>
      </c>
      <c r="G23" s="18">
        <f t="shared" si="1"/>
        <v>3</v>
      </c>
      <c r="J23" s="16"/>
      <c r="K23" s="16"/>
      <c r="L23" s="16"/>
      <c r="M23" s="16"/>
      <c r="N23" s="16"/>
      <c r="O23" s="16"/>
      <c r="P23" s="16"/>
      <c r="Q23" s="16"/>
      <c r="R23" s="16"/>
    </row>
    <row r="24" spans="2:19">
      <c r="B24" s="8" t="s">
        <v>27</v>
      </c>
      <c r="C24" s="18">
        <v>145.30000000000001</v>
      </c>
      <c r="D24" s="18">
        <v>147.80000000000001</v>
      </c>
      <c r="E24" s="9">
        <v>20</v>
      </c>
      <c r="F24" s="43">
        <f t="shared" si="0"/>
        <v>0.35087719298245612</v>
      </c>
      <c r="G24" s="18">
        <f t="shared" si="1"/>
        <v>2.85</v>
      </c>
    </row>
    <row r="25" spans="2:19">
      <c r="B25" s="8" t="s">
        <v>28</v>
      </c>
      <c r="C25" s="18">
        <v>169.8</v>
      </c>
      <c r="D25" s="18">
        <v>146.69999999999999</v>
      </c>
      <c r="E25" s="9">
        <v>21</v>
      </c>
      <c r="F25" s="43">
        <f t="shared" si="0"/>
        <v>0.36842105263157893</v>
      </c>
      <c r="G25" s="18">
        <f t="shared" si="1"/>
        <v>2.7142857142857144</v>
      </c>
    </row>
    <row r="26" spans="2:19">
      <c r="B26" s="8" t="s">
        <v>29</v>
      </c>
      <c r="C26" s="18">
        <v>127.2</v>
      </c>
      <c r="D26" s="18">
        <v>145.30000000000001</v>
      </c>
      <c r="E26" s="9">
        <v>22</v>
      </c>
      <c r="F26" s="43">
        <f t="shared" si="0"/>
        <v>0.38596491228070173</v>
      </c>
      <c r="G26" s="18">
        <f t="shared" si="1"/>
        <v>2.5909090909090913</v>
      </c>
    </row>
    <row r="27" spans="2:19">
      <c r="B27" s="8" t="s">
        <v>30</v>
      </c>
      <c r="C27" s="18">
        <v>73.400000000000006</v>
      </c>
      <c r="D27" s="18">
        <v>143.4</v>
      </c>
      <c r="E27" s="9">
        <v>23</v>
      </c>
      <c r="F27" s="43">
        <f t="shared" si="0"/>
        <v>0.40350877192982454</v>
      </c>
      <c r="G27" s="18">
        <f t="shared" si="1"/>
        <v>2.4782608695652177</v>
      </c>
    </row>
    <row r="28" spans="2:19">
      <c r="B28" s="8" t="s">
        <v>31</v>
      </c>
      <c r="C28" s="18">
        <v>90.6</v>
      </c>
      <c r="D28" s="18">
        <v>142.1</v>
      </c>
      <c r="E28" s="9">
        <v>24</v>
      </c>
      <c r="F28" s="43">
        <f t="shared" si="0"/>
        <v>0.42105263157894735</v>
      </c>
      <c r="G28" s="18">
        <f t="shared" si="1"/>
        <v>2.375</v>
      </c>
    </row>
    <row r="29" spans="2:19">
      <c r="B29" s="8" t="s">
        <v>32</v>
      </c>
      <c r="C29" s="18">
        <v>143.4</v>
      </c>
      <c r="D29" s="18">
        <v>136.4</v>
      </c>
      <c r="E29" s="9">
        <v>25</v>
      </c>
      <c r="F29" s="43">
        <f t="shared" si="0"/>
        <v>0.43859649122807015</v>
      </c>
      <c r="G29" s="18">
        <f t="shared" si="1"/>
        <v>2.2800000000000002</v>
      </c>
      <c r="J29" s="80" t="s">
        <v>80</v>
      </c>
      <c r="K29" s="81"/>
      <c r="L29" s="81"/>
      <c r="M29" s="81"/>
      <c r="N29" s="81"/>
      <c r="O29" s="81"/>
      <c r="P29" s="81"/>
      <c r="Q29" s="81"/>
      <c r="R29" s="81"/>
      <c r="S29" s="81"/>
    </row>
    <row r="30" spans="2:19">
      <c r="B30" s="8" t="s">
        <v>33</v>
      </c>
      <c r="C30" s="18">
        <v>246</v>
      </c>
      <c r="D30" s="18">
        <v>136.19999999999999</v>
      </c>
      <c r="E30" s="9">
        <v>26</v>
      </c>
      <c r="F30" s="43">
        <f t="shared" si="0"/>
        <v>0.45614035087719296</v>
      </c>
      <c r="G30" s="18">
        <f t="shared" si="1"/>
        <v>2.1923076923076925</v>
      </c>
      <c r="J30" s="81"/>
      <c r="K30" s="81"/>
      <c r="L30" s="81"/>
      <c r="M30" s="81"/>
      <c r="N30" s="81"/>
      <c r="O30" s="81"/>
      <c r="P30" s="81"/>
      <c r="Q30" s="81"/>
      <c r="R30" s="81"/>
      <c r="S30" s="81"/>
    </row>
    <row r="31" spans="2:19">
      <c r="B31" s="8" t="s">
        <v>34</v>
      </c>
      <c r="C31" s="18">
        <v>185.1</v>
      </c>
      <c r="D31" s="18">
        <v>134</v>
      </c>
      <c r="E31" s="9">
        <v>27</v>
      </c>
      <c r="F31" s="43">
        <f t="shared" si="0"/>
        <v>0.47368421052631576</v>
      </c>
      <c r="G31" s="18">
        <f t="shared" si="1"/>
        <v>2.1111111111111112</v>
      </c>
      <c r="J31" s="82"/>
      <c r="K31" s="82"/>
      <c r="L31" s="82"/>
      <c r="M31" s="82"/>
      <c r="N31" s="82"/>
      <c r="O31" s="82"/>
      <c r="P31" s="82"/>
      <c r="Q31" s="82"/>
      <c r="R31" s="82"/>
      <c r="S31" s="82"/>
    </row>
    <row r="32" spans="2:19">
      <c r="B32" s="8" t="s">
        <v>35</v>
      </c>
      <c r="C32" s="18">
        <v>105.7</v>
      </c>
      <c r="D32" s="18">
        <v>127.2</v>
      </c>
      <c r="E32" s="9">
        <v>28</v>
      </c>
      <c r="F32" s="43">
        <f t="shared" si="0"/>
        <v>0.49122807017543857</v>
      </c>
      <c r="G32" s="18">
        <f t="shared" si="1"/>
        <v>2.035714285714286</v>
      </c>
    </row>
    <row r="33" spans="2:18">
      <c r="B33" s="8" t="s">
        <v>36</v>
      </c>
      <c r="C33" s="18">
        <v>73.400000000000006</v>
      </c>
      <c r="D33" s="18">
        <v>124.9</v>
      </c>
      <c r="E33" s="9">
        <v>29</v>
      </c>
      <c r="F33" s="43">
        <f t="shared" si="0"/>
        <v>0.50877192982456143</v>
      </c>
      <c r="G33" s="18">
        <f t="shared" si="1"/>
        <v>1.9655172413793103</v>
      </c>
    </row>
    <row r="34" spans="2:18">
      <c r="B34" s="8" t="s">
        <v>37</v>
      </c>
      <c r="C34" s="18">
        <v>180.6</v>
      </c>
      <c r="D34" s="18">
        <v>123.2</v>
      </c>
      <c r="E34" s="9">
        <v>30</v>
      </c>
      <c r="F34" s="43">
        <f t="shared" si="0"/>
        <v>0.52631578947368418</v>
      </c>
      <c r="G34" s="18">
        <f t="shared" si="1"/>
        <v>1.9000000000000001</v>
      </c>
    </row>
    <row r="35" spans="2:18">
      <c r="B35" s="8" t="s">
        <v>38</v>
      </c>
      <c r="C35" s="18">
        <v>170.3</v>
      </c>
      <c r="D35" s="18">
        <v>122.6</v>
      </c>
      <c r="E35" s="9">
        <v>31</v>
      </c>
      <c r="F35" s="43">
        <f t="shared" si="0"/>
        <v>0.54385964912280704</v>
      </c>
      <c r="G35" s="18">
        <f t="shared" si="1"/>
        <v>1.8387096774193548</v>
      </c>
    </row>
    <row r="36" spans="2:18">
      <c r="B36" s="8" t="s">
        <v>39</v>
      </c>
      <c r="C36" s="18">
        <v>37.1</v>
      </c>
      <c r="D36" s="18">
        <v>119</v>
      </c>
      <c r="E36" s="9">
        <v>32</v>
      </c>
      <c r="F36" s="43">
        <f t="shared" si="0"/>
        <v>0.56140350877192979</v>
      </c>
      <c r="G36" s="18">
        <f t="shared" si="1"/>
        <v>1.78125</v>
      </c>
    </row>
    <row r="37" spans="2:18">
      <c r="B37" s="8" t="s">
        <v>40</v>
      </c>
      <c r="C37" s="18">
        <v>123.2</v>
      </c>
      <c r="D37" s="18">
        <v>115.5</v>
      </c>
      <c r="E37" s="9">
        <v>33</v>
      </c>
      <c r="F37" s="43">
        <f t="shared" si="0"/>
        <v>0.57894736842105265</v>
      </c>
      <c r="G37" s="18">
        <f t="shared" si="1"/>
        <v>1.7272727272727273</v>
      </c>
    </row>
    <row r="38" spans="2:18" ht="18.75">
      <c r="B38" s="8" t="s">
        <v>41</v>
      </c>
      <c r="C38" s="18">
        <v>109.4</v>
      </c>
      <c r="D38" s="18">
        <v>115.1</v>
      </c>
      <c r="E38" s="9">
        <v>34</v>
      </c>
      <c r="F38" s="43">
        <f t="shared" si="0"/>
        <v>0.59649122807017541</v>
      </c>
      <c r="G38" s="18">
        <f t="shared" si="1"/>
        <v>1.6764705882352942</v>
      </c>
      <c r="J38" s="17" t="s">
        <v>78</v>
      </c>
      <c r="K38" s="14"/>
      <c r="L38" s="14"/>
      <c r="M38" s="14"/>
      <c r="N38" s="14"/>
      <c r="O38" s="14"/>
      <c r="P38" s="14"/>
      <c r="Q38" s="14"/>
      <c r="R38" s="14"/>
    </row>
    <row r="39" spans="2:18" ht="18.75">
      <c r="B39" s="8" t="s">
        <v>42</v>
      </c>
      <c r="C39" s="18">
        <v>142.1</v>
      </c>
      <c r="D39" s="18">
        <v>112.2</v>
      </c>
      <c r="E39" s="9">
        <v>35</v>
      </c>
      <c r="F39" s="43">
        <f t="shared" si="0"/>
        <v>0.61403508771929827</v>
      </c>
      <c r="G39" s="18">
        <f t="shared" si="1"/>
        <v>1.6285714285714286</v>
      </c>
      <c r="J39" s="14"/>
      <c r="K39" s="14"/>
      <c r="L39" s="14"/>
      <c r="M39" s="14"/>
      <c r="N39" s="14"/>
      <c r="O39" s="14"/>
      <c r="P39" s="14"/>
      <c r="Q39" s="14"/>
      <c r="R39" s="14"/>
    </row>
    <row r="40" spans="2:18" ht="18.75">
      <c r="B40" s="8" t="s">
        <v>43</v>
      </c>
      <c r="C40" s="18">
        <v>103.4</v>
      </c>
      <c r="D40" s="18">
        <v>112.1</v>
      </c>
      <c r="E40" s="9">
        <v>36</v>
      </c>
      <c r="F40" s="43">
        <f t="shared" si="0"/>
        <v>0.63157894736842102</v>
      </c>
      <c r="G40" s="18">
        <f t="shared" si="1"/>
        <v>1.5833333333333335</v>
      </c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8.75">
      <c r="B41" s="8" t="s">
        <v>44</v>
      </c>
      <c r="C41" s="18">
        <v>360.9</v>
      </c>
      <c r="D41" s="18">
        <v>109.4</v>
      </c>
      <c r="E41" s="9">
        <v>37</v>
      </c>
      <c r="F41" s="43">
        <f t="shared" si="0"/>
        <v>0.64912280701754388</v>
      </c>
      <c r="G41" s="18">
        <f t="shared" si="1"/>
        <v>1.5405405405405406</v>
      </c>
      <c r="J41" s="14"/>
      <c r="K41" s="14"/>
      <c r="L41" s="14"/>
      <c r="M41" s="14"/>
      <c r="N41" s="14"/>
      <c r="O41" s="14"/>
      <c r="P41" s="14"/>
      <c r="Q41" s="14"/>
      <c r="R41" s="14"/>
    </row>
    <row r="42" spans="2:18" ht="18.75">
      <c r="B42" s="8" t="s">
        <v>45</v>
      </c>
      <c r="C42" s="18">
        <v>136.4</v>
      </c>
      <c r="D42" s="18">
        <v>107.4</v>
      </c>
      <c r="E42" s="9">
        <v>38</v>
      </c>
      <c r="F42" s="43">
        <f t="shared" si="0"/>
        <v>0.66666666666666663</v>
      </c>
      <c r="G42" s="18">
        <f t="shared" si="1"/>
        <v>1.5</v>
      </c>
      <c r="J42" s="14"/>
      <c r="K42" s="14"/>
      <c r="L42" s="14"/>
      <c r="M42" s="14"/>
      <c r="N42" s="14"/>
      <c r="O42" s="14"/>
      <c r="P42" s="14"/>
      <c r="Q42" s="14"/>
      <c r="R42" s="14"/>
    </row>
    <row r="43" spans="2:18">
      <c r="B43" s="8" t="s">
        <v>46</v>
      </c>
      <c r="C43" s="18">
        <v>236.7</v>
      </c>
      <c r="D43" s="18">
        <v>105.7</v>
      </c>
      <c r="E43" s="9">
        <v>39</v>
      </c>
      <c r="F43" s="43">
        <f t="shared" si="0"/>
        <v>0.68421052631578949</v>
      </c>
      <c r="G43" s="18">
        <f t="shared" si="1"/>
        <v>1.4615384615384615</v>
      </c>
    </row>
    <row r="44" spans="2:18" ht="18.75">
      <c r="B44" s="8" t="s">
        <v>47</v>
      </c>
      <c r="C44" s="18">
        <v>216.3</v>
      </c>
      <c r="D44" s="18">
        <v>103.4</v>
      </c>
      <c r="E44" s="9">
        <v>40</v>
      </c>
      <c r="F44" s="43">
        <f t="shared" si="0"/>
        <v>0.70175438596491224</v>
      </c>
      <c r="G44" s="18">
        <f t="shared" si="1"/>
        <v>1.425</v>
      </c>
      <c r="J44" s="17" t="s">
        <v>79</v>
      </c>
      <c r="K44" s="14"/>
      <c r="L44" s="14"/>
      <c r="M44" s="14"/>
      <c r="N44" s="14"/>
      <c r="O44" s="14"/>
      <c r="P44" s="14"/>
      <c r="Q44" s="14"/>
      <c r="R44" s="14"/>
    </row>
    <row r="45" spans="2:18" ht="18.75">
      <c r="B45" s="8" t="s">
        <v>48</v>
      </c>
      <c r="C45" s="18">
        <v>220.6</v>
      </c>
      <c r="D45" s="18">
        <v>100.7</v>
      </c>
      <c r="E45" s="9">
        <v>41</v>
      </c>
      <c r="F45" s="43">
        <f t="shared" si="0"/>
        <v>0.7192982456140351</v>
      </c>
      <c r="G45" s="18">
        <f t="shared" si="1"/>
        <v>1.3902439024390243</v>
      </c>
      <c r="J45" s="14"/>
      <c r="K45" s="14"/>
      <c r="L45" s="14"/>
      <c r="M45" s="14"/>
      <c r="N45" s="14"/>
      <c r="O45" s="14"/>
      <c r="P45" s="14"/>
      <c r="Q45" s="14"/>
      <c r="R45" s="14"/>
    </row>
    <row r="46" spans="2:18" ht="18.75">
      <c r="B46" s="8" t="s">
        <v>49</v>
      </c>
      <c r="C46" s="18">
        <v>195.8</v>
      </c>
      <c r="D46" s="18">
        <v>95.6</v>
      </c>
      <c r="E46" s="9">
        <v>42</v>
      </c>
      <c r="F46" s="43">
        <f t="shared" si="0"/>
        <v>0.73684210526315785</v>
      </c>
      <c r="G46" s="18">
        <f t="shared" si="1"/>
        <v>1.3571428571428572</v>
      </c>
      <c r="J46" s="14"/>
      <c r="K46" s="14"/>
      <c r="L46" s="14"/>
      <c r="M46" s="14"/>
      <c r="N46" s="14"/>
      <c r="O46" s="14"/>
      <c r="P46" s="14"/>
      <c r="Q46" s="14"/>
      <c r="R46" s="14"/>
    </row>
    <row r="47" spans="2:18" ht="18.75">
      <c r="B47" s="8" t="s">
        <v>50</v>
      </c>
      <c r="C47" s="18">
        <v>112.1</v>
      </c>
      <c r="D47" s="18">
        <v>90.6</v>
      </c>
      <c r="E47" s="9">
        <v>43</v>
      </c>
      <c r="F47" s="43">
        <f t="shared" si="0"/>
        <v>0.75438596491228072</v>
      </c>
      <c r="G47" s="18">
        <f t="shared" si="1"/>
        <v>1.3255813953488371</v>
      </c>
      <c r="J47" s="14"/>
      <c r="K47" s="14"/>
      <c r="L47" s="14"/>
      <c r="M47" s="14"/>
      <c r="N47" s="14"/>
      <c r="O47" s="14"/>
      <c r="P47" s="14"/>
      <c r="Q47" s="14"/>
      <c r="R47" s="14"/>
    </row>
    <row r="48" spans="2:18" ht="18.75">
      <c r="B48" s="8" t="s">
        <v>51</v>
      </c>
      <c r="C48" s="18">
        <v>146.69999999999999</v>
      </c>
      <c r="D48" s="18">
        <v>85.4</v>
      </c>
      <c r="E48" s="9">
        <v>44</v>
      </c>
      <c r="F48" s="43">
        <f t="shared" si="0"/>
        <v>0.77192982456140347</v>
      </c>
      <c r="G48" s="18">
        <f t="shared" si="1"/>
        <v>1.2954545454545456</v>
      </c>
      <c r="J48" s="14"/>
      <c r="K48" s="14"/>
      <c r="L48" s="14"/>
      <c r="M48" s="14"/>
      <c r="N48" s="14"/>
      <c r="O48" s="14"/>
      <c r="P48" s="14"/>
      <c r="Q48" s="14"/>
      <c r="R48" s="14"/>
    </row>
    <row r="49" spans="2:7">
      <c r="B49" s="8" t="s">
        <v>52</v>
      </c>
      <c r="C49" s="18">
        <v>201.6</v>
      </c>
      <c r="D49" s="18">
        <v>85.2</v>
      </c>
      <c r="E49" s="9">
        <v>45</v>
      </c>
      <c r="F49" s="43">
        <f t="shared" si="0"/>
        <v>0.78947368421052633</v>
      </c>
      <c r="G49" s="18">
        <f t="shared" si="1"/>
        <v>1.2666666666666666</v>
      </c>
    </row>
    <row r="50" spans="2:7">
      <c r="B50" s="8" t="s">
        <v>53</v>
      </c>
      <c r="C50" s="18">
        <v>95.6</v>
      </c>
      <c r="D50" s="18">
        <v>80.7</v>
      </c>
      <c r="E50" s="9">
        <v>46</v>
      </c>
      <c r="F50" s="43">
        <f t="shared" si="0"/>
        <v>0.80701754385964908</v>
      </c>
      <c r="G50" s="18">
        <f t="shared" si="1"/>
        <v>1.2391304347826089</v>
      </c>
    </row>
    <row r="51" spans="2:7">
      <c r="B51" s="8" t="s">
        <v>54</v>
      </c>
      <c r="C51" s="18">
        <v>147.80000000000001</v>
      </c>
      <c r="D51" s="18">
        <v>79.7</v>
      </c>
      <c r="E51" s="9">
        <v>47</v>
      </c>
      <c r="F51" s="43">
        <f t="shared" si="0"/>
        <v>0.82456140350877194</v>
      </c>
      <c r="G51" s="18">
        <f t="shared" si="1"/>
        <v>1.2127659574468086</v>
      </c>
    </row>
    <row r="52" spans="2:7">
      <c r="B52" s="8" t="s">
        <v>55</v>
      </c>
      <c r="C52" s="18">
        <v>286.5</v>
      </c>
      <c r="D52" s="18">
        <v>76.900000000000006</v>
      </c>
      <c r="E52" s="9">
        <v>48</v>
      </c>
      <c r="F52" s="43">
        <f t="shared" si="0"/>
        <v>0.84210526315789469</v>
      </c>
      <c r="G52" s="18">
        <f t="shared" si="1"/>
        <v>1.1875</v>
      </c>
    </row>
    <row r="53" spans="2:7">
      <c r="B53" s="8" t="s">
        <v>56</v>
      </c>
      <c r="C53" s="18">
        <v>100.7</v>
      </c>
      <c r="D53" s="18">
        <v>73.7</v>
      </c>
      <c r="E53" s="9">
        <v>49</v>
      </c>
      <c r="F53" s="43">
        <f t="shared" si="0"/>
        <v>0.85964912280701755</v>
      </c>
      <c r="G53" s="18">
        <f t="shared" si="1"/>
        <v>1.1632653061224489</v>
      </c>
    </row>
    <row r="54" spans="2:7">
      <c r="B54" s="8" t="s">
        <v>57</v>
      </c>
      <c r="C54" s="18">
        <v>134</v>
      </c>
      <c r="D54" s="18">
        <v>73.5</v>
      </c>
      <c r="E54" s="9">
        <v>50</v>
      </c>
      <c r="F54" s="43">
        <f t="shared" si="0"/>
        <v>0.8771929824561403</v>
      </c>
      <c r="G54" s="18">
        <f t="shared" si="1"/>
        <v>1.1400000000000001</v>
      </c>
    </row>
    <row r="55" spans="2:7">
      <c r="B55" s="8" t="s">
        <v>58</v>
      </c>
      <c r="C55" s="18">
        <v>79.7</v>
      </c>
      <c r="D55" s="18">
        <v>73.400000000000006</v>
      </c>
      <c r="E55" s="9">
        <v>51</v>
      </c>
      <c r="F55" s="43">
        <f t="shared" si="0"/>
        <v>0.89473684210526316</v>
      </c>
      <c r="G55" s="18">
        <f t="shared" si="1"/>
        <v>1.1176470588235294</v>
      </c>
    </row>
    <row r="56" spans="2:7">
      <c r="B56" s="8" t="s">
        <v>59</v>
      </c>
      <c r="C56" s="18">
        <v>107.4</v>
      </c>
      <c r="D56" s="18">
        <v>73.400000000000006</v>
      </c>
      <c r="E56" s="9">
        <v>52</v>
      </c>
      <c r="F56" s="43">
        <f t="shared" si="0"/>
        <v>0.91228070175438591</v>
      </c>
      <c r="G56" s="18">
        <f t="shared" si="1"/>
        <v>1.0961538461538463</v>
      </c>
    </row>
    <row r="57" spans="2:7">
      <c r="B57" s="8" t="s">
        <v>60</v>
      </c>
      <c r="C57" s="18">
        <v>65.7</v>
      </c>
      <c r="D57" s="18">
        <v>65.7</v>
      </c>
      <c r="E57" s="9">
        <v>53</v>
      </c>
      <c r="F57" s="43">
        <f t="shared" si="0"/>
        <v>0.92982456140350878</v>
      </c>
      <c r="G57" s="18">
        <f t="shared" si="1"/>
        <v>1.0754716981132075</v>
      </c>
    </row>
    <row r="58" spans="2:7">
      <c r="B58" s="8" t="s">
        <v>61</v>
      </c>
      <c r="C58" s="18">
        <v>122.6</v>
      </c>
      <c r="D58" s="18">
        <v>54.3</v>
      </c>
      <c r="E58" s="9">
        <v>54</v>
      </c>
      <c r="F58" s="43">
        <f t="shared" si="0"/>
        <v>0.94736842105263153</v>
      </c>
      <c r="G58" s="18">
        <f t="shared" si="1"/>
        <v>1.0555555555555556</v>
      </c>
    </row>
    <row r="59" spans="2:7">
      <c r="B59" s="8" t="s">
        <v>62</v>
      </c>
      <c r="C59" s="18">
        <v>288.8</v>
      </c>
      <c r="D59" s="18">
        <v>47.9</v>
      </c>
      <c r="E59" s="9">
        <v>55</v>
      </c>
      <c r="F59" s="43">
        <f t="shared" si="0"/>
        <v>0.96491228070175439</v>
      </c>
      <c r="G59" s="18">
        <f t="shared" si="1"/>
        <v>1.0363636363636364</v>
      </c>
    </row>
    <row r="60" spans="2:7">
      <c r="B60" s="8" t="s">
        <v>63</v>
      </c>
      <c r="C60" s="18">
        <v>177.9</v>
      </c>
      <c r="D60" s="18">
        <v>37.1</v>
      </c>
      <c r="E60" s="9">
        <v>56</v>
      </c>
      <c r="F60" s="43">
        <f t="shared" si="0"/>
        <v>0.98245614035087714</v>
      </c>
      <c r="G60" s="18">
        <f t="shared" si="1"/>
        <v>1.017857142857143</v>
      </c>
    </row>
    <row r="61" spans="2:7">
      <c r="B61" s="10" t="s">
        <v>64</v>
      </c>
      <c r="C61" s="11">
        <f>COUNT(C5:C60)</f>
        <v>56</v>
      </c>
      <c r="D61" s="9"/>
      <c r="E61" s="9"/>
      <c r="F61" s="9"/>
      <c r="G61" s="9"/>
    </row>
    <row r="62" spans="2:7">
      <c r="B62" s="10" t="s">
        <v>65</v>
      </c>
      <c r="C62" s="19">
        <f>MIN(C5:C60)</f>
        <v>37.1</v>
      </c>
      <c r="D62" s="9"/>
      <c r="E62" s="9"/>
      <c r="F62" s="9"/>
      <c r="G62" s="9"/>
    </row>
    <row r="63" spans="2:7">
      <c r="B63" s="10" t="s">
        <v>66</v>
      </c>
      <c r="C63" s="19">
        <f>AVERAGE(C5:C60)</f>
        <v>139.83928571428572</v>
      </c>
      <c r="D63" s="9"/>
      <c r="E63" s="9"/>
      <c r="F63" s="9"/>
      <c r="G63" s="9"/>
    </row>
    <row r="64" spans="2:7">
      <c r="B64" s="10" t="s">
        <v>67</v>
      </c>
      <c r="C64" s="19">
        <f>MEDIAN(C5:C60)</f>
        <v>126.05000000000001</v>
      </c>
      <c r="D64" s="9"/>
      <c r="E64" s="9"/>
      <c r="F64" s="9"/>
      <c r="G64" s="9"/>
    </row>
    <row r="65" spans="2:7">
      <c r="B65" s="10" t="s">
        <v>68</v>
      </c>
      <c r="C65" s="19">
        <f>MAX(C5:C60)</f>
        <v>360.9</v>
      </c>
      <c r="D65" s="9"/>
      <c r="E65" s="9"/>
      <c r="F65" s="9"/>
      <c r="G65" s="9"/>
    </row>
    <row r="66" spans="2:7">
      <c r="B66" s="10" t="s">
        <v>69</v>
      </c>
      <c r="C66" s="19">
        <f>_xlfn.STDEV.S(C5:C60)</f>
        <v>65.063981597337715</v>
      </c>
      <c r="D66" s="9"/>
      <c r="E66" s="9"/>
      <c r="F66" s="9"/>
      <c r="G66" s="9"/>
    </row>
  </sheetData>
  <sortState ref="D5:D60">
    <sortCondition descending="1" ref="D5"/>
  </sortState>
  <mergeCells count="1">
    <mergeCell ref="J29:S3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F59"/>
  <sheetViews>
    <sheetView zoomScale="70" zoomScaleNormal="70" workbookViewId="0">
      <selection activeCell="G39" sqref="G39"/>
    </sheetView>
  </sheetViews>
  <sheetFormatPr defaultRowHeight="15"/>
  <cols>
    <col min="2" max="2" width="13.28515625" customWidth="1"/>
    <col min="3" max="3" width="16.7109375" customWidth="1"/>
    <col min="5" max="5" width="14" customWidth="1"/>
    <col min="6" max="6" width="13.85546875" customWidth="1"/>
  </cols>
  <sheetData>
    <row r="3" spans="1:6" ht="34.5">
      <c r="A3" s="6" t="s">
        <v>1</v>
      </c>
      <c r="B3" s="7" t="s">
        <v>5</v>
      </c>
      <c r="C3" s="6" t="s">
        <v>6</v>
      </c>
      <c r="D3" s="6" t="s">
        <v>2</v>
      </c>
      <c r="E3" s="6" t="s">
        <v>3</v>
      </c>
      <c r="F3" s="6" t="s">
        <v>4</v>
      </c>
    </row>
    <row r="4" spans="1:6">
      <c r="A4" s="8" t="s">
        <v>8</v>
      </c>
      <c r="B4" s="18">
        <v>154</v>
      </c>
      <c r="C4" s="18">
        <v>360.9</v>
      </c>
      <c r="D4" s="9">
        <v>1</v>
      </c>
      <c r="E4" s="9">
        <f>D4/57</f>
        <v>1.7543859649122806E-2</v>
      </c>
      <c r="F4" s="18">
        <f>1/E4</f>
        <v>57</v>
      </c>
    </row>
    <row r="5" spans="1:6">
      <c r="A5" s="8" t="s">
        <v>9</v>
      </c>
      <c r="B5" s="18">
        <v>54.3</v>
      </c>
      <c r="C5" s="18">
        <v>288.8</v>
      </c>
      <c r="D5" s="9">
        <v>2</v>
      </c>
      <c r="E5" s="9">
        <f t="shared" ref="E5:E59" si="0">D5/57</f>
        <v>3.5087719298245612E-2</v>
      </c>
      <c r="F5" s="18">
        <f t="shared" ref="F5:F59" si="1">1/E5</f>
        <v>28.5</v>
      </c>
    </row>
    <row r="6" spans="1:6">
      <c r="A6" s="8" t="s">
        <v>10</v>
      </c>
      <c r="B6" s="18">
        <v>124.9</v>
      </c>
      <c r="C6" s="18">
        <v>286.5</v>
      </c>
      <c r="D6" s="9">
        <v>3</v>
      </c>
      <c r="E6" s="9">
        <f t="shared" si="0"/>
        <v>5.2631578947368418E-2</v>
      </c>
      <c r="F6" s="18">
        <f t="shared" si="1"/>
        <v>19</v>
      </c>
    </row>
    <row r="7" spans="1:6">
      <c r="A7" s="8" t="s">
        <v>11</v>
      </c>
      <c r="B7" s="18">
        <v>176.8</v>
      </c>
      <c r="C7" s="18">
        <v>246</v>
      </c>
      <c r="D7" s="9">
        <v>4</v>
      </c>
      <c r="E7" s="9">
        <f t="shared" si="0"/>
        <v>7.0175438596491224E-2</v>
      </c>
      <c r="F7" s="18">
        <f t="shared" si="1"/>
        <v>14.25</v>
      </c>
    </row>
    <row r="8" spans="1:6">
      <c r="A8" s="8" t="s">
        <v>12</v>
      </c>
      <c r="B8" s="18">
        <v>47.9</v>
      </c>
      <c r="C8" s="18">
        <v>241.8</v>
      </c>
      <c r="D8" s="9">
        <v>5</v>
      </c>
      <c r="E8" s="9">
        <f t="shared" si="0"/>
        <v>8.771929824561403E-2</v>
      </c>
      <c r="F8" s="18">
        <f t="shared" si="1"/>
        <v>11.4</v>
      </c>
    </row>
    <row r="9" spans="1:6">
      <c r="A9" s="8" t="s">
        <v>13</v>
      </c>
      <c r="B9" s="18">
        <v>149.80000000000001</v>
      </c>
      <c r="C9" s="18">
        <v>236.7</v>
      </c>
      <c r="D9" s="9">
        <v>6</v>
      </c>
      <c r="E9" s="9">
        <f t="shared" si="0"/>
        <v>0.10526315789473684</v>
      </c>
      <c r="F9" s="18">
        <f t="shared" si="1"/>
        <v>9.5</v>
      </c>
    </row>
    <row r="10" spans="1:6">
      <c r="A10" s="8" t="s">
        <v>14</v>
      </c>
      <c r="B10" s="18">
        <v>115.1</v>
      </c>
      <c r="C10" s="18">
        <v>220.6</v>
      </c>
      <c r="D10" s="9">
        <v>7</v>
      </c>
      <c r="E10" s="9">
        <f t="shared" si="0"/>
        <v>0.12280701754385964</v>
      </c>
      <c r="F10" s="18">
        <f t="shared" si="1"/>
        <v>8.1428571428571441</v>
      </c>
    </row>
    <row r="11" spans="1:6">
      <c r="A11" s="8" t="s">
        <v>15</v>
      </c>
      <c r="B11" s="18">
        <v>148.30000000000001</v>
      </c>
      <c r="C11" s="18">
        <v>216.3</v>
      </c>
      <c r="D11" s="9">
        <v>8</v>
      </c>
      <c r="E11" s="9">
        <f t="shared" si="0"/>
        <v>0.14035087719298245</v>
      </c>
      <c r="F11" s="18">
        <f t="shared" si="1"/>
        <v>7.125</v>
      </c>
    </row>
    <row r="12" spans="1:6">
      <c r="A12" s="8" t="s">
        <v>16</v>
      </c>
      <c r="B12" s="18">
        <v>85.4</v>
      </c>
      <c r="C12" s="18">
        <v>201.6</v>
      </c>
      <c r="D12" s="9">
        <v>9</v>
      </c>
      <c r="E12" s="9">
        <f t="shared" si="0"/>
        <v>0.15789473684210525</v>
      </c>
      <c r="F12" s="18">
        <f t="shared" si="1"/>
        <v>6.3333333333333339</v>
      </c>
    </row>
    <row r="13" spans="1:6">
      <c r="A13" s="8" t="s">
        <v>17</v>
      </c>
      <c r="B13" s="18">
        <v>80.7</v>
      </c>
      <c r="C13" s="18">
        <v>195.8</v>
      </c>
      <c r="D13" s="9">
        <v>10</v>
      </c>
      <c r="E13" s="9">
        <f t="shared" si="0"/>
        <v>0.17543859649122806</v>
      </c>
      <c r="F13" s="18">
        <f t="shared" si="1"/>
        <v>5.7</v>
      </c>
    </row>
    <row r="14" spans="1:6">
      <c r="A14" s="8" t="s">
        <v>18</v>
      </c>
      <c r="B14" s="18">
        <v>73.7</v>
      </c>
      <c r="C14" s="18">
        <v>185.1</v>
      </c>
      <c r="D14" s="9">
        <v>11</v>
      </c>
      <c r="E14" s="9">
        <f t="shared" si="0"/>
        <v>0.19298245614035087</v>
      </c>
      <c r="F14" s="18">
        <f t="shared" si="1"/>
        <v>5.1818181818181825</v>
      </c>
    </row>
    <row r="15" spans="1:6">
      <c r="A15" s="8" t="s">
        <v>19</v>
      </c>
      <c r="B15" s="18">
        <v>112.2</v>
      </c>
      <c r="C15" s="18">
        <v>180.6</v>
      </c>
      <c r="D15" s="9">
        <v>12</v>
      </c>
      <c r="E15" s="9">
        <f t="shared" si="0"/>
        <v>0.21052631578947367</v>
      </c>
      <c r="F15" s="18">
        <f t="shared" si="1"/>
        <v>4.75</v>
      </c>
    </row>
    <row r="16" spans="1:6">
      <c r="A16" s="8" t="s">
        <v>20</v>
      </c>
      <c r="B16" s="18">
        <v>76.900000000000006</v>
      </c>
      <c r="C16" s="18">
        <v>177.9</v>
      </c>
      <c r="D16" s="9">
        <v>13</v>
      </c>
      <c r="E16" s="9">
        <f t="shared" si="0"/>
        <v>0.22807017543859648</v>
      </c>
      <c r="F16" s="18">
        <f t="shared" si="1"/>
        <v>4.384615384615385</v>
      </c>
    </row>
    <row r="17" spans="1:6">
      <c r="A17" s="8" t="s">
        <v>21</v>
      </c>
      <c r="B17" s="18">
        <v>85.2</v>
      </c>
      <c r="C17" s="18">
        <v>176.8</v>
      </c>
      <c r="D17" s="9">
        <v>14</v>
      </c>
      <c r="E17" s="9">
        <f t="shared" si="0"/>
        <v>0.24561403508771928</v>
      </c>
      <c r="F17" s="18">
        <f t="shared" si="1"/>
        <v>4.0714285714285721</v>
      </c>
    </row>
    <row r="18" spans="1:6">
      <c r="A18" s="8" t="s">
        <v>22</v>
      </c>
      <c r="B18" s="18">
        <v>136.19999999999999</v>
      </c>
      <c r="C18" s="18">
        <v>170.3</v>
      </c>
      <c r="D18" s="9">
        <v>15</v>
      </c>
      <c r="E18" s="9">
        <f t="shared" si="0"/>
        <v>0.26315789473684209</v>
      </c>
      <c r="F18" s="18">
        <f t="shared" si="1"/>
        <v>3.8000000000000003</v>
      </c>
    </row>
    <row r="19" spans="1:6">
      <c r="A19" s="8" t="s">
        <v>23</v>
      </c>
      <c r="B19" s="18">
        <v>73.5</v>
      </c>
      <c r="C19" s="18">
        <v>169.8</v>
      </c>
      <c r="D19" s="9">
        <v>16</v>
      </c>
      <c r="E19" s="9">
        <f t="shared" si="0"/>
        <v>0.2807017543859649</v>
      </c>
      <c r="F19" s="18">
        <f t="shared" si="1"/>
        <v>3.5625</v>
      </c>
    </row>
    <row r="20" spans="1:6">
      <c r="A20" s="8" t="s">
        <v>24</v>
      </c>
      <c r="B20" s="18">
        <v>119</v>
      </c>
      <c r="C20" s="18">
        <v>154</v>
      </c>
      <c r="D20" s="9">
        <v>17</v>
      </c>
      <c r="E20" s="9">
        <f t="shared" si="0"/>
        <v>0.2982456140350877</v>
      </c>
      <c r="F20" s="18">
        <f t="shared" si="1"/>
        <v>3.3529411764705883</v>
      </c>
    </row>
    <row r="21" spans="1:6">
      <c r="A21" s="8" t="s">
        <v>25</v>
      </c>
      <c r="B21" s="18">
        <v>115.5</v>
      </c>
      <c r="C21" s="18">
        <v>149.80000000000001</v>
      </c>
      <c r="D21" s="9">
        <v>18</v>
      </c>
      <c r="E21" s="9">
        <f t="shared" si="0"/>
        <v>0.31578947368421051</v>
      </c>
      <c r="F21" s="18">
        <f t="shared" si="1"/>
        <v>3.166666666666667</v>
      </c>
    </row>
    <row r="22" spans="1:6">
      <c r="A22" s="8" t="s">
        <v>26</v>
      </c>
      <c r="B22" s="18">
        <v>241.8</v>
      </c>
      <c r="C22" s="18">
        <v>148.30000000000001</v>
      </c>
      <c r="D22" s="9">
        <v>19</v>
      </c>
      <c r="E22" s="9">
        <f t="shared" si="0"/>
        <v>0.33333333333333331</v>
      </c>
      <c r="F22" s="18">
        <f t="shared" si="1"/>
        <v>3</v>
      </c>
    </row>
    <row r="23" spans="1:6">
      <c r="A23" s="8" t="s">
        <v>27</v>
      </c>
      <c r="B23" s="18">
        <v>145.30000000000001</v>
      </c>
      <c r="C23" s="18">
        <v>147.80000000000001</v>
      </c>
      <c r="D23" s="9">
        <v>20</v>
      </c>
      <c r="E23" s="9">
        <f t="shared" si="0"/>
        <v>0.35087719298245612</v>
      </c>
      <c r="F23" s="18">
        <f t="shared" si="1"/>
        <v>2.85</v>
      </c>
    </row>
    <row r="24" spans="1:6">
      <c r="A24" s="8" t="s">
        <v>28</v>
      </c>
      <c r="B24" s="18">
        <v>169.8</v>
      </c>
      <c r="C24" s="18">
        <v>146.69999999999999</v>
      </c>
      <c r="D24" s="9">
        <v>21</v>
      </c>
      <c r="E24" s="9">
        <f t="shared" si="0"/>
        <v>0.36842105263157893</v>
      </c>
      <c r="F24" s="18">
        <f t="shared" si="1"/>
        <v>2.7142857142857144</v>
      </c>
    </row>
    <row r="25" spans="1:6">
      <c r="A25" s="8" t="s">
        <v>29</v>
      </c>
      <c r="B25" s="18">
        <v>127.2</v>
      </c>
      <c r="C25" s="18">
        <v>145.30000000000001</v>
      </c>
      <c r="D25" s="9">
        <v>22</v>
      </c>
      <c r="E25" s="9">
        <f t="shared" si="0"/>
        <v>0.38596491228070173</v>
      </c>
      <c r="F25" s="18">
        <f t="shared" si="1"/>
        <v>2.5909090909090913</v>
      </c>
    </row>
    <row r="26" spans="1:6">
      <c r="A26" s="8" t="s">
        <v>30</v>
      </c>
      <c r="B26" s="18">
        <v>73.400000000000006</v>
      </c>
      <c r="C26" s="18">
        <v>143.4</v>
      </c>
      <c r="D26" s="9">
        <v>23</v>
      </c>
      <c r="E26" s="9">
        <f t="shared" si="0"/>
        <v>0.40350877192982454</v>
      </c>
      <c r="F26" s="18">
        <f t="shared" si="1"/>
        <v>2.4782608695652177</v>
      </c>
    </row>
    <row r="27" spans="1:6">
      <c r="A27" s="8" t="s">
        <v>31</v>
      </c>
      <c r="B27" s="18">
        <v>90.6</v>
      </c>
      <c r="C27" s="18">
        <v>142.1</v>
      </c>
      <c r="D27" s="9">
        <v>24</v>
      </c>
      <c r="E27" s="9">
        <f t="shared" si="0"/>
        <v>0.42105263157894735</v>
      </c>
      <c r="F27" s="18">
        <f t="shared" si="1"/>
        <v>2.375</v>
      </c>
    </row>
    <row r="28" spans="1:6">
      <c r="A28" s="8" t="s">
        <v>32</v>
      </c>
      <c r="B28" s="18">
        <v>143.4</v>
      </c>
      <c r="C28" s="18">
        <v>136.4</v>
      </c>
      <c r="D28" s="9">
        <v>25</v>
      </c>
      <c r="E28" s="9">
        <f t="shared" si="0"/>
        <v>0.43859649122807015</v>
      </c>
      <c r="F28" s="18">
        <f t="shared" si="1"/>
        <v>2.2800000000000002</v>
      </c>
    </row>
    <row r="29" spans="1:6">
      <c r="A29" s="8" t="s">
        <v>33</v>
      </c>
      <c r="B29" s="18">
        <v>246</v>
      </c>
      <c r="C29" s="18">
        <v>136.19999999999999</v>
      </c>
      <c r="D29" s="9">
        <v>26</v>
      </c>
      <c r="E29" s="9">
        <f t="shared" si="0"/>
        <v>0.45614035087719296</v>
      </c>
      <c r="F29" s="18">
        <f t="shared" si="1"/>
        <v>2.1923076923076925</v>
      </c>
    </row>
    <row r="30" spans="1:6">
      <c r="A30" s="8" t="s">
        <v>34</v>
      </c>
      <c r="B30" s="18">
        <v>185.1</v>
      </c>
      <c r="C30" s="18">
        <v>134</v>
      </c>
      <c r="D30" s="9">
        <v>27</v>
      </c>
      <c r="E30" s="9">
        <f t="shared" si="0"/>
        <v>0.47368421052631576</v>
      </c>
      <c r="F30" s="18">
        <f t="shared" si="1"/>
        <v>2.1111111111111112</v>
      </c>
    </row>
    <row r="31" spans="1:6">
      <c r="A31" s="8" t="s">
        <v>35</v>
      </c>
      <c r="B31" s="18">
        <v>105.7</v>
      </c>
      <c r="C31" s="18">
        <v>127.2</v>
      </c>
      <c r="D31" s="9">
        <v>28</v>
      </c>
      <c r="E31" s="9">
        <f t="shared" si="0"/>
        <v>0.49122807017543857</v>
      </c>
      <c r="F31" s="18">
        <f t="shared" si="1"/>
        <v>2.035714285714286</v>
      </c>
    </row>
    <row r="32" spans="1:6">
      <c r="A32" s="8" t="s">
        <v>36</v>
      </c>
      <c r="B32" s="18">
        <v>73.400000000000006</v>
      </c>
      <c r="C32" s="18">
        <v>124.9</v>
      </c>
      <c r="D32" s="9">
        <v>29</v>
      </c>
      <c r="E32" s="9">
        <f t="shared" si="0"/>
        <v>0.50877192982456143</v>
      </c>
      <c r="F32" s="18">
        <f t="shared" si="1"/>
        <v>1.9655172413793103</v>
      </c>
    </row>
    <row r="33" spans="1:6">
      <c r="A33" s="8" t="s">
        <v>37</v>
      </c>
      <c r="B33" s="18">
        <v>180.6</v>
      </c>
      <c r="C33" s="18">
        <v>123.2</v>
      </c>
      <c r="D33" s="9">
        <v>30</v>
      </c>
      <c r="E33" s="9">
        <f t="shared" si="0"/>
        <v>0.52631578947368418</v>
      </c>
      <c r="F33" s="18">
        <f t="shared" si="1"/>
        <v>1.9000000000000001</v>
      </c>
    </row>
    <row r="34" spans="1:6">
      <c r="A34" s="8" t="s">
        <v>38</v>
      </c>
      <c r="B34" s="18">
        <v>170.3</v>
      </c>
      <c r="C34" s="18">
        <v>122.6</v>
      </c>
      <c r="D34" s="9">
        <v>31</v>
      </c>
      <c r="E34" s="9">
        <f t="shared" si="0"/>
        <v>0.54385964912280704</v>
      </c>
      <c r="F34" s="18">
        <f t="shared" si="1"/>
        <v>1.8387096774193548</v>
      </c>
    </row>
    <row r="35" spans="1:6">
      <c r="A35" s="8" t="s">
        <v>39</v>
      </c>
      <c r="B35" s="18">
        <v>37.1</v>
      </c>
      <c r="C35" s="18">
        <v>119</v>
      </c>
      <c r="D35" s="9">
        <v>32</v>
      </c>
      <c r="E35" s="9">
        <f t="shared" si="0"/>
        <v>0.56140350877192979</v>
      </c>
      <c r="F35" s="18">
        <f t="shared" si="1"/>
        <v>1.78125</v>
      </c>
    </row>
    <row r="36" spans="1:6">
      <c r="A36" s="8" t="s">
        <v>40</v>
      </c>
      <c r="B36" s="18">
        <v>123.2</v>
      </c>
      <c r="C36" s="18">
        <v>115.5</v>
      </c>
      <c r="D36" s="9">
        <v>33</v>
      </c>
      <c r="E36" s="9">
        <f t="shared" si="0"/>
        <v>0.57894736842105265</v>
      </c>
      <c r="F36" s="18">
        <f t="shared" si="1"/>
        <v>1.7272727272727273</v>
      </c>
    </row>
    <row r="37" spans="1:6">
      <c r="A37" s="8" t="s">
        <v>41</v>
      </c>
      <c r="B37" s="18">
        <v>109.4</v>
      </c>
      <c r="C37" s="18">
        <v>115.1</v>
      </c>
      <c r="D37" s="9">
        <v>34</v>
      </c>
      <c r="E37" s="9">
        <f t="shared" si="0"/>
        <v>0.59649122807017541</v>
      </c>
      <c r="F37" s="18">
        <f t="shared" si="1"/>
        <v>1.6764705882352942</v>
      </c>
    </row>
    <row r="38" spans="1:6">
      <c r="A38" s="8" t="s">
        <v>42</v>
      </c>
      <c r="B38" s="18">
        <v>142.1</v>
      </c>
      <c r="C38" s="18">
        <v>112.2</v>
      </c>
      <c r="D38" s="9">
        <v>35</v>
      </c>
      <c r="E38" s="9">
        <f t="shared" si="0"/>
        <v>0.61403508771929827</v>
      </c>
      <c r="F38" s="18">
        <f t="shared" si="1"/>
        <v>1.6285714285714286</v>
      </c>
    </row>
    <row r="39" spans="1:6">
      <c r="A39" s="8" t="s">
        <v>43</v>
      </c>
      <c r="B39" s="18">
        <v>103.4</v>
      </c>
      <c r="C39" s="18">
        <v>112.1</v>
      </c>
      <c r="D39" s="9">
        <v>36</v>
      </c>
      <c r="E39" s="9">
        <f t="shared" si="0"/>
        <v>0.63157894736842102</v>
      </c>
      <c r="F39" s="18">
        <f t="shared" si="1"/>
        <v>1.5833333333333335</v>
      </c>
    </row>
    <row r="40" spans="1:6">
      <c r="A40" s="8" t="s">
        <v>44</v>
      </c>
      <c r="B40" s="18">
        <v>360.9</v>
      </c>
      <c r="C40" s="18">
        <v>109.4</v>
      </c>
      <c r="D40" s="9">
        <v>37</v>
      </c>
      <c r="E40" s="9">
        <f t="shared" si="0"/>
        <v>0.64912280701754388</v>
      </c>
      <c r="F40" s="18">
        <f t="shared" si="1"/>
        <v>1.5405405405405406</v>
      </c>
    </row>
    <row r="41" spans="1:6">
      <c r="A41" s="8" t="s">
        <v>45</v>
      </c>
      <c r="B41" s="18">
        <v>136.4</v>
      </c>
      <c r="C41" s="18">
        <v>107.4</v>
      </c>
      <c r="D41" s="9">
        <v>38</v>
      </c>
      <c r="E41" s="9">
        <f t="shared" si="0"/>
        <v>0.66666666666666663</v>
      </c>
      <c r="F41" s="18">
        <f t="shared" si="1"/>
        <v>1.5</v>
      </c>
    </row>
    <row r="42" spans="1:6">
      <c r="A42" s="8" t="s">
        <v>46</v>
      </c>
      <c r="B42" s="18">
        <v>236.7</v>
      </c>
      <c r="C42" s="18">
        <v>105.7</v>
      </c>
      <c r="D42" s="9">
        <v>39</v>
      </c>
      <c r="E42" s="9">
        <f t="shared" si="0"/>
        <v>0.68421052631578949</v>
      </c>
      <c r="F42" s="18">
        <f t="shared" si="1"/>
        <v>1.4615384615384615</v>
      </c>
    </row>
    <row r="43" spans="1:6">
      <c r="A43" s="8" t="s">
        <v>47</v>
      </c>
      <c r="B43" s="18">
        <v>216.3</v>
      </c>
      <c r="C43" s="18">
        <v>103.4</v>
      </c>
      <c r="D43" s="9">
        <v>40</v>
      </c>
      <c r="E43" s="9">
        <f t="shared" si="0"/>
        <v>0.70175438596491224</v>
      </c>
      <c r="F43" s="18">
        <f t="shared" si="1"/>
        <v>1.425</v>
      </c>
    </row>
    <row r="44" spans="1:6">
      <c r="A44" s="8" t="s">
        <v>48</v>
      </c>
      <c r="B44" s="18">
        <v>220.6</v>
      </c>
      <c r="C44" s="18">
        <v>100.7</v>
      </c>
      <c r="D44" s="9">
        <v>41</v>
      </c>
      <c r="E44" s="9">
        <f t="shared" si="0"/>
        <v>0.7192982456140351</v>
      </c>
      <c r="F44" s="18">
        <f t="shared" si="1"/>
        <v>1.3902439024390243</v>
      </c>
    </row>
    <row r="45" spans="1:6">
      <c r="A45" s="8" t="s">
        <v>49</v>
      </c>
      <c r="B45" s="18">
        <v>195.8</v>
      </c>
      <c r="C45" s="18">
        <v>95.6</v>
      </c>
      <c r="D45" s="9">
        <v>42</v>
      </c>
      <c r="E45" s="9">
        <f t="shared" si="0"/>
        <v>0.73684210526315785</v>
      </c>
      <c r="F45" s="18">
        <f t="shared" si="1"/>
        <v>1.3571428571428572</v>
      </c>
    </row>
    <row r="46" spans="1:6">
      <c r="A46" s="8" t="s">
        <v>50</v>
      </c>
      <c r="B46" s="18">
        <v>112.1</v>
      </c>
      <c r="C46" s="18">
        <v>90.6</v>
      </c>
      <c r="D46" s="9">
        <v>43</v>
      </c>
      <c r="E46" s="9">
        <f t="shared" si="0"/>
        <v>0.75438596491228072</v>
      </c>
      <c r="F46" s="18">
        <f t="shared" si="1"/>
        <v>1.3255813953488371</v>
      </c>
    </row>
    <row r="47" spans="1:6">
      <c r="A47" s="8" t="s">
        <v>51</v>
      </c>
      <c r="B47" s="18">
        <v>146.69999999999999</v>
      </c>
      <c r="C47" s="18">
        <v>85.4</v>
      </c>
      <c r="D47" s="9">
        <v>44</v>
      </c>
      <c r="E47" s="9">
        <f t="shared" si="0"/>
        <v>0.77192982456140347</v>
      </c>
      <c r="F47" s="18">
        <f t="shared" si="1"/>
        <v>1.2954545454545456</v>
      </c>
    </row>
    <row r="48" spans="1:6">
      <c r="A48" s="8" t="s">
        <v>52</v>
      </c>
      <c r="B48" s="18">
        <v>201.6</v>
      </c>
      <c r="C48" s="18">
        <v>85.2</v>
      </c>
      <c r="D48" s="9">
        <v>45</v>
      </c>
      <c r="E48" s="9">
        <f t="shared" si="0"/>
        <v>0.78947368421052633</v>
      </c>
      <c r="F48" s="18">
        <f t="shared" si="1"/>
        <v>1.2666666666666666</v>
      </c>
    </row>
    <row r="49" spans="1:6">
      <c r="A49" s="8" t="s">
        <v>53</v>
      </c>
      <c r="B49" s="18">
        <v>95.6</v>
      </c>
      <c r="C49" s="18">
        <v>80.7</v>
      </c>
      <c r="D49" s="9">
        <v>46</v>
      </c>
      <c r="E49" s="9">
        <f t="shared" si="0"/>
        <v>0.80701754385964908</v>
      </c>
      <c r="F49" s="18">
        <f t="shared" si="1"/>
        <v>1.2391304347826089</v>
      </c>
    </row>
    <row r="50" spans="1:6">
      <c r="A50" s="8" t="s">
        <v>54</v>
      </c>
      <c r="B50" s="18">
        <v>147.80000000000001</v>
      </c>
      <c r="C50" s="18">
        <v>79.7</v>
      </c>
      <c r="D50" s="9">
        <v>47</v>
      </c>
      <c r="E50" s="9">
        <f t="shared" si="0"/>
        <v>0.82456140350877194</v>
      </c>
      <c r="F50" s="18">
        <f t="shared" si="1"/>
        <v>1.2127659574468086</v>
      </c>
    </row>
    <row r="51" spans="1:6">
      <c r="A51" s="8" t="s">
        <v>55</v>
      </c>
      <c r="B51" s="18">
        <v>286.5</v>
      </c>
      <c r="C51" s="18">
        <v>76.900000000000006</v>
      </c>
      <c r="D51" s="9">
        <v>48</v>
      </c>
      <c r="E51" s="9">
        <f t="shared" si="0"/>
        <v>0.84210526315789469</v>
      </c>
      <c r="F51" s="18">
        <f t="shared" si="1"/>
        <v>1.1875</v>
      </c>
    </row>
    <row r="52" spans="1:6">
      <c r="A52" s="8" t="s">
        <v>56</v>
      </c>
      <c r="B52" s="18">
        <v>100.7</v>
      </c>
      <c r="C52" s="18">
        <v>73.7</v>
      </c>
      <c r="D52" s="9">
        <v>49</v>
      </c>
      <c r="E52" s="9">
        <f t="shared" si="0"/>
        <v>0.85964912280701755</v>
      </c>
      <c r="F52" s="18">
        <f t="shared" si="1"/>
        <v>1.1632653061224489</v>
      </c>
    </row>
    <row r="53" spans="1:6">
      <c r="A53" s="8" t="s">
        <v>57</v>
      </c>
      <c r="B53" s="18">
        <v>134</v>
      </c>
      <c r="C53" s="18">
        <v>73.5</v>
      </c>
      <c r="D53" s="9">
        <v>50</v>
      </c>
      <c r="E53" s="9">
        <f t="shared" si="0"/>
        <v>0.8771929824561403</v>
      </c>
      <c r="F53" s="18">
        <f t="shared" si="1"/>
        <v>1.1400000000000001</v>
      </c>
    </row>
    <row r="54" spans="1:6">
      <c r="A54" s="8" t="s">
        <v>58</v>
      </c>
      <c r="B54" s="18">
        <v>79.7</v>
      </c>
      <c r="C54" s="18">
        <v>73.400000000000006</v>
      </c>
      <c r="D54" s="9">
        <v>51</v>
      </c>
      <c r="E54" s="9">
        <f t="shared" si="0"/>
        <v>0.89473684210526316</v>
      </c>
      <c r="F54" s="18">
        <f t="shared" si="1"/>
        <v>1.1176470588235294</v>
      </c>
    </row>
    <row r="55" spans="1:6">
      <c r="A55" s="8" t="s">
        <v>59</v>
      </c>
      <c r="B55" s="18">
        <v>107.4</v>
      </c>
      <c r="C55" s="18">
        <v>73.400000000000006</v>
      </c>
      <c r="D55" s="9">
        <v>52</v>
      </c>
      <c r="E55" s="9">
        <f t="shared" si="0"/>
        <v>0.91228070175438591</v>
      </c>
      <c r="F55" s="18">
        <f t="shared" si="1"/>
        <v>1.0961538461538463</v>
      </c>
    </row>
    <row r="56" spans="1:6">
      <c r="A56" s="8" t="s">
        <v>60</v>
      </c>
      <c r="B56" s="18">
        <v>65.7</v>
      </c>
      <c r="C56" s="18">
        <v>65.7</v>
      </c>
      <c r="D56" s="9">
        <v>53</v>
      </c>
      <c r="E56" s="9">
        <f t="shared" si="0"/>
        <v>0.92982456140350878</v>
      </c>
      <c r="F56" s="18">
        <f t="shared" si="1"/>
        <v>1.0754716981132075</v>
      </c>
    </row>
    <row r="57" spans="1:6">
      <c r="A57" s="8" t="s">
        <v>61</v>
      </c>
      <c r="B57" s="18">
        <v>122.6</v>
      </c>
      <c r="C57" s="18">
        <v>54.3</v>
      </c>
      <c r="D57" s="9">
        <v>54</v>
      </c>
      <c r="E57" s="9">
        <f t="shared" si="0"/>
        <v>0.94736842105263153</v>
      </c>
      <c r="F57" s="18">
        <f t="shared" si="1"/>
        <v>1.0555555555555556</v>
      </c>
    </row>
    <row r="58" spans="1:6">
      <c r="A58" s="8" t="s">
        <v>62</v>
      </c>
      <c r="B58" s="18">
        <v>288.8</v>
      </c>
      <c r="C58" s="18">
        <v>47.9</v>
      </c>
      <c r="D58" s="9">
        <v>55</v>
      </c>
      <c r="E58" s="9">
        <f t="shared" si="0"/>
        <v>0.96491228070175439</v>
      </c>
      <c r="F58" s="18">
        <f t="shared" si="1"/>
        <v>1.0363636363636364</v>
      </c>
    </row>
    <row r="59" spans="1:6">
      <c r="A59" s="8" t="s">
        <v>63</v>
      </c>
      <c r="B59" s="18">
        <v>177.9</v>
      </c>
      <c r="C59" s="18">
        <v>37.1</v>
      </c>
      <c r="D59" s="9">
        <v>56</v>
      </c>
      <c r="E59" s="9">
        <f t="shared" si="0"/>
        <v>0.98245614035087714</v>
      </c>
      <c r="F59" s="18">
        <f t="shared" si="1"/>
        <v>1.017857142857143</v>
      </c>
    </row>
  </sheetData>
  <sortState ref="C4:C59">
    <sortCondition descending="1" ref="C4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2:O7"/>
  <sheetViews>
    <sheetView workbookViewId="0">
      <selection activeCell="L17" sqref="L17"/>
    </sheetView>
  </sheetViews>
  <sheetFormatPr defaultRowHeight="15"/>
  <sheetData>
    <row r="2" spans="3:15" ht="23.25">
      <c r="C2" s="87" t="s">
        <v>166</v>
      </c>
      <c r="D2" s="88"/>
      <c r="E2" s="88"/>
      <c r="F2" s="88"/>
    </row>
    <row r="4" spans="3:15">
      <c r="C4" s="83" t="s">
        <v>167</v>
      </c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3:15"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</row>
    <row r="6" spans="3:15"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</row>
    <row r="7" spans="3:15"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</row>
  </sheetData>
  <mergeCells count="2">
    <mergeCell ref="C4:O7"/>
    <mergeCell ref="C2:F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O76"/>
  <sheetViews>
    <sheetView topLeftCell="A13" zoomScale="85" zoomScaleNormal="85" workbookViewId="0">
      <selection activeCell="L72" sqref="L72"/>
    </sheetView>
  </sheetViews>
  <sheetFormatPr defaultRowHeight="15"/>
  <cols>
    <col min="3" max="3" width="9.140625" customWidth="1"/>
    <col min="14" max="14" width="10.7109375" bestFit="1" customWidth="1"/>
    <col min="15" max="15" width="9.28515625" bestFit="1" customWidth="1"/>
  </cols>
  <sheetData>
    <row r="1" spans="2:15" ht="23.25">
      <c r="L1" s="89" t="s">
        <v>81</v>
      </c>
      <c r="M1" s="90"/>
      <c r="N1" s="90"/>
      <c r="O1" s="90"/>
    </row>
    <row r="2" spans="2:15" ht="18">
      <c r="B2" s="21" t="s">
        <v>82</v>
      </c>
      <c r="C2" s="22" t="s">
        <v>198</v>
      </c>
      <c r="D2" s="22"/>
      <c r="E2" s="22"/>
    </row>
    <row r="3" spans="2:15" ht="18">
      <c r="B3" s="21" t="s">
        <v>83</v>
      </c>
      <c r="C3" s="22" t="s">
        <v>199</v>
      </c>
      <c r="D3" s="22"/>
      <c r="E3" s="22"/>
    </row>
    <row r="5" spans="2:15">
      <c r="B5" s="22"/>
      <c r="C5" s="22" t="s">
        <v>208</v>
      </c>
      <c r="D5" s="22"/>
      <c r="E5" s="22"/>
    </row>
    <row r="6" spans="2:15" ht="18.75">
      <c r="B6" s="58" t="s">
        <v>83</v>
      </c>
      <c r="C6" s="22" t="s">
        <v>209</v>
      </c>
      <c r="D6" s="22"/>
      <c r="E6" s="22"/>
    </row>
    <row r="8" spans="2:15" ht="18">
      <c r="B8" s="23"/>
      <c r="C8" s="24">
        <v>139.80000000000001</v>
      </c>
      <c r="D8" t="s">
        <v>86</v>
      </c>
    </row>
    <row r="9" spans="2:15" ht="15.75">
      <c r="C9" s="24">
        <v>65.099999999999994</v>
      </c>
      <c r="D9" t="s">
        <v>86</v>
      </c>
    </row>
    <row r="11" spans="2:15" ht="15.75">
      <c r="B11" s="29" t="s">
        <v>78</v>
      </c>
      <c r="C11" s="30"/>
    </row>
    <row r="25" spans="3:5">
      <c r="C25" t="s">
        <v>168</v>
      </c>
    </row>
    <row r="27" spans="3:5">
      <c r="C27" t="s">
        <v>169</v>
      </c>
    </row>
    <row r="29" spans="3:5">
      <c r="E29" t="s">
        <v>200</v>
      </c>
    </row>
    <row r="36" spans="2:6" ht="18.75">
      <c r="C36" s="31" t="s">
        <v>170</v>
      </c>
      <c r="D36" s="31"/>
      <c r="E36" s="31"/>
      <c r="F36" s="31"/>
    </row>
    <row r="38" spans="2:6" ht="21">
      <c r="C38" s="32" t="s">
        <v>171</v>
      </c>
      <c r="D38" s="33">
        <f>0.5-0.4931</f>
        <v>6.9000000000000172E-3</v>
      </c>
    </row>
    <row r="40" spans="2:6" ht="18.75">
      <c r="C40" s="34" t="s">
        <v>173</v>
      </c>
      <c r="D40" s="35">
        <f>1/D38</f>
        <v>144.92753623188369</v>
      </c>
      <c r="E40" s="36" t="s">
        <v>172</v>
      </c>
    </row>
    <row r="46" spans="2:6" ht="15.75">
      <c r="B46" s="29" t="s">
        <v>78</v>
      </c>
      <c r="C46" s="30"/>
    </row>
    <row r="61" spans="3:4">
      <c r="C61" t="s">
        <v>179</v>
      </c>
      <c r="D61">
        <v>89.8</v>
      </c>
    </row>
    <row r="63" spans="3:4">
      <c r="C63" t="s">
        <v>180</v>
      </c>
    </row>
    <row r="71" spans="3:15" ht="23.25">
      <c r="M71" s="45"/>
      <c r="N71" s="44"/>
      <c r="O71" s="45"/>
    </row>
    <row r="72" spans="3:15" ht="23.25">
      <c r="C72" s="31" t="s">
        <v>210</v>
      </c>
      <c r="D72" s="31"/>
      <c r="E72" s="31"/>
      <c r="F72" s="31"/>
      <c r="M72" s="45"/>
      <c r="N72" s="45"/>
      <c r="O72" s="45"/>
    </row>
    <row r="74" spans="3:15" ht="21">
      <c r="C74" s="32" t="s">
        <v>171</v>
      </c>
      <c r="D74" s="33">
        <f>0.5-0.4162</f>
        <v>8.3799999999999986E-2</v>
      </c>
    </row>
    <row r="76" spans="3:15" ht="18.75">
      <c r="C76" s="34" t="s">
        <v>173</v>
      </c>
      <c r="D76" s="35">
        <f>1/D74</f>
        <v>11.933174224343677</v>
      </c>
      <c r="E76" s="36" t="s">
        <v>172</v>
      </c>
    </row>
  </sheetData>
  <mergeCells count="1">
    <mergeCell ref="L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T57"/>
  <sheetViews>
    <sheetView workbookViewId="0">
      <selection activeCell="V17" sqref="V17"/>
    </sheetView>
  </sheetViews>
  <sheetFormatPr defaultRowHeight="15"/>
  <cols>
    <col min="5" max="5" width="16.140625" customWidth="1"/>
    <col min="6" max="6" width="11.7109375" customWidth="1"/>
    <col min="11" max="11" width="11" customWidth="1"/>
    <col min="18" max="20" width="0" hidden="1" customWidth="1"/>
  </cols>
  <sheetData>
    <row r="1" spans="1:20">
      <c r="A1" s="27" t="s">
        <v>105</v>
      </c>
      <c r="B1" s="27" t="s">
        <v>106</v>
      </c>
      <c r="E1" t="s">
        <v>163</v>
      </c>
      <c r="F1" t="s">
        <v>104</v>
      </c>
    </row>
    <row r="2" spans="1:20">
      <c r="A2" s="26" t="s">
        <v>107</v>
      </c>
      <c r="B2" s="25">
        <v>154</v>
      </c>
      <c r="E2" s="3" t="s">
        <v>96</v>
      </c>
      <c r="F2">
        <v>1</v>
      </c>
      <c r="R2" t="s">
        <v>87</v>
      </c>
      <c r="S2">
        <f>COUNTIF($B$2:$B$57,"&lt;40")</f>
        <v>1</v>
      </c>
      <c r="T2">
        <f>S2</f>
        <v>1</v>
      </c>
    </row>
    <row r="3" spans="1:20">
      <c r="A3" s="26" t="s">
        <v>108</v>
      </c>
      <c r="B3" s="25">
        <v>54.3</v>
      </c>
      <c r="E3" s="3" t="s">
        <v>97</v>
      </c>
      <c r="F3">
        <v>9</v>
      </c>
      <c r="R3" t="s">
        <v>88</v>
      </c>
      <c r="S3">
        <f>COUNTIF($B$2:$B$57,"&lt;80")</f>
        <v>10</v>
      </c>
      <c r="T3">
        <f>S3-S2</f>
        <v>9</v>
      </c>
    </row>
    <row r="4" spans="1:20">
      <c r="A4" s="26" t="s">
        <v>109</v>
      </c>
      <c r="B4" s="25">
        <v>124.9</v>
      </c>
      <c r="E4" s="3" t="s">
        <v>98</v>
      </c>
      <c r="F4">
        <v>15</v>
      </c>
      <c r="R4" t="s">
        <v>89</v>
      </c>
      <c r="S4">
        <f>COUNTIF($B$2:$B$57,"&lt;120")</f>
        <v>25</v>
      </c>
      <c r="T4">
        <f t="shared" ref="T4:T9" si="0">S4-S3</f>
        <v>15</v>
      </c>
    </row>
    <row r="5" spans="1:20">
      <c r="A5" s="26" t="s">
        <v>110</v>
      </c>
      <c r="B5" s="25">
        <v>176.8</v>
      </c>
      <c r="E5" s="3" t="s">
        <v>99</v>
      </c>
      <c r="F5">
        <v>15</v>
      </c>
      <c r="R5" t="s">
        <v>90</v>
      </c>
      <c r="S5">
        <f>COUNTIF($B$2:$B$57,"&lt;160")</f>
        <v>40</v>
      </c>
      <c r="T5">
        <f t="shared" si="0"/>
        <v>15</v>
      </c>
    </row>
    <row r="6" spans="1:20">
      <c r="A6" s="26" t="s">
        <v>111</v>
      </c>
      <c r="B6" s="25">
        <v>47.9</v>
      </c>
      <c r="E6" s="3" t="s">
        <v>100</v>
      </c>
      <c r="F6">
        <v>7</v>
      </c>
      <c r="R6" t="s">
        <v>91</v>
      </c>
      <c r="S6">
        <f>COUNTIF($B$2:$B$57,"&lt;200")</f>
        <v>47</v>
      </c>
      <c r="T6">
        <f t="shared" si="0"/>
        <v>7</v>
      </c>
    </row>
    <row r="7" spans="1:20">
      <c r="A7" s="26" t="s">
        <v>112</v>
      </c>
      <c r="B7" s="25">
        <v>149.80000000000001</v>
      </c>
      <c r="E7" s="3" t="s">
        <v>101</v>
      </c>
      <c r="F7">
        <v>4</v>
      </c>
      <c r="R7" t="s">
        <v>92</v>
      </c>
      <c r="S7">
        <f>COUNTIF($B$2:$B$57,"&lt;240")</f>
        <v>51</v>
      </c>
      <c r="T7">
        <f t="shared" si="0"/>
        <v>4</v>
      </c>
    </row>
    <row r="8" spans="1:20">
      <c r="A8" s="26" t="s">
        <v>113</v>
      </c>
      <c r="B8" s="25">
        <v>115.1</v>
      </c>
      <c r="E8" s="3" t="s">
        <v>102</v>
      </c>
      <c r="F8">
        <v>2</v>
      </c>
      <c r="R8" t="s">
        <v>93</v>
      </c>
      <c r="S8">
        <f>COUNTIF($B$2:$B$57,"&lt;280")</f>
        <v>53</v>
      </c>
      <c r="T8">
        <f t="shared" si="0"/>
        <v>2</v>
      </c>
    </row>
    <row r="9" spans="1:20">
      <c r="A9" s="26" t="s">
        <v>114</v>
      </c>
      <c r="B9" s="25">
        <v>148.30000000000001</v>
      </c>
      <c r="E9" s="3" t="s">
        <v>103</v>
      </c>
      <c r="F9">
        <v>2</v>
      </c>
      <c r="R9" t="s">
        <v>94</v>
      </c>
      <c r="S9">
        <f>COUNTIF($B$2:$B$57,"&lt;320")</f>
        <v>55</v>
      </c>
      <c r="T9">
        <f t="shared" si="0"/>
        <v>2</v>
      </c>
    </row>
    <row r="10" spans="1:20">
      <c r="A10" s="26" t="s">
        <v>115</v>
      </c>
      <c r="B10" s="25">
        <v>85.4</v>
      </c>
      <c r="E10" s="3" t="s">
        <v>95</v>
      </c>
      <c r="F10">
        <v>1</v>
      </c>
      <c r="R10" t="s">
        <v>95</v>
      </c>
      <c r="S10">
        <f>COUNTIF($B$2:$B$57,"&gt;320")</f>
        <v>1</v>
      </c>
      <c r="T10">
        <v>1</v>
      </c>
    </row>
    <row r="11" spans="1:20">
      <c r="A11" s="26" t="s">
        <v>116</v>
      </c>
      <c r="B11" s="25">
        <v>80.7</v>
      </c>
    </row>
    <row r="12" spans="1:20">
      <c r="A12" s="26" t="s">
        <v>117</v>
      </c>
      <c r="B12" s="25">
        <v>73.7</v>
      </c>
    </row>
    <row r="13" spans="1:20">
      <c r="A13" s="26" t="s">
        <v>118</v>
      </c>
      <c r="B13" s="25">
        <v>112.2</v>
      </c>
      <c r="E13" s="28" t="s">
        <v>165</v>
      </c>
      <c r="F13" s="20" t="s">
        <v>164</v>
      </c>
    </row>
    <row r="14" spans="1:20">
      <c r="A14" s="26" t="s">
        <v>119</v>
      </c>
      <c r="B14" s="25">
        <v>76.900000000000006</v>
      </c>
    </row>
    <row r="15" spans="1:20">
      <c r="A15" s="26" t="s">
        <v>120</v>
      </c>
      <c r="B15" s="25">
        <v>85.2</v>
      </c>
    </row>
    <row r="16" spans="1:20">
      <c r="A16" s="26" t="s">
        <v>121</v>
      </c>
      <c r="B16" s="25">
        <v>136.19999999999999</v>
      </c>
    </row>
    <row r="17" spans="1:2">
      <c r="A17" s="26" t="s">
        <v>122</v>
      </c>
      <c r="B17" s="25">
        <v>73.5</v>
      </c>
    </row>
    <row r="18" spans="1:2">
      <c r="A18" s="26" t="s">
        <v>123</v>
      </c>
      <c r="B18" s="25">
        <v>119</v>
      </c>
    </row>
    <row r="19" spans="1:2">
      <c r="A19" s="26" t="s">
        <v>124</v>
      </c>
      <c r="B19" s="25">
        <v>115.5</v>
      </c>
    </row>
    <row r="20" spans="1:2">
      <c r="A20" s="26" t="s">
        <v>125</v>
      </c>
      <c r="B20" s="25">
        <v>241.8</v>
      </c>
    </row>
    <row r="21" spans="1:2">
      <c r="A21" s="26" t="s">
        <v>126</v>
      </c>
      <c r="B21" s="25">
        <v>145.30000000000001</v>
      </c>
    </row>
    <row r="22" spans="1:2">
      <c r="A22" s="26" t="s">
        <v>127</v>
      </c>
      <c r="B22" s="25">
        <v>169.8</v>
      </c>
    </row>
    <row r="23" spans="1:2">
      <c r="A23" s="26" t="s">
        <v>128</v>
      </c>
      <c r="B23" s="25">
        <v>127.2</v>
      </c>
    </row>
    <row r="24" spans="1:2">
      <c r="A24" s="26" t="s">
        <v>129</v>
      </c>
      <c r="B24" s="25">
        <v>73.400000000000006</v>
      </c>
    </row>
    <row r="25" spans="1:2">
      <c r="A25" s="26" t="s">
        <v>130</v>
      </c>
      <c r="B25" s="25">
        <v>90.6</v>
      </c>
    </row>
    <row r="26" spans="1:2">
      <c r="A26" s="26" t="s">
        <v>131</v>
      </c>
      <c r="B26" s="25">
        <v>143.4</v>
      </c>
    </row>
    <row r="27" spans="1:2">
      <c r="A27" s="26" t="s">
        <v>132</v>
      </c>
      <c r="B27" s="25">
        <v>246</v>
      </c>
    </row>
    <row r="28" spans="1:2">
      <c r="A28" s="26" t="s">
        <v>133</v>
      </c>
      <c r="B28" s="25">
        <v>185.1</v>
      </c>
    </row>
    <row r="29" spans="1:2">
      <c r="A29" s="26" t="s">
        <v>134</v>
      </c>
      <c r="B29" s="25">
        <v>105.7</v>
      </c>
    </row>
    <row r="30" spans="1:2">
      <c r="A30" s="26" t="s">
        <v>135</v>
      </c>
      <c r="B30" s="25">
        <v>73.400000000000006</v>
      </c>
    </row>
    <row r="31" spans="1:2">
      <c r="A31" s="26" t="s">
        <v>136</v>
      </c>
      <c r="B31" s="25">
        <v>180.6</v>
      </c>
    </row>
    <row r="32" spans="1:2">
      <c r="A32" s="26" t="s">
        <v>137</v>
      </c>
      <c r="B32" s="25">
        <v>170.3</v>
      </c>
    </row>
    <row r="33" spans="1:2">
      <c r="A33" s="26" t="s">
        <v>138</v>
      </c>
      <c r="B33" s="25">
        <v>37.1</v>
      </c>
    </row>
    <row r="34" spans="1:2">
      <c r="A34" s="26" t="s">
        <v>139</v>
      </c>
      <c r="B34" s="25">
        <v>123.2</v>
      </c>
    </row>
    <row r="35" spans="1:2">
      <c r="A35" s="26" t="s">
        <v>140</v>
      </c>
      <c r="B35" s="25">
        <v>109.4</v>
      </c>
    </row>
    <row r="36" spans="1:2">
      <c r="A36" s="26" t="s">
        <v>141</v>
      </c>
      <c r="B36" s="25">
        <v>142.1</v>
      </c>
    </row>
    <row r="37" spans="1:2">
      <c r="A37" s="26" t="s">
        <v>142</v>
      </c>
      <c r="B37" s="25">
        <v>103.4</v>
      </c>
    </row>
    <row r="38" spans="1:2">
      <c r="A38" s="26" t="s">
        <v>143</v>
      </c>
      <c r="B38" s="25">
        <v>360.9</v>
      </c>
    </row>
    <row r="39" spans="1:2">
      <c r="A39" s="26" t="s">
        <v>144</v>
      </c>
      <c r="B39" s="25">
        <v>136.4</v>
      </c>
    </row>
    <row r="40" spans="1:2">
      <c r="A40" s="26" t="s">
        <v>145</v>
      </c>
      <c r="B40" s="25">
        <v>236.7</v>
      </c>
    </row>
    <row r="41" spans="1:2">
      <c r="A41" s="26" t="s">
        <v>146</v>
      </c>
      <c r="B41" s="25">
        <v>216.3</v>
      </c>
    </row>
    <row r="42" spans="1:2">
      <c r="A42" s="26" t="s">
        <v>147</v>
      </c>
      <c r="B42" s="25">
        <v>220.6</v>
      </c>
    </row>
    <row r="43" spans="1:2">
      <c r="A43" s="26" t="s">
        <v>148</v>
      </c>
      <c r="B43" s="25">
        <v>195.8</v>
      </c>
    </row>
    <row r="44" spans="1:2">
      <c r="A44" s="26" t="s">
        <v>149</v>
      </c>
      <c r="B44" s="25">
        <v>112.1</v>
      </c>
    </row>
    <row r="45" spans="1:2">
      <c r="A45" s="26" t="s">
        <v>150</v>
      </c>
      <c r="B45" s="25">
        <v>146.69999999999999</v>
      </c>
    </row>
    <row r="46" spans="1:2">
      <c r="A46" s="26" t="s">
        <v>151</v>
      </c>
      <c r="B46" s="25">
        <v>201.6</v>
      </c>
    </row>
    <row r="47" spans="1:2">
      <c r="A47" s="26" t="s">
        <v>152</v>
      </c>
      <c r="B47" s="25">
        <v>95.6</v>
      </c>
    </row>
    <row r="48" spans="1:2">
      <c r="A48" s="26" t="s">
        <v>153</v>
      </c>
      <c r="B48" s="25">
        <v>147.80000000000001</v>
      </c>
    </row>
    <row r="49" spans="1:2">
      <c r="A49" s="26" t="s">
        <v>154</v>
      </c>
      <c r="B49" s="25">
        <v>286.5</v>
      </c>
    </row>
    <row r="50" spans="1:2">
      <c r="A50" s="26" t="s">
        <v>155</v>
      </c>
      <c r="B50" s="25">
        <v>100.7</v>
      </c>
    </row>
    <row r="51" spans="1:2">
      <c r="A51" s="26" t="s">
        <v>156</v>
      </c>
      <c r="B51" s="25">
        <v>134</v>
      </c>
    </row>
    <row r="52" spans="1:2">
      <c r="A52" s="26" t="s">
        <v>157</v>
      </c>
      <c r="B52" s="25">
        <v>79.7</v>
      </c>
    </row>
    <row r="53" spans="1:2">
      <c r="A53" s="26" t="s">
        <v>158</v>
      </c>
      <c r="B53" s="25">
        <v>107.4</v>
      </c>
    </row>
    <row r="54" spans="1:2">
      <c r="A54" s="26" t="s">
        <v>159</v>
      </c>
      <c r="B54" s="25">
        <v>65.7</v>
      </c>
    </row>
    <row r="55" spans="1:2">
      <c r="A55" s="26" t="s">
        <v>160</v>
      </c>
      <c r="B55" s="25">
        <v>122.6</v>
      </c>
    </row>
    <row r="56" spans="1:2">
      <c r="A56" s="26" t="s">
        <v>161</v>
      </c>
      <c r="B56" s="25">
        <v>288.8</v>
      </c>
    </row>
    <row r="57" spans="1:2">
      <c r="A57" s="26" t="s">
        <v>162</v>
      </c>
      <c r="B57" s="25">
        <v>177.9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3:P49"/>
  <sheetViews>
    <sheetView topLeftCell="A19" workbookViewId="0">
      <selection activeCell="H18" sqref="H18"/>
    </sheetView>
  </sheetViews>
  <sheetFormatPr defaultRowHeight="15"/>
  <sheetData>
    <row r="3" spans="2:16" ht="23.25">
      <c r="B3" s="22"/>
      <c r="C3" s="70" t="s">
        <v>198</v>
      </c>
      <c r="D3" s="70"/>
      <c r="E3" s="70"/>
      <c r="M3" s="89" t="s">
        <v>197</v>
      </c>
      <c r="N3" s="90"/>
      <c r="O3" s="90"/>
      <c r="P3" s="90"/>
    </row>
    <row r="4" spans="2:16" ht="18.75">
      <c r="B4" s="58" t="s">
        <v>83</v>
      </c>
      <c r="C4" s="70" t="s">
        <v>199</v>
      </c>
      <c r="D4" s="70"/>
      <c r="E4" s="70"/>
    </row>
    <row r="6" spans="2:16" ht="18">
      <c r="B6" s="71"/>
      <c r="C6" s="72">
        <v>139.80000000000001</v>
      </c>
      <c r="D6" s="49" t="s">
        <v>86</v>
      </c>
    </row>
    <row r="7" spans="2:16" ht="15.75">
      <c r="B7" s="49"/>
      <c r="C7" s="72">
        <v>65.099999999999994</v>
      </c>
      <c r="D7" s="49" t="s">
        <v>86</v>
      </c>
    </row>
    <row r="18" spans="2:3" ht="18">
      <c r="B18" s="61" t="s">
        <v>85</v>
      </c>
      <c r="C18" s="24">
        <f>139.8-(0.5772*C19)</f>
        <v>110.4909384</v>
      </c>
    </row>
    <row r="19" spans="2:3" ht="18">
      <c r="B19" s="61" t="s">
        <v>201</v>
      </c>
      <c r="C19" s="24">
        <f>0.78*65.1</f>
        <v>50.777999999999999</v>
      </c>
    </row>
    <row r="34" spans="2:3" ht="15.75">
      <c r="B34" s="29" t="s">
        <v>78</v>
      </c>
      <c r="C34" s="30"/>
    </row>
    <row r="49" spans="1:14" ht="20.25">
      <c r="A49" s="68" t="s">
        <v>205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</sheetData>
  <mergeCells count="1">
    <mergeCell ref="M3:P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0B47"/>
  </sheetPr>
  <dimension ref="A1:G21"/>
  <sheetViews>
    <sheetView workbookViewId="0">
      <selection activeCell="O18" sqref="O18"/>
    </sheetView>
  </sheetViews>
  <sheetFormatPr defaultRowHeight="15"/>
  <cols>
    <col min="1" max="1" width="14.140625" customWidth="1"/>
    <col min="5" max="5" width="19" customWidth="1"/>
    <col min="6" max="6" width="23.7109375" customWidth="1"/>
    <col min="7" max="7" width="19.7109375" customWidth="1"/>
  </cols>
  <sheetData>
    <row r="1" spans="1:7" ht="18.75">
      <c r="A1" s="36" t="s">
        <v>174</v>
      </c>
    </row>
    <row r="2" spans="1:7">
      <c r="E2" s="20" t="s">
        <v>81</v>
      </c>
    </row>
    <row r="3" spans="1:7" ht="18.75">
      <c r="A3" t="s">
        <v>84</v>
      </c>
      <c r="B3">
        <v>139.80000000000001</v>
      </c>
      <c r="E3" s="40" t="s">
        <v>176</v>
      </c>
      <c r="F3" s="40" t="s">
        <v>178</v>
      </c>
      <c r="G3" s="40" t="s">
        <v>177</v>
      </c>
    </row>
    <row r="4" spans="1:7">
      <c r="A4" t="s">
        <v>175</v>
      </c>
      <c r="B4">
        <v>65.099999999999994</v>
      </c>
      <c r="E4" s="37">
        <v>100</v>
      </c>
      <c r="F4" s="38">
        <f>1-(_xlfn.NORM.DIST(E4,$B$3,$B$4,TRUE))</f>
        <v>0.72952172001385518</v>
      </c>
      <c r="G4" s="39">
        <f>1/F4</f>
        <v>1.3707611063053857</v>
      </c>
    </row>
    <row r="5" spans="1:7">
      <c r="E5" s="37">
        <v>150</v>
      </c>
      <c r="F5" s="38">
        <f t="shared" ref="F5:F10" si="0">1-(_xlfn.NORM.DIST(E5,$B$3,$B$4,TRUE))</f>
        <v>0.43774772599036438</v>
      </c>
      <c r="G5" s="41">
        <f t="shared" ref="G5:G10" si="1">1/F5</f>
        <v>2.2844207762303985</v>
      </c>
    </row>
    <row r="6" spans="1:7">
      <c r="A6" s="63" t="s">
        <v>203</v>
      </c>
      <c r="E6" s="37">
        <v>200</v>
      </c>
      <c r="F6" s="38">
        <f t="shared" si="0"/>
        <v>0.17755287744060233</v>
      </c>
      <c r="G6" s="41">
        <f t="shared" si="1"/>
        <v>5.6321250008158001</v>
      </c>
    </row>
    <row r="7" spans="1:7">
      <c r="A7" s="59" t="s">
        <v>85</v>
      </c>
      <c r="B7" s="62">
        <f>139.8-(0.5772*B8)</f>
        <v>110.4909384</v>
      </c>
      <c r="E7" s="37">
        <v>250</v>
      </c>
      <c r="F7" s="38">
        <f t="shared" si="0"/>
        <v>4.5248643304143465E-2</v>
      </c>
      <c r="G7" s="41">
        <f t="shared" si="1"/>
        <v>22.100110124372037</v>
      </c>
    </row>
    <row r="8" spans="1:7">
      <c r="A8" s="59" t="s">
        <v>201</v>
      </c>
      <c r="B8" s="62">
        <f>0.78*65.1</f>
        <v>50.777999999999999</v>
      </c>
      <c r="E8" s="46">
        <v>300</v>
      </c>
      <c r="F8" s="47">
        <f t="shared" si="0"/>
        <v>6.9308112630313001E-3</v>
      </c>
      <c r="G8" s="48">
        <f t="shared" si="1"/>
        <v>144.28325372730379</v>
      </c>
    </row>
    <row r="9" spans="1:7">
      <c r="E9" s="46">
        <v>350</v>
      </c>
      <c r="F9" s="47">
        <f t="shared" si="0"/>
        <v>6.2138308793913133E-4</v>
      </c>
      <c r="G9" s="48">
        <f t="shared" si="1"/>
        <v>1609.3131908635994</v>
      </c>
    </row>
    <row r="10" spans="1:7">
      <c r="E10" s="46">
        <v>400</v>
      </c>
      <c r="F10" s="47">
        <f t="shared" si="0"/>
        <v>3.2084930612130691E-5</v>
      </c>
      <c r="G10" s="48">
        <f t="shared" si="1"/>
        <v>31167.279496060975</v>
      </c>
    </row>
    <row r="13" spans="1:7">
      <c r="E13" s="20" t="s">
        <v>197</v>
      </c>
    </row>
    <row r="14" spans="1:7" ht="18.75">
      <c r="A14" s="40" t="s">
        <v>202</v>
      </c>
      <c r="E14" s="40" t="s">
        <v>176</v>
      </c>
      <c r="F14" s="40" t="s">
        <v>204</v>
      </c>
      <c r="G14" s="40" t="s">
        <v>177</v>
      </c>
    </row>
    <row r="15" spans="1:7">
      <c r="A15" s="54">
        <f t="shared" ref="A15:A21" si="2">(E15-$B$7)/$B$8</f>
        <v>-0.20660400961046133</v>
      </c>
      <c r="E15" s="37">
        <v>100</v>
      </c>
      <c r="F15" s="38">
        <f t="shared" ref="F15:F21" si="3">1-(EXP(-(EXP(-A15))))</f>
        <v>0.70755995477972733</v>
      </c>
      <c r="G15" s="39">
        <f>1/F15</f>
        <v>1.4133077956783366</v>
      </c>
    </row>
    <row r="16" spans="1:7">
      <c r="A16" s="54">
        <f t="shared" si="2"/>
        <v>0.77807439442278148</v>
      </c>
      <c r="E16" s="37">
        <v>150</v>
      </c>
      <c r="F16" s="38">
        <f t="shared" si="3"/>
        <v>0.36826771287443061</v>
      </c>
      <c r="G16" s="41">
        <f t="shared" ref="G16:G21" si="4">1/F16</f>
        <v>2.7154158918649842</v>
      </c>
    </row>
    <row r="17" spans="1:7">
      <c r="A17" s="54">
        <f t="shared" si="2"/>
        <v>1.7627527984560243</v>
      </c>
      <c r="E17" s="37">
        <v>200</v>
      </c>
      <c r="F17" s="38">
        <f t="shared" si="3"/>
        <v>0.15766030702353728</v>
      </c>
      <c r="G17" s="41">
        <f t="shared" si="4"/>
        <v>6.3427505557927706</v>
      </c>
    </row>
    <row r="18" spans="1:7">
      <c r="A18" s="54">
        <f t="shared" si="2"/>
        <v>2.7474312024892669</v>
      </c>
      <c r="E18" s="37">
        <v>250</v>
      </c>
      <c r="F18" s="38">
        <f t="shared" si="3"/>
        <v>6.2081564992874538E-2</v>
      </c>
      <c r="G18" s="41">
        <f t="shared" si="4"/>
        <v>16.107841355397142</v>
      </c>
    </row>
    <row r="19" spans="1:7">
      <c r="A19" s="54">
        <f t="shared" si="2"/>
        <v>3.7321096065225099</v>
      </c>
      <c r="E19" s="64">
        <v>300</v>
      </c>
      <c r="F19" s="65">
        <f t="shared" si="3"/>
        <v>2.3657931298108892E-2</v>
      </c>
      <c r="G19" s="66">
        <f t="shared" si="4"/>
        <v>42.269122663313148</v>
      </c>
    </row>
    <row r="20" spans="1:7">
      <c r="A20" s="54">
        <f t="shared" si="2"/>
        <v>4.7167880105557529</v>
      </c>
      <c r="E20" s="64">
        <v>350</v>
      </c>
      <c r="F20" s="65">
        <f t="shared" si="3"/>
        <v>8.9039827035918284E-3</v>
      </c>
      <c r="G20" s="66">
        <f t="shared" si="4"/>
        <v>112.30929273892281</v>
      </c>
    </row>
    <row r="21" spans="1:7">
      <c r="A21" s="54">
        <f t="shared" si="2"/>
        <v>5.7014664145889951</v>
      </c>
      <c r="E21" s="64">
        <v>400</v>
      </c>
      <c r="F21" s="65">
        <f t="shared" si="3"/>
        <v>3.3354873421276299E-3</v>
      </c>
      <c r="G21" s="66">
        <f t="shared" si="4"/>
        <v>299.80626440096853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zoomScale="85" zoomScaleNormal="85" workbookViewId="0">
      <selection activeCell="T9" sqref="T9"/>
    </sheetView>
  </sheetViews>
  <sheetFormatPr defaultRowHeight="15"/>
  <cols>
    <col min="1" max="1" width="13.85546875" customWidth="1"/>
    <col min="8" max="8" width="9.140625" style="42"/>
    <col min="9" max="9" width="12.7109375" customWidth="1"/>
    <col min="12" max="12" width="0" hidden="1" customWidth="1"/>
    <col min="13" max="13" width="11.7109375" customWidth="1"/>
  </cols>
  <sheetData>
    <row r="1" spans="1:13" ht="30">
      <c r="A1" s="67"/>
      <c r="B1" s="67"/>
      <c r="C1" s="67"/>
      <c r="D1" s="67"/>
      <c r="E1" s="67"/>
      <c r="F1" s="67"/>
      <c r="H1" s="52" t="s">
        <v>105</v>
      </c>
      <c r="I1" s="53" t="s">
        <v>181</v>
      </c>
      <c r="K1" s="50" t="s">
        <v>196</v>
      </c>
      <c r="L1" s="50"/>
      <c r="M1" s="50" t="s">
        <v>104</v>
      </c>
    </row>
    <row r="2" spans="1:13">
      <c r="A2" s="67"/>
      <c r="B2" s="67"/>
      <c r="C2" s="67"/>
      <c r="D2" s="67"/>
      <c r="E2" s="67"/>
      <c r="F2" s="67"/>
      <c r="H2" s="37">
        <v>1961</v>
      </c>
      <c r="I2" s="51">
        <v>300.8</v>
      </c>
      <c r="K2" s="50" t="s">
        <v>186</v>
      </c>
      <c r="L2" s="54">
        <f>COUNTIF($I$2:$I$59,"&lt;200")</f>
        <v>2</v>
      </c>
      <c r="M2" s="54">
        <f>L2</f>
        <v>2</v>
      </c>
    </row>
    <row r="3" spans="1:13">
      <c r="A3" s="67"/>
      <c r="B3" s="67"/>
      <c r="C3" s="67"/>
      <c r="D3" s="67"/>
      <c r="E3" s="67"/>
      <c r="F3" s="67"/>
      <c r="H3" s="37">
        <v>1962</v>
      </c>
      <c r="I3" s="51">
        <v>242.59999999999997</v>
      </c>
      <c r="K3" s="50" t="s">
        <v>187</v>
      </c>
      <c r="L3" s="54">
        <f>COUNTIF($I$2:$I$59,"&lt;250")</f>
        <v>16</v>
      </c>
      <c r="M3" s="54">
        <f>L3-L2</f>
        <v>14</v>
      </c>
    </row>
    <row r="4" spans="1:13">
      <c r="A4" s="67"/>
      <c r="B4" s="67"/>
      <c r="C4" s="67"/>
      <c r="D4" s="67"/>
      <c r="E4" s="67"/>
      <c r="F4" s="67"/>
      <c r="H4" s="37">
        <v>1963</v>
      </c>
      <c r="I4" s="51">
        <v>339.09999999999997</v>
      </c>
      <c r="K4" s="50" t="s">
        <v>188</v>
      </c>
      <c r="L4" s="54">
        <f>COUNTIF($I$2:$I$59,"&lt;300")</f>
        <v>33</v>
      </c>
      <c r="M4" s="54">
        <f t="shared" ref="M4:M10" si="0">L4-L3</f>
        <v>17</v>
      </c>
    </row>
    <row r="5" spans="1:13">
      <c r="A5" s="67"/>
      <c r="B5" s="67"/>
      <c r="C5" s="67"/>
      <c r="D5" s="67"/>
      <c r="E5" s="67"/>
      <c r="F5" s="67"/>
      <c r="H5" s="37">
        <v>1964</v>
      </c>
      <c r="I5" s="51">
        <v>173.7</v>
      </c>
      <c r="K5" s="50" t="s">
        <v>189</v>
      </c>
      <c r="L5" s="54">
        <f>COUNTIF($I$2:$I$59,"&lt;350")</f>
        <v>42</v>
      </c>
      <c r="M5" s="54">
        <f t="shared" si="0"/>
        <v>9</v>
      </c>
    </row>
    <row r="6" spans="1:13">
      <c r="A6" s="73" t="s">
        <v>185</v>
      </c>
      <c r="B6" s="75">
        <v>58</v>
      </c>
      <c r="C6" s="67"/>
      <c r="D6" s="67"/>
      <c r="E6" s="67"/>
      <c r="F6" s="67"/>
      <c r="H6" s="37">
        <v>1965</v>
      </c>
      <c r="I6" s="51">
        <v>244.30000000000004</v>
      </c>
      <c r="K6" s="50" t="s">
        <v>190</v>
      </c>
      <c r="L6" s="54">
        <f>COUNTIF($I$2:$I$59,"&lt;400")</f>
        <v>45</v>
      </c>
      <c r="M6" s="54">
        <f t="shared" si="0"/>
        <v>3</v>
      </c>
    </row>
    <row r="7" spans="1:13" ht="16.5" customHeight="1">
      <c r="A7" s="74" t="s">
        <v>182</v>
      </c>
      <c r="B7" s="76">
        <v>154.29999999999998</v>
      </c>
      <c r="C7" s="42" t="s">
        <v>86</v>
      </c>
      <c r="H7" s="37">
        <v>1966</v>
      </c>
      <c r="I7" s="51">
        <v>314.00000000000006</v>
      </c>
      <c r="K7" s="50" t="s">
        <v>191</v>
      </c>
      <c r="L7" s="54">
        <f>COUNTIF($I$2:$I$59,"&lt;450")</f>
        <v>50</v>
      </c>
      <c r="M7" s="54">
        <f t="shared" si="0"/>
        <v>5</v>
      </c>
    </row>
    <row r="8" spans="1:13">
      <c r="A8" s="74" t="s">
        <v>84</v>
      </c>
      <c r="B8" s="76">
        <v>327.5344827586207</v>
      </c>
      <c r="C8" s="42" t="s">
        <v>86</v>
      </c>
      <c r="H8" s="37">
        <v>1967</v>
      </c>
      <c r="I8" s="51">
        <v>207.60000000000002</v>
      </c>
      <c r="K8" s="50" t="s">
        <v>192</v>
      </c>
      <c r="L8" s="54">
        <f>COUNTIF($I$2:$I$59,"&lt;500")</f>
        <v>51</v>
      </c>
      <c r="M8" s="54">
        <f t="shared" si="0"/>
        <v>1</v>
      </c>
    </row>
    <row r="9" spans="1:13">
      <c r="A9" s="74" t="s">
        <v>183</v>
      </c>
      <c r="B9" s="76">
        <v>290.60000000000002</v>
      </c>
      <c r="C9" s="42" t="s">
        <v>86</v>
      </c>
      <c r="H9" s="37">
        <v>1968</v>
      </c>
      <c r="I9" s="51">
        <v>154.29999999999998</v>
      </c>
      <c r="K9" s="50" t="s">
        <v>193</v>
      </c>
      <c r="L9" s="54">
        <f>COUNTIF($I$2:$I$59,"&lt;550")</f>
        <v>54</v>
      </c>
      <c r="M9" s="54">
        <f t="shared" si="0"/>
        <v>3</v>
      </c>
    </row>
    <row r="10" spans="1:13">
      <c r="A10" s="74" t="s">
        <v>184</v>
      </c>
      <c r="B10" s="76">
        <v>642.9</v>
      </c>
      <c r="C10" s="42" t="s">
        <v>86</v>
      </c>
      <c r="H10" s="37">
        <v>1969</v>
      </c>
      <c r="I10" s="51">
        <v>219.2</v>
      </c>
      <c r="K10" s="50" t="s">
        <v>194</v>
      </c>
      <c r="L10" s="54">
        <f>COUNTIF($I$2:$I$59,"&lt;600")</f>
        <v>56</v>
      </c>
      <c r="M10" s="54">
        <f t="shared" si="0"/>
        <v>2</v>
      </c>
    </row>
    <row r="11" spans="1:13">
      <c r="A11" s="74" t="s">
        <v>175</v>
      </c>
      <c r="B11" s="76">
        <v>115.75805008075979</v>
      </c>
      <c r="C11" s="42" t="s">
        <v>86</v>
      </c>
      <c r="H11" s="37">
        <v>1970</v>
      </c>
      <c r="I11" s="51">
        <v>244.8</v>
      </c>
      <c r="K11" s="50" t="s">
        <v>195</v>
      </c>
      <c r="L11" s="54">
        <f>COUNTIF($I$2:$I$59,"&gt;600")</f>
        <v>2</v>
      </c>
      <c r="M11" s="54">
        <f>L11</f>
        <v>2</v>
      </c>
    </row>
    <row r="12" spans="1:13">
      <c r="H12" s="37">
        <v>1971</v>
      </c>
      <c r="I12" s="51">
        <v>448.59999999999997</v>
      </c>
    </row>
    <row r="13" spans="1:13">
      <c r="A13" s="77" t="s">
        <v>203</v>
      </c>
      <c r="H13" s="37">
        <v>1972</v>
      </c>
      <c r="I13" s="51">
        <v>296.3</v>
      </c>
    </row>
    <row r="14" spans="1:13">
      <c r="A14" s="60" t="s">
        <v>85</v>
      </c>
      <c r="B14" s="78">
        <f>B8-(0.5772*B15)</f>
        <v>275.41835648346137</v>
      </c>
      <c r="H14" s="37">
        <v>1973</v>
      </c>
      <c r="I14" s="51">
        <v>288.2</v>
      </c>
    </row>
    <row r="15" spans="1:13">
      <c r="A15" s="60" t="s">
        <v>201</v>
      </c>
      <c r="B15" s="78">
        <f>0.78*B11</f>
        <v>90.291279062992643</v>
      </c>
      <c r="H15" s="37">
        <v>1974</v>
      </c>
      <c r="I15" s="51">
        <v>269.00000000000006</v>
      </c>
    </row>
    <row r="16" spans="1:13">
      <c r="H16" s="37">
        <v>1975</v>
      </c>
      <c r="I16" s="51">
        <v>202.90000000000003</v>
      </c>
    </row>
    <row r="17" spans="8:9">
      <c r="H17" s="37">
        <v>1976</v>
      </c>
      <c r="I17" s="51">
        <v>345.1</v>
      </c>
    </row>
    <row r="18" spans="8:9">
      <c r="H18" s="37">
        <v>1977</v>
      </c>
      <c r="I18" s="51">
        <v>290.20000000000005</v>
      </c>
    </row>
    <row r="19" spans="8:9">
      <c r="H19" s="37">
        <v>1978</v>
      </c>
      <c r="I19" s="51">
        <v>483.79999999999995</v>
      </c>
    </row>
    <row r="20" spans="8:9">
      <c r="H20" s="37">
        <v>1979</v>
      </c>
      <c r="I20" s="51">
        <v>291</v>
      </c>
    </row>
    <row r="21" spans="8:9">
      <c r="H21" s="37">
        <v>1980</v>
      </c>
      <c r="I21" s="51">
        <v>278.39999999999998</v>
      </c>
    </row>
    <row r="22" spans="8:9">
      <c r="H22" s="37">
        <v>1981</v>
      </c>
      <c r="I22" s="51">
        <v>293</v>
      </c>
    </row>
    <row r="23" spans="8:9">
      <c r="H23" s="37">
        <v>1982</v>
      </c>
      <c r="I23" s="51">
        <v>441.3</v>
      </c>
    </row>
    <row r="24" spans="8:9">
      <c r="H24" s="37">
        <v>1983</v>
      </c>
      <c r="I24" s="51">
        <v>549.09999999999991</v>
      </c>
    </row>
    <row r="25" spans="8:9">
      <c r="H25" s="37">
        <v>1984</v>
      </c>
      <c r="I25" s="51">
        <v>269.50000000000006</v>
      </c>
    </row>
    <row r="26" spans="8:9">
      <c r="H26" s="37">
        <v>1985</v>
      </c>
      <c r="I26" s="51">
        <v>416.3</v>
      </c>
    </row>
    <row r="27" spans="8:9">
      <c r="H27" s="37">
        <v>1986</v>
      </c>
      <c r="I27" s="51">
        <v>246</v>
      </c>
    </row>
    <row r="28" spans="8:9">
      <c r="H28" s="37">
        <v>1987</v>
      </c>
      <c r="I28" s="51">
        <v>519</v>
      </c>
    </row>
    <row r="29" spans="8:9">
      <c r="H29" s="37">
        <v>1988</v>
      </c>
      <c r="I29" s="51">
        <v>219.1</v>
      </c>
    </row>
    <row r="30" spans="8:9">
      <c r="H30" s="37">
        <v>1989</v>
      </c>
      <c r="I30" s="51">
        <v>387</v>
      </c>
    </row>
    <row r="31" spans="8:9">
      <c r="H31" s="37">
        <v>1990</v>
      </c>
      <c r="I31" s="51">
        <v>283.59999999999997</v>
      </c>
    </row>
    <row r="32" spans="8:9">
      <c r="H32" s="37">
        <v>1991</v>
      </c>
      <c r="I32" s="51">
        <v>583.29999999999995</v>
      </c>
    </row>
    <row r="33" spans="8:9">
      <c r="H33" s="37">
        <v>1992</v>
      </c>
      <c r="I33" s="51">
        <v>256.5</v>
      </c>
    </row>
    <row r="34" spans="8:9">
      <c r="H34" s="37">
        <v>1993</v>
      </c>
      <c r="I34" s="51">
        <v>245.89999999999998</v>
      </c>
    </row>
    <row r="35" spans="8:9">
      <c r="H35" s="37">
        <v>1994</v>
      </c>
      <c r="I35" s="51">
        <v>440.6</v>
      </c>
    </row>
    <row r="36" spans="8:9">
      <c r="H36" s="37">
        <v>1995</v>
      </c>
      <c r="I36" s="51">
        <v>563.19999999999993</v>
      </c>
    </row>
    <row r="37" spans="8:9">
      <c r="H37" s="37">
        <v>1996</v>
      </c>
      <c r="I37" s="51">
        <v>244.2</v>
      </c>
    </row>
    <row r="38" spans="8:9">
      <c r="H38" s="37">
        <v>1997</v>
      </c>
      <c r="I38" s="51">
        <v>642.9</v>
      </c>
    </row>
    <row r="39" spans="8:9">
      <c r="H39" s="37">
        <v>1998</v>
      </c>
      <c r="I39" s="51">
        <v>306.59999999999997</v>
      </c>
    </row>
    <row r="40" spans="8:9">
      <c r="H40" s="37">
        <v>1999</v>
      </c>
      <c r="I40" s="51">
        <v>260.89999999999998</v>
      </c>
    </row>
    <row r="41" spans="8:9">
      <c r="H41" s="37">
        <v>2000</v>
      </c>
      <c r="I41" s="51">
        <v>252.69999999999993</v>
      </c>
    </row>
    <row r="42" spans="8:9">
      <c r="H42" s="37">
        <v>2001</v>
      </c>
      <c r="I42" s="51">
        <v>539.29999999999995</v>
      </c>
    </row>
    <row r="43" spans="8:9">
      <c r="H43" s="37">
        <v>2002</v>
      </c>
      <c r="I43" s="51">
        <v>221.5</v>
      </c>
    </row>
    <row r="44" spans="8:9">
      <c r="H44" s="37">
        <v>2003</v>
      </c>
      <c r="I44" s="51">
        <v>268.89999999999998</v>
      </c>
    </row>
    <row r="45" spans="8:9">
      <c r="H45" s="37">
        <v>2004</v>
      </c>
      <c r="I45" s="51">
        <v>374.50000000000006</v>
      </c>
    </row>
    <row r="46" spans="8:9">
      <c r="H46" s="37">
        <v>2005</v>
      </c>
      <c r="I46" s="51">
        <v>262.90000000000003</v>
      </c>
    </row>
    <row r="47" spans="8:9">
      <c r="H47" s="37">
        <v>2006</v>
      </c>
      <c r="I47" s="51">
        <v>240.40000000000003</v>
      </c>
    </row>
    <row r="48" spans="8:9">
      <c r="H48" s="37">
        <v>2007</v>
      </c>
      <c r="I48" s="51">
        <v>215</v>
      </c>
    </row>
    <row r="49" spans="2:9">
      <c r="H49" s="37">
        <v>2008</v>
      </c>
      <c r="I49" s="51">
        <v>615.1</v>
      </c>
    </row>
    <row r="50" spans="2:9">
      <c r="H50" s="37">
        <v>2009</v>
      </c>
      <c r="I50" s="51">
        <v>314.2</v>
      </c>
    </row>
    <row r="51" spans="2:9">
      <c r="H51" s="37">
        <v>2010</v>
      </c>
      <c r="I51" s="51">
        <v>443</v>
      </c>
    </row>
    <row r="52" spans="2:9">
      <c r="H52" s="37">
        <v>2011</v>
      </c>
      <c r="I52" s="51">
        <v>345.6</v>
      </c>
    </row>
    <row r="53" spans="2:9">
      <c r="H53" s="37">
        <v>2012</v>
      </c>
      <c r="I53" s="51">
        <v>271.5</v>
      </c>
    </row>
    <row r="54" spans="2:9">
      <c r="H54" s="37">
        <v>2013</v>
      </c>
      <c r="I54" s="51">
        <v>324.90000000000003</v>
      </c>
    </row>
    <row r="55" spans="2:9">
      <c r="H55" s="37">
        <v>2014</v>
      </c>
      <c r="I55" s="51">
        <v>240.5</v>
      </c>
    </row>
    <row r="56" spans="2:9">
      <c r="H56" s="37">
        <v>2015</v>
      </c>
      <c r="I56" s="51">
        <v>308.79999999999995</v>
      </c>
    </row>
    <row r="57" spans="2:9">
      <c r="H57" s="37">
        <v>2016</v>
      </c>
      <c r="I57" s="51">
        <v>285.49999999999994</v>
      </c>
    </row>
    <row r="58" spans="2:9">
      <c r="H58" s="37">
        <v>2017</v>
      </c>
      <c r="I58" s="51">
        <v>296.79999999999995</v>
      </c>
    </row>
    <row r="59" spans="2:9">
      <c r="E59">
        <f>(500-275.42)/90.29</f>
        <v>2.4873186399379774</v>
      </c>
      <c r="H59" s="37">
        <v>2018</v>
      </c>
      <c r="I59" s="51">
        <v>373.99999999999994</v>
      </c>
    </row>
    <row r="60" spans="2:9">
      <c r="H60" s="55" t="s">
        <v>185</v>
      </c>
      <c r="I60" s="56">
        <f>COUNT(I2:I59)</f>
        <v>58</v>
      </c>
    </row>
    <row r="61" spans="2:9">
      <c r="H61" s="55" t="s">
        <v>182</v>
      </c>
      <c r="I61" s="57">
        <f>MIN(I2:I59)</f>
        <v>154.29999999999998</v>
      </c>
    </row>
    <row r="62" spans="2:9">
      <c r="H62" s="55" t="s">
        <v>84</v>
      </c>
      <c r="I62" s="57">
        <f>AVERAGE(I2:I59)</f>
        <v>327.5344827586207</v>
      </c>
    </row>
    <row r="63" spans="2:9">
      <c r="H63" s="55" t="s">
        <v>183</v>
      </c>
      <c r="I63" s="57">
        <f>MEDIAN(I2:I59)</f>
        <v>290.60000000000002</v>
      </c>
    </row>
    <row r="64" spans="2:9" ht="15.75">
      <c r="B64" s="79" t="s">
        <v>206</v>
      </c>
      <c r="C64" s="79" t="s">
        <v>207</v>
      </c>
      <c r="H64" s="55" t="s">
        <v>184</v>
      </c>
      <c r="I64" s="57">
        <f>MAX(I2:I59)</f>
        <v>642.9</v>
      </c>
    </row>
    <row r="65" spans="8:9">
      <c r="H65" s="55" t="s">
        <v>69</v>
      </c>
      <c r="I65" s="57">
        <f>_xlfn.STDEV.S(I2:I59)</f>
        <v>115.75805008075979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>
      <selection activeCell="B59" sqref="B59"/>
    </sheetView>
  </sheetViews>
  <sheetFormatPr defaultRowHeight="15"/>
  <sheetData>
    <row r="1" spans="1:2" ht="30">
      <c r="A1" s="52" t="s">
        <v>105</v>
      </c>
      <c r="B1" s="53" t="s">
        <v>181</v>
      </c>
    </row>
    <row r="2" spans="1:2">
      <c r="A2" s="37">
        <v>1961</v>
      </c>
      <c r="B2" s="51">
        <v>300.8</v>
      </c>
    </row>
    <row r="3" spans="1:2">
      <c r="A3" s="37">
        <v>1962</v>
      </c>
      <c r="B3" s="51">
        <v>242.59999999999997</v>
      </c>
    </row>
    <row r="4" spans="1:2">
      <c r="A4" s="37">
        <v>1963</v>
      </c>
      <c r="B4" s="51">
        <v>339.09999999999997</v>
      </c>
    </row>
    <row r="5" spans="1:2">
      <c r="A5" s="37">
        <v>1964</v>
      </c>
      <c r="B5" s="51">
        <v>173.7</v>
      </c>
    </row>
    <row r="6" spans="1:2">
      <c r="A6" s="37">
        <v>1965</v>
      </c>
      <c r="B6" s="51">
        <v>244.30000000000004</v>
      </c>
    </row>
    <row r="7" spans="1:2">
      <c r="A7" s="37">
        <v>1966</v>
      </c>
      <c r="B7" s="51">
        <v>314.00000000000006</v>
      </c>
    </row>
    <row r="8" spans="1:2">
      <c r="A8" s="37">
        <v>1967</v>
      </c>
      <c r="B8" s="51">
        <v>207.60000000000002</v>
      </c>
    </row>
    <row r="9" spans="1:2">
      <c r="A9" s="37">
        <v>1968</v>
      </c>
      <c r="B9" s="51">
        <v>154.29999999999998</v>
      </c>
    </row>
    <row r="10" spans="1:2">
      <c r="A10" s="37">
        <v>1969</v>
      </c>
      <c r="B10" s="51">
        <v>219.2</v>
      </c>
    </row>
    <row r="11" spans="1:2">
      <c r="A11" s="37">
        <v>1970</v>
      </c>
      <c r="B11" s="51">
        <v>244.8</v>
      </c>
    </row>
    <row r="12" spans="1:2">
      <c r="A12" s="37">
        <v>1971</v>
      </c>
      <c r="B12" s="51">
        <v>448.59999999999997</v>
      </c>
    </row>
    <row r="13" spans="1:2">
      <c r="A13" s="37">
        <v>1972</v>
      </c>
      <c r="B13" s="51">
        <v>296.3</v>
      </c>
    </row>
    <row r="14" spans="1:2">
      <c r="A14" s="37">
        <v>1973</v>
      </c>
      <c r="B14" s="51">
        <v>288.2</v>
      </c>
    </row>
    <row r="15" spans="1:2">
      <c r="A15" s="37">
        <v>1974</v>
      </c>
      <c r="B15" s="51">
        <v>269.00000000000006</v>
      </c>
    </row>
    <row r="16" spans="1:2">
      <c r="A16" s="37">
        <v>1975</v>
      </c>
      <c r="B16" s="51">
        <v>202.90000000000003</v>
      </c>
    </row>
    <row r="17" spans="1:2">
      <c r="A17" s="37">
        <v>1976</v>
      </c>
      <c r="B17" s="51">
        <v>345.1</v>
      </c>
    </row>
    <row r="18" spans="1:2">
      <c r="A18" s="37">
        <v>1977</v>
      </c>
      <c r="B18" s="51">
        <v>290.20000000000005</v>
      </c>
    </row>
    <row r="19" spans="1:2">
      <c r="A19" s="37">
        <v>1978</v>
      </c>
      <c r="B19" s="51">
        <v>483.79999999999995</v>
      </c>
    </row>
    <row r="20" spans="1:2">
      <c r="A20" s="37">
        <v>1979</v>
      </c>
      <c r="B20" s="51">
        <v>291</v>
      </c>
    </row>
    <row r="21" spans="1:2">
      <c r="A21" s="37">
        <v>1980</v>
      </c>
      <c r="B21" s="51">
        <v>278.39999999999998</v>
      </c>
    </row>
    <row r="22" spans="1:2">
      <c r="A22" s="37">
        <v>1981</v>
      </c>
      <c r="B22" s="51">
        <v>293</v>
      </c>
    </row>
    <row r="23" spans="1:2">
      <c r="A23" s="37">
        <v>1982</v>
      </c>
      <c r="B23" s="51">
        <v>441.3</v>
      </c>
    </row>
    <row r="24" spans="1:2">
      <c r="A24" s="37">
        <v>1983</v>
      </c>
      <c r="B24" s="51">
        <v>549.09999999999991</v>
      </c>
    </row>
    <row r="25" spans="1:2">
      <c r="A25" s="37">
        <v>1984</v>
      </c>
      <c r="B25" s="51">
        <v>269.50000000000006</v>
      </c>
    </row>
    <row r="26" spans="1:2">
      <c r="A26" s="37">
        <v>1985</v>
      </c>
      <c r="B26" s="51">
        <v>416.3</v>
      </c>
    </row>
    <row r="27" spans="1:2">
      <c r="A27" s="37">
        <v>1986</v>
      </c>
      <c r="B27" s="51">
        <v>246</v>
      </c>
    </row>
    <row r="28" spans="1:2">
      <c r="A28" s="37">
        <v>1987</v>
      </c>
      <c r="B28" s="51">
        <v>519</v>
      </c>
    </row>
    <row r="29" spans="1:2">
      <c r="A29" s="37">
        <v>1988</v>
      </c>
      <c r="B29" s="51">
        <v>219.1</v>
      </c>
    </row>
    <row r="30" spans="1:2">
      <c r="A30" s="37">
        <v>1989</v>
      </c>
      <c r="B30" s="51">
        <v>387</v>
      </c>
    </row>
    <row r="31" spans="1:2">
      <c r="A31" s="37">
        <v>1990</v>
      </c>
      <c r="B31" s="51">
        <v>283.59999999999997</v>
      </c>
    </row>
    <row r="32" spans="1:2">
      <c r="A32" s="37">
        <v>1991</v>
      </c>
      <c r="B32" s="51">
        <v>583.29999999999995</v>
      </c>
    </row>
    <row r="33" spans="1:2">
      <c r="A33" s="37">
        <v>1992</v>
      </c>
      <c r="B33" s="51">
        <v>256.5</v>
      </c>
    </row>
    <row r="34" spans="1:2">
      <c r="A34" s="37">
        <v>1993</v>
      </c>
      <c r="B34" s="51">
        <v>245.89999999999998</v>
      </c>
    </row>
    <row r="35" spans="1:2">
      <c r="A35" s="37">
        <v>1994</v>
      </c>
      <c r="B35" s="51">
        <v>440.6</v>
      </c>
    </row>
    <row r="36" spans="1:2">
      <c r="A36" s="37">
        <v>1995</v>
      </c>
      <c r="B36" s="51">
        <v>563.19999999999993</v>
      </c>
    </row>
    <row r="37" spans="1:2">
      <c r="A37" s="37">
        <v>1996</v>
      </c>
      <c r="B37" s="51">
        <v>244.2</v>
      </c>
    </row>
    <row r="38" spans="1:2">
      <c r="A38" s="37">
        <v>1997</v>
      </c>
      <c r="B38" s="51">
        <v>642.9</v>
      </c>
    </row>
    <row r="39" spans="1:2">
      <c r="A39" s="37">
        <v>1998</v>
      </c>
      <c r="B39" s="51">
        <v>306.59999999999997</v>
      </c>
    </row>
    <row r="40" spans="1:2">
      <c r="A40" s="37">
        <v>1999</v>
      </c>
      <c r="B40" s="51">
        <v>260.89999999999998</v>
      </c>
    </row>
    <row r="41" spans="1:2">
      <c r="A41" s="37">
        <v>2000</v>
      </c>
      <c r="B41" s="51">
        <v>252.69999999999993</v>
      </c>
    </row>
    <row r="42" spans="1:2">
      <c r="A42" s="37">
        <v>2001</v>
      </c>
      <c r="B42" s="51">
        <v>539.29999999999995</v>
      </c>
    </row>
    <row r="43" spans="1:2">
      <c r="A43" s="37">
        <v>2002</v>
      </c>
      <c r="B43" s="51">
        <v>221.5</v>
      </c>
    </row>
    <row r="44" spans="1:2">
      <c r="A44" s="37">
        <v>2003</v>
      </c>
      <c r="B44" s="51">
        <v>268.89999999999998</v>
      </c>
    </row>
    <row r="45" spans="1:2">
      <c r="A45" s="37">
        <v>2004</v>
      </c>
      <c r="B45" s="51">
        <v>374.50000000000006</v>
      </c>
    </row>
    <row r="46" spans="1:2">
      <c r="A46" s="37">
        <v>2005</v>
      </c>
      <c r="B46" s="51">
        <v>262.90000000000003</v>
      </c>
    </row>
    <row r="47" spans="1:2">
      <c r="A47" s="37">
        <v>2006</v>
      </c>
      <c r="B47" s="51">
        <v>240.40000000000003</v>
      </c>
    </row>
    <row r="48" spans="1:2">
      <c r="A48" s="37">
        <v>2007</v>
      </c>
      <c r="B48" s="51">
        <v>215</v>
      </c>
    </row>
    <row r="49" spans="1:2">
      <c r="A49" s="37">
        <v>2008</v>
      </c>
      <c r="B49" s="51">
        <v>615.1</v>
      </c>
    </row>
    <row r="50" spans="1:2">
      <c r="A50" s="37">
        <v>2009</v>
      </c>
      <c r="B50" s="51">
        <v>314.2</v>
      </c>
    </row>
    <row r="51" spans="1:2">
      <c r="A51" s="37">
        <v>2010</v>
      </c>
      <c r="B51" s="51">
        <v>443</v>
      </c>
    </row>
    <row r="52" spans="1:2">
      <c r="A52" s="37">
        <v>2011</v>
      </c>
      <c r="B52" s="51">
        <v>345.6</v>
      </c>
    </row>
    <row r="53" spans="1:2">
      <c r="A53" s="37">
        <v>2012</v>
      </c>
      <c r="B53" s="51">
        <v>271.5</v>
      </c>
    </row>
    <row r="54" spans="1:2">
      <c r="A54" s="37">
        <v>2013</v>
      </c>
      <c r="B54" s="51">
        <v>324.90000000000003</v>
      </c>
    </row>
    <row r="55" spans="1:2">
      <c r="A55" s="37">
        <v>2014</v>
      </c>
      <c r="B55" s="51">
        <v>240.5</v>
      </c>
    </row>
    <row r="56" spans="1:2">
      <c r="A56" s="37">
        <v>2015</v>
      </c>
      <c r="B56" s="51">
        <v>308.79999999999995</v>
      </c>
    </row>
    <row r="57" spans="1:2">
      <c r="A57" s="37">
        <v>2016</v>
      </c>
      <c r="B57" s="51">
        <v>285.49999999999994</v>
      </c>
    </row>
    <row r="58" spans="1:2">
      <c r="A58" s="37">
        <v>2017</v>
      </c>
      <c r="B58" s="51">
        <v>296.79999999999995</v>
      </c>
    </row>
    <row r="59" spans="1:2">
      <c r="A59" s="37">
        <v>2018</v>
      </c>
      <c r="B59" s="51">
        <v>373.99999999999994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Probabilidade Empírica</vt:lpstr>
      <vt:lpstr>Gráfico</vt:lpstr>
      <vt:lpstr>Inferência</vt:lpstr>
      <vt:lpstr>Normal</vt:lpstr>
      <vt:lpstr>Gráficos</vt:lpstr>
      <vt:lpstr>Gumbel </vt:lpstr>
      <vt:lpstr>Cálculo no Excel</vt:lpstr>
      <vt:lpstr>Série Anual de Máximas Mensais</vt:lpstr>
      <vt:lpstr>Tendência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Márcia Ghellar</dc:creator>
  <cp:lastModifiedBy>Márcia Ghellar</cp:lastModifiedBy>
  <dcterms:created xsi:type="dcterms:W3CDTF">2020-11-11T11:43:41Z</dcterms:created>
  <dcterms:modified xsi:type="dcterms:W3CDTF">2020-11-18T15:33:45Z</dcterms:modified>
</cp:coreProperties>
</file>