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tika\"/>
    </mc:Choice>
  </mc:AlternateContent>
  <xr:revisionPtr revIDLastSave="0" documentId="13_ncr:1_{77D97089-94A5-4813-85FE-B05E5A7E1F53}" xr6:coauthVersionLast="47" xr6:coauthVersionMax="47" xr10:uidLastSave="{00000000-0000-0000-0000-000000000000}"/>
  <bookViews>
    <workbookView xWindow="-108" yWindow="-108" windowWidth="23256" windowHeight="12456" firstSheet="9" activeTab="12" xr2:uid="{31C03D49-DB8A-42C5-805B-BC036D70D0FA}"/>
  </bookViews>
  <sheets>
    <sheet name="Nestle Data" sheetId="1" r:id="rId1"/>
    <sheet name="3 Statements" sheetId="2" r:id="rId2"/>
    <sheet name="Ratio Analysis()" sheetId="3" r:id="rId3"/>
    <sheet name="Forecasting" sheetId="5" r:id="rId4"/>
    <sheet name="Beta " sheetId="7" r:id="rId5"/>
    <sheet name="Wacc" sheetId="6" r:id="rId6"/>
    <sheet name="RM" sheetId="8" r:id="rId7"/>
    <sheet name="Common Size Statement" sheetId="9" r:id="rId8"/>
    <sheet name="Intrinsic Growth Data" sheetId="10" r:id="rId9"/>
    <sheet name="Intrinsic Growth" sheetId="11" r:id="rId10"/>
    <sheet name="Terminal Value()" sheetId="12" r:id="rId11"/>
    <sheet name="Relative Valuation Data" sheetId="14" r:id="rId12"/>
    <sheet name="Relative Valuation()" sheetId="13" r:id="rId13"/>
  </sheets>
  <definedNames>
    <definedName name="_xlnm._FilterDatabase" localSheetId="4" hidden="1">'Beta '!$B$4:$E$4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3" l="1"/>
  <c r="C15" i="12"/>
  <c r="D21" i="6"/>
  <c r="C41" i="2" l="1"/>
  <c r="O21" i="13" l="1"/>
  <c r="O23" i="13"/>
  <c r="N24" i="13"/>
  <c r="O24" i="13"/>
  <c r="M24" i="13"/>
  <c r="N23" i="13"/>
  <c r="N25" i="13" s="1"/>
  <c r="M23" i="13"/>
  <c r="M25" i="13" s="1"/>
  <c r="N22" i="13"/>
  <c r="O22" i="13"/>
  <c r="M22" i="13"/>
  <c r="N21" i="13"/>
  <c r="M21" i="13"/>
  <c r="N13" i="13"/>
  <c r="O13" i="13"/>
  <c r="N14" i="13"/>
  <c r="O14" i="13"/>
  <c r="N15" i="13"/>
  <c r="O15" i="13"/>
  <c r="N16" i="13"/>
  <c r="O16" i="13"/>
  <c r="M15" i="13"/>
  <c r="M14" i="13"/>
  <c r="M13" i="13"/>
  <c r="N12" i="13"/>
  <c r="O12" i="13"/>
  <c r="M12" i="13"/>
  <c r="N11" i="13"/>
  <c r="O11" i="13"/>
  <c r="M11" i="13"/>
  <c r="O8" i="13"/>
  <c r="O9" i="13"/>
  <c r="O7" i="13"/>
  <c r="N8" i="13"/>
  <c r="N9" i="13"/>
  <c r="N7" i="13"/>
  <c r="M8" i="13"/>
  <c r="M9" i="13"/>
  <c r="M7" i="13"/>
  <c r="F9" i="13"/>
  <c r="L8" i="13"/>
  <c r="L9" i="13"/>
  <c r="K9" i="13"/>
  <c r="K8" i="13"/>
  <c r="J8" i="13"/>
  <c r="J9" i="13"/>
  <c r="H8" i="13"/>
  <c r="H9" i="13"/>
  <c r="G8" i="13"/>
  <c r="G9" i="13"/>
  <c r="F8" i="13"/>
  <c r="E8" i="13"/>
  <c r="E9" i="13"/>
  <c r="D8" i="13"/>
  <c r="D9" i="13"/>
  <c r="L7" i="13"/>
  <c r="K7" i="13"/>
  <c r="J7" i="13"/>
  <c r="H7" i="13"/>
  <c r="G7" i="13"/>
  <c r="F7" i="13"/>
  <c r="E7" i="13"/>
  <c r="D7" i="13"/>
  <c r="M4" i="14"/>
  <c r="M5" i="14"/>
  <c r="M3" i="14"/>
  <c r="C33" i="12"/>
  <c r="C32" i="12"/>
  <c r="C22" i="12"/>
  <c r="D9" i="12"/>
  <c r="C4" i="12"/>
  <c r="C6" i="12" s="1"/>
  <c r="C2" i="12"/>
  <c r="D2" i="12"/>
  <c r="E2" i="12" s="1"/>
  <c r="F2" i="12" s="1"/>
  <c r="G2" i="12" s="1"/>
  <c r="D42" i="11"/>
  <c r="E42" i="11"/>
  <c r="F42" i="11"/>
  <c r="G42" i="11"/>
  <c r="C42" i="11"/>
  <c r="N46" i="10"/>
  <c r="D46" i="10"/>
  <c r="E46" i="10"/>
  <c r="F46" i="10"/>
  <c r="G46" i="10"/>
  <c r="H46" i="10"/>
  <c r="I46" i="10"/>
  <c r="J46" i="10"/>
  <c r="K46" i="10"/>
  <c r="L46" i="10"/>
  <c r="M46" i="10"/>
  <c r="C46" i="10"/>
  <c r="D35" i="11"/>
  <c r="D45" i="11" s="1"/>
  <c r="D48" i="11" s="1"/>
  <c r="E35" i="11"/>
  <c r="E45" i="11" s="1"/>
  <c r="E48" i="11" s="1"/>
  <c r="F35" i="11"/>
  <c r="F45" i="11" s="1"/>
  <c r="F48" i="11" s="1"/>
  <c r="G35" i="11"/>
  <c r="G45" i="11" s="1"/>
  <c r="G48" i="11" s="1"/>
  <c r="C35" i="11"/>
  <c r="C45" i="11" s="1"/>
  <c r="C48" i="11" s="1"/>
  <c r="J21" i="1"/>
  <c r="K21" i="1"/>
  <c r="L21" i="1"/>
  <c r="D31" i="11"/>
  <c r="E31" i="11"/>
  <c r="F31" i="11"/>
  <c r="G31" i="11"/>
  <c r="C31" i="11"/>
  <c r="B31" i="11"/>
  <c r="D22" i="11"/>
  <c r="E22" i="11"/>
  <c r="F22" i="11"/>
  <c r="G22" i="11"/>
  <c r="D23" i="11"/>
  <c r="E23" i="11"/>
  <c r="F23" i="11"/>
  <c r="G23" i="11"/>
  <c r="D24" i="11"/>
  <c r="E24" i="11"/>
  <c r="F24" i="11"/>
  <c r="G24" i="11"/>
  <c r="D25" i="11"/>
  <c r="E25" i="11"/>
  <c r="F25" i="11"/>
  <c r="G25" i="11"/>
  <c r="D26" i="11"/>
  <c r="E26" i="11"/>
  <c r="F26" i="11"/>
  <c r="G26" i="11"/>
  <c r="D27" i="11"/>
  <c r="E27" i="11"/>
  <c r="F27" i="11"/>
  <c r="G27" i="11"/>
  <c r="D28" i="11"/>
  <c r="E28" i="11"/>
  <c r="F28" i="11"/>
  <c r="G28" i="11"/>
  <c r="D29" i="11"/>
  <c r="E29" i="11"/>
  <c r="F29" i="11"/>
  <c r="G29" i="11"/>
  <c r="C23" i="11"/>
  <c r="C24" i="11"/>
  <c r="C25" i="11"/>
  <c r="C26" i="11"/>
  <c r="C27" i="11"/>
  <c r="C28" i="11"/>
  <c r="C29" i="11"/>
  <c r="C22" i="11"/>
  <c r="B23" i="11"/>
  <c r="B24" i="11"/>
  <c r="B25" i="11"/>
  <c r="B26" i="11"/>
  <c r="B27" i="11"/>
  <c r="B28" i="11"/>
  <c r="B29" i="11"/>
  <c r="B22" i="11"/>
  <c r="D14" i="11"/>
  <c r="E14" i="11"/>
  <c r="F14" i="11"/>
  <c r="G14" i="11"/>
  <c r="D15" i="11"/>
  <c r="E15" i="11"/>
  <c r="F15" i="11"/>
  <c r="G15" i="11"/>
  <c r="D16" i="11"/>
  <c r="E16" i="11"/>
  <c r="F16" i="11"/>
  <c r="G16" i="11"/>
  <c r="C15" i="11"/>
  <c r="C16" i="11"/>
  <c r="C14" i="11"/>
  <c r="C17" i="11" s="1"/>
  <c r="B15" i="11"/>
  <c r="B16" i="11"/>
  <c r="B17" i="11"/>
  <c r="B14" i="11"/>
  <c r="C10" i="11"/>
  <c r="D10" i="11"/>
  <c r="E10" i="11"/>
  <c r="F10" i="11"/>
  <c r="G10" i="11"/>
  <c r="D9" i="11"/>
  <c r="E9" i="11"/>
  <c r="F9" i="11"/>
  <c r="G9" i="11"/>
  <c r="C9" i="11"/>
  <c r="C8" i="11"/>
  <c r="D8" i="11"/>
  <c r="E8" i="11"/>
  <c r="F8" i="11"/>
  <c r="G8" i="11"/>
  <c r="D7" i="11"/>
  <c r="E7" i="11"/>
  <c r="F7" i="11"/>
  <c r="G7" i="11"/>
  <c r="C7" i="11"/>
  <c r="B10" i="11"/>
  <c r="B9" i="11"/>
  <c r="B8" i="11"/>
  <c r="B7" i="11"/>
  <c r="D30" i="10"/>
  <c r="E30" i="10"/>
  <c r="F30" i="10"/>
  <c r="G30" i="10"/>
  <c r="H30" i="10"/>
  <c r="I30" i="10"/>
  <c r="J30" i="10"/>
  <c r="K30" i="10"/>
  <c r="L30" i="10"/>
  <c r="M30" i="10"/>
  <c r="N30" i="10"/>
  <c r="C30" i="10"/>
  <c r="C39" i="9"/>
  <c r="D39" i="9"/>
  <c r="E39" i="9"/>
  <c r="F39" i="9"/>
  <c r="G39" i="9"/>
  <c r="H39" i="9"/>
  <c r="I39" i="9"/>
  <c r="J39" i="9"/>
  <c r="K39" i="9"/>
  <c r="L39" i="9"/>
  <c r="C40" i="9"/>
  <c r="D40" i="9"/>
  <c r="E40" i="9"/>
  <c r="F40" i="9"/>
  <c r="G40" i="9"/>
  <c r="H40" i="9"/>
  <c r="I40" i="9"/>
  <c r="J40" i="9"/>
  <c r="K40" i="9"/>
  <c r="L40" i="9"/>
  <c r="D38" i="9"/>
  <c r="E38" i="9"/>
  <c r="F38" i="9"/>
  <c r="G38" i="9"/>
  <c r="H38" i="9"/>
  <c r="I38" i="9"/>
  <c r="J38" i="9"/>
  <c r="K38" i="9"/>
  <c r="L38" i="9"/>
  <c r="C38" i="9"/>
  <c r="C35" i="9"/>
  <c r="D35" i="9"/>
  <c r="E35" i="9"/>
  <c r="F35" i="9"/>
  <c r="G35" i="9"/>
  <c r="H35" i="9"/>
  <c r="I35" i="9"/>
  <c r="J35" i="9"/>
  <c r="K35" i="9"/>
  <c r="L35" i="9"/>
  <c r="C36" i="9"/>
  <c r="D36" i="9"/>
  <c r="E36" i="9"/>
  <c r="F36" i="9"/>
  <c r="G36" i="9"/>
  <c r="H36" i="9"/>
  <c r="I36" i="9"/>
  <c r="J36" i="9"/>
  <c r="K36" i="9"/>
  <c r="L36" i="9"/>
  <c r="C37" i="9"/>
  <c r="D37" i="9"/>
  <c r="E37" i="9"/>
  <c r="F37" i="9"/>
  <c r="G37" i="9"/>
  <c r="H37" i="9"/>
  <c r="I37" i="9"/>
  <c r="J37" i="9"/>
  <c r="K37" i="9"/>
  <c r="L37" i="9"/>
  <c r="D34" i="9"/>
  <c r="E34" i="9"/>
  <c r="F34" i="9"/>
  <c r="G34" i="9"/>
  <c r="H34" i="9"/>
  <c r="I34" i="9"/>
  <c r="J34" i="9"/>
  <c r="K34" i="9"/>
  <c r="L34" i="9"/>
  <c r="C34" i="9"/>
  <c r="D33" i="9"/>
  <c r="E33" i="9"/>
  <c r="F33" i="9"/>
  <c r="G33" i="9"/>
  <c r="H33" i="9"/>
  <c r="I33" i="9"/>
  <c r="J33" i="9"/>
  <c r="K33" i="9"/>
  <c r="L33" i="9"/>
  <c r="C33" i="9"/>
  <c r="C29" i="9"/>
  <c r="D29" i="9"/>
  <c r="E29" i="9"/>
  <c r="F29" i="9"/>
  <c r="G29" i="9"/>
  <c r="H29" i="9"/>
  <c r="I29" i="9"/>
  <c r="J29" i="9"/>
  <c r="K29" i="9"/>
  <c r="L29" i="9"/>
  <c r="C30" i="9"/>
  <c r="D30" i="9"/>
  <c r="E30" i="9"/>
  <c r="F30" i="9"/>
  <c r="G30" i="9"/>
  <c r="H30" i="9"/>
  <c r="I30" i="9"/>
  <c r="J30" i="9"/>
  <c r="K30" i="9"/>
  <c r="L30" i="9"/>
  <c r="C31" i="9"/>
  <c r="D31" i="9"/>
  <c r="E31" i="9"/>
  <c r="F31" i="9"/>
  <c r="G31" i="9"/>
  <c r="H31" i="9"/>
  <c r="I31" i="9"/>
  <c r="J31" i="9"/>
  <c r="K31" i="9"/>
  <c r="L31" i="9"/>
  <c r="D28" i="9"/>
  <c r="E28" i="9"/>
  <c r="F28" i="9"/>
  <c r="G28" i="9"/>
  <c r="H28" i="9"/>
  <c r="I28" i="9"/>
  <c r="J28" i="9"/>
  <c r="K28" i="9"/>
  <c r="L28" i="9"/>
  <c r="C28" i="9"/>
  <c r="D27" i="9"/>
  <c r="E27" i="9"/>
  <c r="F27" i="9"/>
  <c r="G27" i="9"/>
  <c r="H27" i="9"/>
  <c r="I27" i="9"/>
  <c r="J27" i="9"/>
  <c r="K27" i="9"/>
  <c r="L27" i="9"/>
  <c r="C27" i="9"/>
  <c r="B23" i="9"/>
  <c r="C7" i="9"/>
  <c r="D7" i="9"/>
  <c r="E7" i="9"/>
  <c r="F7" i="9"/>
  <c r="G7" i="9"/>
  <c r="H7" i="9"/>
  <c r="I7" i="9"/>
  <c r="J7" i="9"/>
  <c r="K7" i="9"/>
  <c r="L7" i="9"/>
  <c r="C8" i="9"/>
  <c r="D8" i="9"/>
  <c r="E8" i="9"/>
  <c r="F8" i="9"/>
  <c r="G8" i="9"/>
  <c r="H8" i="9"/>
  <c r="I8" i="9"/>
  <c r="J8" i="9"/>
  <c r="K8" i="9"/>
  <c r="L8" i="9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D14" i="9"/>
  <c r="E14" i="9"/>
  <c r="F14" i="9"/>
  <c r="G14" i="9"/>
  <c r="H14" i="9"/>
  <c r="I14" i="9"/>
  <c r="J14" i="9"/>
  <c r="K14" i="9"/>
  <c r="L14" i="9"/>
  <c r="C15" i="9"/>
  <c r="D15" i="9"/>
  <c r="E15" i="9"/>
  <c r="F15" i="9"/>
  <c r="G15" i="9"/>
  <c r="H15" i="9"/>
  <c r="I15" i="9"/>
  <c r="J15" i="9"/>
  <c r="K15" i="9"/>
  <c r="L15" i="9"/>
  <c r="C16" i="9"/>
  <c r="D16" i="9"/>
  <c r="E16" i="9"/>
  <c r="F16" i="9"/>
  <c r="G16" i="9"/>
  <c r="H16" i="9"/>
  <c r="I16" i="9"/>
  <c r="J16" i="9"/>
  <c r="K16" i="9"/>
  <c r="L16" i="9"/>
  <c r="C17" i="9"/>
  <c r="D17" i="9"/>
  <c r="E17" i="9"/>
  <c r="F17" i="9"/>
  <c r="G17" i="9"/>
  <c r="H17" i="9"/>
  <c r="I17" i="9"/>
  <c r="J17" i="9"/>
  <c r="K17" i="9"/>
  <c r="L17" i="9"/>
  <c r="C18" i="9"/>
  <c r="D18" i="9"/>
  <c r="E18" i="9"/>
  <c r="F18" i="9"/>
  <c r="G18" i="9"/>
  <c r="H18" i="9"/>
  <c r="I18" i="9"/>
  <c r="J18" i="9"/>
  <c r="K18" i="9"/>
  <c r="L18" i="9"/>
  <c r="C19" i="9"/>
  <c r="D19" i="9"/>
  <c r="E19" i="9"/>
  <c r="F19" i="9"/>
  <c r="G19" i="9"/>
  <c r="H19" i="9"/>
  <c r="I19" i="9"/>
  <c r="J19" i="9"/>
  <c r="K19" i="9"/>
  <c r="L19" i="9"/>
  <c r="C20" i="9"/>
  <c r="D20" i="9"/>
  <c r="E20" i="9"/>
  <c r="F20" i="9"/>
  <c r="G20" i="9"/>
  <c r="H20" i="9"/>
  <c r="I20" i="9"/>
  <c r="J20" i="9"/>
  <c r="K20" i="9"/>
  <c r="L20" i="9"/>
  <c r="C21" i="9"/>
  <c r="J21" i="9"/>
  <c r="K21" i="9"/>
  <c r="L21" i="9"/>
  <c r="D6" i="9"/>
  <c r="E6" i="9"/>
  <c r="F6" i="9"/>
  <c r="G6" i="9"/>
  <c r="H6" i="9"/>
  <c r="I6" i="9"/>
  <c r="J6" i="9"/>
  <c r="K6" i="9"/>
  <c r="L6" i="9"/>
  <c r="C6" i="9"/>
  <c r="B2" i="9"/>
  <c r="J4" i="9"/>
  <c r="J25" i="9" s="1"/>
  <c r="K4" i="9"/>
  <c r="K25" i="9" s="1"/>
  <c r="L4" i="9"/>
  <c r="L25" i="9" s="1"/>
  <c r="D4" i="9"/>
  <c r="D25" i="9" s="1"/>
  <c r="E4" i="9"/>
  <c r="E25" i="9" s="1"/>
  <c r="F4" i="9"/>
  <c r="F25" i="9" s="1"/>
  <c r="G4" i="9"/>
  <c r="G25" i="9" s="1"/>
  <c r="H4" i="9"/>
  <c r="H25" i="9" s="1"/>
  <c r="I4" i="9"/>
  <c r="I25" i="9" s="1"/>
  <c r="C4" i="9"/>
  <c r="C25" i="9" s="1"/>
  <c r="D20" i="1"/>
  <c r="D21" i="9" s="1"/>
  <c r="E20" i="1"/>
  <c r="E21" i="9" s="1"/>
  <c r="F20" i="1"/>
  <c r="F21" i="9" s="1"/>
  <c r="G20" i="1"/>
  <c r="G21" i="9" s="1"/>
  <c r="H20" i="1"/>
  <c r="H21" i="9" s="1"/>
  <c r="I20" i="1"/>
  <c r="I21" i="9" s="1"/>
  <c r="J20" i="1"/>
  <c r="K20" i="1"/>
  <c r="L20" i="1"/>
  <c r="C20" i="1"/>
  <c r="C21" i="1" s="1"/>
  <c r="I22" i="6"/>
  <c r="F7" i="8"/>
  <c r="F5" i="8"/>
  <c r="C29" i="6"/>
  <c r="C28" i="6"/>
  <c r="O9" i="7"/>
  <c r="O4" i="7"/>
  <c r="L25" i="7"/>
  <c r="E9" i="12" l="1"/>
  <c r="G17" i="11"/>
  <c r="E30" i="11"/>
  <c r="E32" i="11" s="1"/>
  <c r="E11" i="11"/>
  <c r="D11" i="11"/>
  <c r="G11" i="11"/>
  <c r="F11" i="11"/>
  <c r="F19" i="11" s="1"/>
  <c r="I21" i="1"/>
  <c r="H21" i="1"/>
  <c r="G21" i="1"/>
  <c r="F21" i="1"/>
  <c r="E21" i="1"/>
  <c r="D21" i="1"/>
  <c r="G30" i="11"/>
  <c r="G32" i="11" s="1"/>
  <c r="F30" i="11"/>
  <c r="F32" i="11" s="1"/>
  <c r="C30" i="11"/>
  <c r="C32" i="11" s="1"/>
  <c r="F17" i="11"/>
  <c r="E17" i="11"/>
  <c r="D17" i="11"/>
  <c r="D30" i="11"/>
  <c r="D32" i="11" s="1"/>
  <c r="C11" i="11"/>
  <c r="C19" i="11" s="1"/>
  <c r="F9" i="12" l="1"/>
  <c r="E19" i="11"/>
  <c r="G19" i="11"/>
  <c r="G34" i="11" s="1"/>
  <c r="G36" i="11" s="1"/>
  <c r="G61" i="11" s="1"/>
  <c r="D19" i="11"/>
  <c r="D43" i="11" s="1"/>
  <c r="D50" i="11" s="1"/>
  <c r="D51" i="11" s="1"/>
  <c r="D60" i="11" s="1"/>
  <c r="C34" i="11"/>
  <c r="C36" i="11" s="1"/>
  <c r="F34" i="11"/>
  <c r="F36" i="11" s="1"/>
  <c r="F61" i="11" s="1"/>
  <c r="G9" i="12" l="1"/>
  <c r="D34" i="11"/>
  <c r="D36" i="11" s="1"/>
  <c r="D61" i="11" s="1"/>
  <c r="D62" i="11" s="1"/>
  <c r="F43" i="11"/>
  <c r="F50" i="11" s="1"/>
  <c r="F51" i="11" s="1"/>
  <c r="F60" i="11" s="1"/>
  <c r="F62" i="11" s="1"/>
  <c r="G43" i="11"/>
  <c r="G50" i="11" s="1"/>
  <c r="G51" i="11" s="1"/>
  <c r="G60" i="11" s="1"/>
  <c r="G62" i="11" s="1"/>
  <c r="E34" i="11"/>
  <c r="E36" i="11" s="1"/>
  <c r="E61" i="11" s="1"/>
  <c r="E43" i="11"/>
  <c r="E50" i="11" s="1"/>
  <c r="E51" i="11" s="1"/>
  <c r="E60" i="11" s="1"/>
  <c r="E62" i="11" s="1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6" i="7"/>
  <c r="I30" i="6"/>
  <c r="C30" i="6"/>
  <c r="D29" i="6" s="1"/>
  <c r="D23" i="6"/>
  <c r="O24" i="6" s="1"/>
  <c r="I16" i="6"/>
  <c r="I15" i="6"/>
  <c r="F16" i="6"/>
  <c r="F15" i="6"/>
  <c r="J11" i="6"/>
  <c r="H10" i="6"/>
  <c r="H11" i="6"/>
  <c r="H12" i="6"/>
  <c r="H13" i="6"/>
  <c r="H9" i="6"/>
  <c r="H16" i="6" s="1"/>
  <c r="E28" i="6" s="1"/>
  <c r="O25" i="6" s="1"/>
  <c r="G10" i="6"/>
  <c r="G11" i="6"/>
  <c r="G12" i="6"/>
  <c r="J12" i="6" s="1"/>
  <c r="G13" i="6"/>
  <c r="J13" i="6" s="1"/>
  <c r="G9" i="6"/>
  <c r="J9" i="6" s="1"/>
  <c r="G15" i="6" l="1"/>
  <c r="D64" i="11"/>
  <c r="D65" i="11"/>
  <c r="C14" i="12" s="1"/>
  <c r="D4" i="12" s="1"/>
  <c r="D6" i="12" s="1"/>
  <c r="D54" i="11"/>
  <c r="C7" i="12" s="1"/>
  <c r="D53" i="11"/>
  <c r="D28" i="6"/>
  <c r="D31" i="6" s="1"/>
  <c r="D30" i="6"/>
  <c r="E30" i="6" s="1"/>
  <c r="E29" i="6" s="1"/>
  <c r="O22" i="6" s="1"/>
  <c r="J10" i="6"/>
  <c r="J16" i="6" s="1"/>
  <c r="I28" i="6" s="1"/>
  <c r="H15" i="6"/>
  <c r="G16" i="6"/>
  <c r="E4" i="12" l="1"/>
  <c r="E6" i="12" s="1"/>
  <c r="D7" i="12"/>
  <c r="E7" i="12" s="1"/>
  <c r="F7" i="12" s="1"/>
  <c r="G7" i="12" s="1"/>
  <c r="C8" i="12"/>
  <c r="E31" i="6"/>
  <c r="I29" i="6" s="1"/>
  <c r="J15" i="6"/>
  <c r="I31" i="6" l="1"/>
  <c r="I23" i="6" s="1"/>
  <c r="I24" i="6" s="1"/>
  <c r="O21" i="6" s="1"/>
  <c r="O27" i="6" s="1"/>
  <c r="C16" i="12" s="1"/>
  <c r="E8" i="12"/>
  <c r="D8" i="12"/>
  <c r="F4" i="12"/>
  <c r="G4" i="12" s="1"/>
  <c r="G6" i="12" s="1"/>
  <c r="G8" i="12" s="1"/>
  <c r="E5" i="5"/>
  <c r="E6" i="5"/>
  <c r="E7" i="5"/>
  <c r="E8" i="5"/>
  <c r="E9" i="5"/>
  <c r="E10" i="5"/>
  <c r="E11" i="5"/>
  <c r="E12" i="5"/>
  <c r="C2" i="5" a="1"/>
  <c r="D38" i="3"/>
  <c r="E38" i="3"/>
  <c r="F38" i="3"/>
  <c r="G38" i="3"/>
  <c r="H38" i="3"/>
  <c r="I38" i="3"/>
  <c r="J38" i="3"/>
  <c r="K38" i="3"/>
  <c r="L38" i="3"/>
  <c r="D40" i="3"/>
  <c r="G40" i="3"/>
  <c r="C38" i="3"/>
  <c r="D28" i="3"/>
  <c r="D34" i="3" s="1"/>
  <c r="F28" i="3"/>
  <c r="F34" i="3" s="1"/>
  <c r="I28" i="3"/>
  <c r="I34" i="3" s="1"/>
  <c r="I29" i="3"/>
  <c r="I35" i="3" s="1"/>
  <c r="J29" i="3"/>
  <c r="J35" i="3" s="1"/>
  <c r="K29" i="3"/>
  <c r="K35" i="3" s="1"/>
  <c r="L29" i="3"/>
  <c r="L35" i="3" s="1"/>
  <c r="J30" i="3"/>
  <c r="F31" i="3"/>
  <c r="G27" i="3"/>
  <c r="G33" i="3" s="1"/>
  <c r="H27" i="3"/>
  <c r="H33" i="3" s="1"/>
  <c r="I27" i="3"/>
  <c r="I33" i="3" s="1"/>
  <c r="L3" i="3"/>
  <c r="K3" i="3"/>
  <c r="J3" i="3"/>
  <c r="I3" i="3"/>
  <c r="H3" i="3"/>
  <c r="G3" i="3"/>
  <c r="F3" i="3"/>
  <c r="E3" i="3"/>
  <c r="D3" i="3"/>
  <c r="C3" i="3"/>
  <c r="B2" i="3"/>
  <c r="L99" i="2"/>
  <c r="D92" i="2"/>
  <c r="E92" i="2"/>
  <c r="F92" i="2"/>
  <c r="G92" i="2"/>
  <c r="H92" i="2"/>
  <c r="I92" i="2"/>
  <c r="J92" i="2"/>
  <c r="K92" i="2"/>
  <c r="L92" i="2"/>
  <c r="D93" i="2"/>
  <c r="E93" i="2"/>
  <c r="F93" i="2"/>
  <c r="G93" i="2"/>
  <c r="H93" i="2"/>
  <c r="I93" i="2"/>
  <c r="J93" i="2"/>
  <c r="K93" i="2"/>
  <c r="L93" i="2"/>
  <c r="D94" i="2"/>
  <c r="E94" i="2"/>
  <c r="F94" i="2"/>
  <c r="F99" i="2" s="1"/>
  <c r="G94" i="2"/>
  <c r="H94" i="2"/>
  <c r="I94" i="2"/>
  <c r="J94" i="2"/>
  <c r="K94" i="2"/>
  <c r="L94" i="2"/>
  <c r="D95" i="2"/>
  <c r="E95" i="2"/>
  <c r="F95" i="2"/>
  <c r="G95" i="2"/>
  <c r="H95" i="2"/>
  <c r="I95" i="2"/>
  <c r="I99" i="2" s="1"/>
  <c r="J95" i="2"/>
  <c r="J99" i="2" s="1"/>
  <c r="K95" i="2"/>
  <c r="K99" i="2" s="1"/>
  <c r="L95" i="2"/>
  <c r="D96" i="2"/>
  <c r="E96" i="2"/>
  <c r="F96" i="2"/>
  <c r="G96" i="2"/>
  <c r="H96" i="2"/>
  <c r="I96" i="2"/>
  <c r="J96" i="2"/>
  <c r="K96" i="2"/>
  <c r="L96" i="2"/>
  <c r="D97" i="2"/>
  <c r="E97" i="2"/>
  <c r="F97" i="2"/>
  <c r="G97" i="2"/>
  <c r="H97" i="2"/>
  <c r="I97" i="2"/>
  <c r="J97" i="2"/>
  <c r="K97" i="2"/>
  <c r="L97" i="2"/>
  <c r="D98" i="2"/>
  <c r="E98" i="2"/>
  <c r="F98" i="2"/>
  <c r="G98" i="2"/>
  <c r="H98" i="2"/>
  <c r="I98" i="2"/>
  <c r="J98" i="2"/>
  <c r="K98" i="2"/>
  <c r="L98" i="2"/>
  <c r="C93" i="2"/>
  <c r="C94" i="2"/>
  <c r="C95" i="2"/>
  <c r="C96" i="2"/>
  <c r="C97" i="2"/>
  <c r="C98" i="2"/>
  <c r="C92" i="2"/>
  <c r="C99" i="2" s="1"/>
  <c r="E75" i="2"/>
  <c r="C48" i="2"/>
  <c r="D48" i="2"/>
  <c r="E48" i="2"/>
  <c r="F48" i="2"/>
  <c r="G48" i="2"/>
  <c r="H48" i="2"/>
  <c r="I48" i="2"/>
  <c r="J48" i="2"/>
  <c r="K48" i="2"/>
  <c r="L48" i="2"/>
  <c r="C49" i="2"/>
  <c r="D49" i="2"/>
  <c r="E49" i="2"/>
  <c r="F49" i="2"/>
  <c r="G49" i="2"/>
  <c r="H49" i="2"/>
  <c r="I49" i="2"/>
  <c r="J49" i="2"/>
  <c r="K49" i="2"/>
  <c r="L49" i="2"/>
  <c r="C50" i="2"/>
  <c r="C40" i="3" s="1"/>
  <c r="D50" i="2"/>
  <c r="E50" i="2"/>
  <c r="E40" i="3" s="1"/>
  <c r="F50" i="2"/>
  <c r="F40" i="3" s="1"/>
  <c r="G50" i="2"/>
  <c r="H50" i="2"/>
  <c r="H40" i="3" s="1"/>
  <c r="I50" i="2"/>
  <c r="I40" i="3" s="1"/>
  <c r="J50" i="2"/>
  <c r="J40" i="3" s="1"/>
  <c r="K50" i="2"/>
  <c r="K40" i="3" s="1"/>
  <c r="L50" i="2"/>
  <c r="L40" i="3" s="1"/>
  <c r="C51" i="2"/>
  <c r="D51" i="2"/>
  <c r="E51" i="2"/>
  <c r="F51" i="2"/>
  <c r="G51" i="2"/>
  <c r="G28" i="3" s="1"/>
  <c r="G34" i="3" s="1"/>
  <c r="H51" i="2"/>
  <c r="H28" i="3" s="1"/>
  <c r="H34" i="3" s="1"/>
  <c r="I51" i="2"/>
  <c r="J51" i="2"/>
  <c r="K51" i="2"/>
  <c r="L51" i="2"/>
  <c r="C52" i="2"/>
  <c r="D52" i="2"/>
  <c r="E52" i="2"/>
  <c r="F52" i="2"/>
  <c r="G52" i="2"/>
  <c r="H52" i="2"/>
  <c r="I52" i="2"/>
  <c r="J52" i="2"/>
  <c r="K52" i="2"/>
  <c r="L52" i="2"/>
  <c r="C54" i="2"/>
  <c r="D54" i="2"/>
  <c r="E54" i="2"/>
  <c r="F54" i="2"/>
  <c r="G54" i="2"/>
  <c r="G30" i="3" s="1"/>
  <c r="H54" i="2"/>
  <c r="H30" i="3" s="1"/>
  <c r="I54" i="2"/>
  <c r="I30" i="3" s="1"/>
  <c r="J54" i="2"/>
  <c r="J58" i="2" s="1"/>
  <c r="K54" i="2"/>
  <c r="L54" i="2"/>
  <c r="L58" i="2" s="1"/>
  <c r="C55" i="2"/>
  <c r="D55" i="2"/>
  <c r="E55" i="2"/>
  <c r="F55" i="2"/>
  <c r="G55" i="2"/>
  <c r="H55" i="2"/>
  <c r="I55" i="2"/>
  <c r="J55" i="2"/>
  <c r="K55" i="2"/>
  <c r="L55" i="2"/>
  <c r="C56" i="2"/>
  <c r="D56" i="2"/>
  <c r="D58" i="2" s="1"/>
  <c r="D64" i="2" s="1"/>
  <c r="D39" i="3" s="1"/>
  <c r="E56" i="2"/>
  <c r="F56" i="2"/>
  <c r="G56" i="2"/>
  <c r="H56" i="2"/>
  <c r="I56" i="2"/>
  <c r="J56" i="2"/>
  <c r="K56" i="2"/>
  <c r="L56" i="2"/>
  <c r="C57" i="2"/>
  <c r="D57" i="2"/>
  <c r="E57" i="2"/>
  <c r="F57" i="2"/>
  <c r="F58" i="2" s="1"/>
  <c r="G57" i="2"/>
  <c r="H57" i="2"/>
  <c r="I57" i="2"/>
  <c r="J57" i="2"/>
  <c r="K57" i="2"/>
  <c r="L57" i="2"/>
  <c r="C60" i="2"/>
  <c r="D60" i="2"/>
  <c r="D63" i="2" s="1"/>
  <c r="E60" i="2"/>
  <c r="E63" i="2" s="1"/>
  <c r="F60" i="2"/>
  <c r="G60" i="2"/>
  <c r="H60" i="2"/>
  <c r="I60" i="2"/>
  <c r="J60" i="2"/>
  <c r="K60" i="2"/>
  <c r="K63" i="2" s="1"/>
  <c r="L60" i="2"/>
  <c r="C61" i="2"/>
  <c r="D61" i="2"/>
  <c r="E61" i="2"/>
  <c r="F61" i="2"/>
  <c r="F29" i="3" s="1"/>
  <c r="F35" i="3" s="1"/>
  <c r="G61" i="2"/>
  <c r="G29" i="3" s="1"/>
  <c r="G35" i="3" s="1"/>
  <c r="H61" i="2"/>
  <c r="H29" i="3" s="1"/>
  <c r="H35" i="3" s="1"/>
  <c r="I61" i="2"/>
  <c r="J61" i="2"/>
  <c r="K61" i="2"/>
  <c r="L61" i="2"/>
  <c r="C62" i="2"/>
  <c r="C63" i="2" s="1"/>
  <c r="D62" i="2"/>
  <c r="E62" i="2"/>
  <c r="F62" i="2"/>
  <c r="G62" i="2"/>
  <c r="H62" i="2"/>
  <c r="I62" i="2"/>
  <c r="J62" i="2"/>
  <c r="K62" i="2"/>
  <c r="L62" i="2"/>
  <c r="D89" i="2"/>
  <c r="D82" i="2"/>
  <c r="E82" i="2"/>
  <c r="F82" i="2"/>
  <c r="G82" i="2"/>
  <c r="H82" i="2"/>
  <c r="I82" i="2"/>
  <c r="I89" i="2" s="1"/>
  <c r="J82" i="2"/>
  <c r="J89" i="2" s="1"/>
  <c r="K82" i="2"/>
  <c r="L82" i="2"/>
  <c r="D83" i="2"/>
  <c r="E83" i="2"/>
  <c r="F83" i="2"/>
  <c r="G83" i="2"/>
  <c r="H83" i="2"/>
  <c r="I83" i="2"/>
  <c r="J83" i="2"/>
  <c r="K83" i="2"/>
  <c r="L83" i="2"/>
  <c r="D84" i="2"/>
  <c r="E84" i="2"/>
  <c r="F84" i="2"/>
  <c r="G84" i="2"/>
  <c r="H84" i="2"/>
  <c r="I84" i="2"/>
  <c r="J84" i="2"/>
  <c r="K84" i="2"/>
  <c r="L84" i="2"/>
  <c r="D85" i="2"/>
  <c r="E85" i="2"/>
  <c r="E89" i="2" s="1"/>
  <c r="F85" i="2"/>
  <c r="G85" i="2"/>
  <c r="H85" i="2"/>
  <c r="I85" i="2"/>
  <c r="J85" i="2"/>
  <c r="K85" i="2"/>
  <c r="L85" i="2"/>
  <c r="D86" i="2"/>
  <c r="E86" i="2"/>
  <c r="F86" i="2"/>
  <c r="G86" i="2"/>
  <c r="H86" i="2"/>
  <c r="I86" i="2"/>
  <c r="J86" i="2"/>
  <c r="K86" i="2"/>
  <c r="L86" i="2"/>
  <c r="D87" i="2"/>
  <c r="E87" i="2"/>
  <c r="F87" i="2"/>
  <c r="G87" i="2"/>
  <c r="H87" i="2"/>
  <c r="I87" i="2"/>
  <c r="J87" i="2"/>
  <c r="K87" i="2"/>
  <c r="L87" i="2"/>
  <c r="D88" i="2"/>
  <c r="E88" i="2"/>
  <c r="F88" i="2"/>
  <c r="G88" i="2"/>
  <c r="H88" i="2"/>
  <c r="I88" i="2"/>
  <c r="J88" i="2"/>
  <c r="K88" i="2"/>
  <c r="L88" i="2"/>
  <c r="C83" i="2"/>
  <c r="C84" i="2"/>
  <c r="C85" i="2"/>
  <c r="C86" i="2"/>
  <c r="C87" i="2"/>
  <c r="C88" i="2"/>
  <c r="C82" i="2"/>
  <c r="D76" i="2"/>
  <c r="E76" i="2"/>
  <c r="F76" i="2"/>
  <c r="G76" i="2"/>
  <c r="H76" i="2"/>
  <c r="I76" i="2"/>
  <c r="J76" i="2"/>
  <c r="K76" i="2"/>
  <c r="L76" i="2"/>
  <c r="D77" i="2"/>
  <c r="E77" i="2"/>
  <c r="F77" i="2"/>
  <c r="G77" i="2"/>
  <c r="H77" i="2"/>
  <c r="I77" i="2"/>
  <c r="J77" i="2"/>
  <c r="K77" i="2"/>
  <c r="L77" i="2"/>
  <c r="D78" i="2"/>
  <c r="E78" i="2"/>
  <c r="F78" i="2"/>
  <c r="G78" i="2"/>
  <c r="H78" i="2"/>
  <c r="I78" i="2"/>
  <c r="J78" i="2"/>
  <c r="K78" i="2"/>
  <c r="L78" i="2"/>
  <c r="D71" i="2"/>
  <c r="E71" i="2"/>
  <c r="F71" i="2"/>
  <c r="G71" i="2"/>
  <c r="H71" i="2"/>
  <c r="H79" i="2" s="1"/>
  <c r="I71" i="2"/>
  <c r="I79" i="2" s="1"/>
  <c r="J71" i="2"/>
  <c r="K71" i="2"/>
  <c r="L71" i="2"/>
  <c r="L79" i="2" s="1"/>
  <c r="D72" i="2"/>
  <c r="E72" i="2"/>
  <c r="F72" i="2"/>
  <c r="G72" i="2"/>
  <c r="H72" i="2"/>
  <c r="I72" i="2"/>
  <c r="J72" i="2"/>
  <c r="K72" i="2"/>
  <c r="L72" i="2"/>
  <c r="D73" i="2"/>
  <c r="E73" i="2"/>
  <c r="F73" i="2"/>
  <c r="G73" i="2"/>
  <c r="H73" i="2"/>
  <c r="I73" i="2"/>
  <c r="J73" i="2"/>
  <c r="K73" i="2"/>
  <c r="L73" i="2"/>
  <c r="D74" i="2"/>
  <c r="E74" i="2"/>
  <c r="F74" i="2"/>
  <c r="G74" i="2"/>
  <c r="H74" i="2"/>
  <c r="I74" i="2"/>
  <c r="J74" i="2"/>
  <c r="K74" i="2"/>
  <c r="L74" i="2"/>
  <c r="D75" i="2"/>
  <c r="F75" i="2"/>
  <c r="G75" i="2"/>
  <c r="H75" i="2"/>
  <c r="I75" i="2"/>
  <c r="J75" i="2"/>
  <c r="J79" i="2" s="1"/>
  <c r="K75" i="2"/>
  <c r="K79" i="2" s="1"/>
  <c r="L75" i="2"/>
  <c r="C77" i="2"/>
  <c r="C79" i="2" s="1"/>
  <c r="C78" i="2"/>
  <c r="C76" i="2"/>
  <c r="C75" i="2"/>
  <c r="C72" i="2"/>
  <c r="C73" i="2"/>
  <c r="C74" i="2"/>
  <c r="C71" i="2"/>
  <c r="D36" i="2"/>
  <c r="D41" i="2" s="1"/>
  <c r="C9" i="3" s="1"/>
  <c r="E36" i="2"/>
  <c r="E41" i="2" s="1"/>
  <c r="D9" i="3" s="1"/>
  <c r="F36" i="2"/>
  <c r="F41" i="2" s="1"/>
  <c r="G36" i="2"/>
  <c r="G41" i="2" s="1"/>
  <c r="H36" i="2"/>
  <c r="H41" i="2" s="1"/>
  <c r="G9" i="3" s="1"/>
  <c r="I36" i="2"/>
  <c r="I41" i="2" s="1"/>
  <c r="J36" i="2"/>
  <c r="J41" i="2" s="1"/>
  <c r="K36" i="2"/>
  <c r="K41" i="2" s="1"/>
  <c r="L36" i="2"/>
  <c r="L41" i="2" s="1"/>
  <c r="C36" i="2"/>
  <c r="M30" i="2"/>
  <c r="D30" i="2"/>
  <c r="E30" i="2"/>
  <c r="F30" i="2"/>
  <c r="G30" i="2"/>
  <c r="H30" i="2"/>
  <c r="I30" i="2"/>
  <c r="J30" i="2"/>
  <c r="K30" i="2"/>
  <c r="L30" i="2"/>
  <c r="C30" i="2"/>
  <c r="M24" i="2"/>
  <c r="D24" i="2"/>
  <c r="E24" i="2"/>
  <c r="F24" i="2"/>
  <c r="G24" i="2"/>
  <c r="H24" i="2"/>
  <c r="I24" i="2"/>
  <c r="I25" i="2" s="1"/>
  <c r="I18" i="3" s="1"/>
  <c r="J24" i="2"/>
  <c r="J25" i="2" s="1"/>
  <c r="J18" i="3" s="1"/>
  <c r="K24" i="2"/>
  <c r="L24" i="2"/>
  <c r="C24" i="2"/>
  <c r="M21" i="2"/>
  <c r="D21" i="2"/>
  <c r="E21" i="2"/>
  <c r="F21" i="2"/>
  <c r="G21" i="2"/>
  <c r="G22" i="2" s="1"/>
  <c r="H21" i="2"/>
  <c r="H22" i="2" s="1"/>
  <c r="I21" i="2"/>
  <c r="I22" i="2" s="1"/>
  <c r="J21" i="2"/>
  <c r="J22" i="2" s="1"/>
  <c r="K21" i="2"/>
  <c r="L21" i="2"/>
  <c r="C21" i="2"/>
  <c r="D34" i="1"/>
  <c r="E34" i="1"/>
  <c r="F34" i="1"/>
  <c r="G34" i="1"/>
  <c r="H34" i="1"/>
  <c r="I34" i="1"/>
  <c r="M18" i="2" s="1"/>
  <c r="J34" i="1"/>
  <c r="K34" i="1"/>
  <c r="L34" i="1"/>
  <c r="C34" i="1"/>
  <c r="D15" i="2"/>
  <c r="E15" i="2"/>
  <c r="F15" i="2"/>
  <c r="G15" i="2"/>
  <c r="H15" i="2"/>
  <c r="I15" i="2"/>
  <c r="J15" i="2"/>
  <c r="K15" i="2"/>
  <c r="L15" i="2"/>
  <c r="C15" i="2"/>
  <c r="M9" i="2"/>
  <c r="M10" i="2" s="1"/>
  <c r="D9" i="2"/>
  <c r="D10" i="2" s="1"/>
  <c r="E9" i="2"/>
  <c r="F9" i="2"/>
  <c r="G9" i="2"/>
  <c r="H9" i="2"/>
  <c r="I9" i="2"/>
  <c r="I10" i="2" s="1"/>
  <c r="J9" i="2"/>
  <c r="J10" i="2" s="1"/>
  <c r="K9" i="2"/>
  <c r="L9" i="2"/>
  <c r="C9" i="2"/>
  <c r="M6" i="2"/>
  <c r="D6" i="2"/>
  <c r="E6" i="2"/>
  <c r="F6" i="2"/>
  <c r="F30" i="3" s="1"/>
  <c r="G6" i="2"/>
  <c r="G31" i="3" s="1"/>
  <c r="H6" i="2"/>
  <c r="H31" i="3" s="1"/>
  <c r="I6" i="2"/>
  <c r="J6" i="2"/>
  <c r="K6" i="2"/>
  <c r="L6" i="2"/>
  <c r="C6" i="2"/>
  <c r="D3" i="2"/>
  <c r="E3" i="2"/>
  <c r="F3" i="2"/>
  <c r="G3" i="2"/>
  <c r="H3" i="2"/>
  <c r="I3" i="2"/>
  <c r="J3" i="2"/>
  <c r="K3" i="2"/>
  <c r="L3" i="2"/>
  <c r="C3" i="2"/>
  <c r="B2" i="2"/>
  <c r="C36" i="1"/>
  <c r="C21" i="12" l="1"/>
  <c r="D10" i="12"/>
  <c r="E10" i="12"/>
  <c r="F10" i="12"/>
  <c r="G10" i="12"/>
  <c r="D12" i="12"/>
  <c r="E12" i="12"/>
  <c r="I9" i="3"/>
  <c r="F6" i="12"/>
  <c r="F8" i="12" s="1"/>
  <c r="F12" i="12" s="1"/>
  <c r="C20" i="12"/>
  <c r="G12" i="12"/>
  <c r="K9" i="3"/>
  <c r="J9" i="3"/>
  <c r="I101" i="2"/>
  <c r="I36" i="3"/>
  <c r="L9" i="3"/>
  <c r="F9" i="3"/>
  <c r="J101" i="2"/>
  <c r="C31" i="3"/>
  <c r="C30" i="3"/>
  <c r="C27" i="3"/>
  <c r="C33" i="3" s="1"/>
  <c r="H99" i="2"/>
  <c r="H101" i="2"/>
  <c r="K58" i="2"/>
  <c r="K64" i="2" s="1"/>
  <c r="K39" i="3" s="1"/>
  <c r="K30" i="3"/>
  <c r="D99" i="2"/>
  <c r="H36" i="3"/>
  <c r="G36" i="3"/>
  <c r="C28" i="3"/>
  <c r="C34" i="3" s="1"/>
  <c r="C29" i="3"/>
  <c r="C35" i="3" s="1"/>
  <c r="K89" i="2"/>
  <c r="K101" i="2" s="1"/>
  <c r="H89" i="2"/>
  <c r="G89" i="2"/>
  <c r="G99" i="2"/>
  <c r="E7" i="2"/>
  <c r="E5" i="3" s="1"/>
  <c r="E30" i="3"/>
  <c r="E29" i="3"/>
  <c r="E35" i="3" s="1"/>
  <c r="E31" i="3"/>
  <c r="E27" i="3"/>
  <c r="E33" i="3" s="1"/>
  <c r="E28" i="3"/>
  <c r="E34" i="3" s="1"/>
  <c r="D79" i="2"/>
  <c r="F89" i="2"/>
  <c r="D30" i="3"/>
  <c r="D29" i="3"/>
  <c r="D35" i="3" s="1"/>
  <c r="D27" i="3"/>
  <c r="D33" i="3" s="1"/>
  <c r="E9" i="3"/>
  <c r="D31" i="3"/>
  <c r="L30" i="3"/>
  <c r="E99" i="2"/>
  <c r="F63" i="2"/>
  <c r="F27" i="3"/>
  <c r="F33" i="3" s="1"/>
  <c r="F36" i="3" s="1"/>
  <c r="L7" i="2"/>
  <c r="L5" i="3" s="1"/>
  <c r="L31" i="3"/>
  <c r="L28" i="3"/>
  <c r="L34" i="3" s="1"/>
  <c r="L27" i="3"/>
  <c r="L33" i="3" s="1"/>
  <c r="K7" i="2"/>
  <c r="K5" i="3" s="1"/>
  <c r="K28" i="3"/>
  <c r="K34" i="3" s="1"/>
  <c r="K27" i="3"/>
  <c r="K33" i="3" s="1"/>
  <c r="K31" i="3"/>
  <c r="G79" i="2"/>
  <c r="J7" i="2"/>
  <c r="J5" i="3" s="1"/>
  <c r="J28" i="3"/>
  <c r="J34" i="3" s="1"/>
  <c r="J27" i="3"/>
  <c r="J33" i="3" s="1"/>
  <c r="J31" i="3"/>
  <c r="F79" i="2"/>
  <c r="C89" i="2"/>
  <c r="C101" i="2" s="1"/>
  <c r="I58" i="2"/>
  <c r="I31" i="3"/>
  <c r="E79" i="2"/>
  <c r="L89" i="2"/>
  <c r="L101" i="2" s="1"/>
  <c r="H58" i="2"/>
  <c r="H9" i="3"/>
  <c r="H63" i="2"/>
  <c r="L63" i="2"/>
  <c r="L64" i="2" s="1"/>
  <c r="J63" i="2"/>
  <c r="J64" i="2" s="1"/>
  <c r="J39" i="3" s="1"/>
  <c r="I63" i="2"/>
  <c r="G63" i="2"/>
  <c r="G58" i="2"/>
  <c r="E58" i="2"/>
  <c r="E64" i="2" s="1"/>
  <c r="E39" i="3" s="1"/>
  <c r="C58" i="2"/>
  <c r="C64" i="2" s="1"/>
  <c r="C39" i="3" s="1"/>
  <c r="C2" i="5"/>
  <c r="D14" i="5"/>
  <c r="D15" i="5"/>
  <c r="E15" i="5" s="1"/>
  <c r="D16" i="5"/>
  <c r="D17" i="5"/>
  <c r="E17" i="5" s="1"/>
  <c r="D13" i="5"/>
  <c r="E13" i="5" s="1"/>
  <c r="E4" i="5"/>
  <c r="C13" i="5"/>
  <c r="C14" i="5" s="1"/>
  <c r="C15" i="5" s="1"/>
  <c r="C16" i="5" s="1"/>
  <c r="C17" i="5" s="1"/>
  <c r="F64" i="2"/>
  <c r="F39" i="3" s="1"/>
  <c r="G64" i="2"/>
  <c r="D66" i="2"/>
  <c r="H12" i="2"/>
  <c r="H13" i="2" s="1"/>
  <c r="H11" i="3" s="1"/>
  <c r="F12" i="2"/>
  <c r="F13" i="2" s="1"/>
  <c r="F11" i="3" s="1"/>
  <c r="M7" i="2"/>
  <c r="L22" i="2"/>
  <c r="L25" i="2"/>
  <c r="L18" i="3" s="1"/>
  <c r="G12" i="2"/>
  <c r="G13" i="2" s="1"/>
  <c r="G11" i="3" s="1"/>
  <c r="D7" i="2"/>
  <c r="D5" i="3" s="1"/>
  <c r="K22" i="2"/>
  <c r="K25" i="2"/>
  <c r="K18" i="3" s="1"/>
  <c r="E22" i="2"/>
  <c r="D22" i="2"/>
  <c r="M22" i="2"/>
  <c r="D25" i="2"/>
  <c r="D18" i="3" s="1"/>
  <c r="E16" i="2"/>
  <c r="E17" i="3" s="1"/>
  <c r="D16" i="2"/>
  <c r="D17" i="3" s="1"/>
  <c r="H25" i="2"/>
  <c r="H18" i="3" s="1"/>
  <c r="F22" i="2"/>
  <c r="G25" i="2"/>
  <c r="G18" i="3" s="1"/>
  <c r="M19" i="2"/>
  <c r="F25" i="2"/>
  <c r="F18" i="3" s="1"/>
  <c r="E25" i="2"/>
  <c r="E18" i="3" s="1"/>
  <c r="I7" i="2"/>
  <c r="I5" i="3" s="1"/>
  <c r="M25" i="2"/>
  <c r="C12" i="2"/>
  <c r="C25" i="2"/>
  <c r="C18" i="3" s="1"/>
  <c r="C22" i="2"/>
  <c r="C16" i="2"/>
  <c r="C17" i="3" s="1"/>
  <c r="K12" i="2"/>
  <c r="K16" i="2"/>
  <c r="K17" i="3" s="1"/>
  <c r="J16" i="2"/>
  <c r="J17" i="3" s="1"/>
  <c r="M27" i="2"/>
  <c r="I16" i="2"/>
  <c r="I17" i="3" s="1"/>
  <c r="G10" i="2"/>
  <c r="F16" i="2"/>
  <c r="F17" i="3" s="1"/>
  <c r="E10" i="2"/>
  <c r="L16" i="2"/>
  <c r="L17" i="3" s="1"/>
  <c r="J12" i="2"/>
  <c r="I12" i="2"/>
  <c r="H16" i="2"/>
  <c r="H17" i="3" s="1"/>
  <c r="G16" i="2"/>
  <c r="G17" i="3" s="1"/>
  <c r="M12" i="2"/>
  <c r="M13" i="2" s="1"/>
  <c r="D12" i="2"/>
  <c r="F7" i="2"/>
  <c r="F5" i="3" s="1"/>
  <c r="C10" i="2"/>
  <c r="L10" i="2"/>
  <c r="K10" i="2"/>
  <c r="L12" i="2"/>
  <c r="H7" i="2"/>
  <c r="H5" i="3" s="1"/>
  <c r="G7" i="2"/>
  <c r="G5" i="3" s="1"/>
  <c r="H10" i="2"/>
  <c r="E12" i="2"/>
  <c r="F10" i="2"/>
  <c r="C24" i="12" l="1"/>
  <c r="C29" i="12" s="1"/>
  <c r="C28" i="12"/>
  <c r="F101" i="2"/>
  <c r="I64" i="2"/>
  <c r="I39" i="3" s="1"/>
  <c r="K36" i="3"/>
  <c r="E36" i="3"/>
  <c r="E101" i="2"/>
  <c r="J36" i="3"/>
  <c r="L36" i="3"/>
  <c r="L39" i="3"/>
  <c r="L66" i="2"/>
  <c r="I66" i="2"/>
  <c r="E16" i="5"/>
  <c r="G101" i="2"/>
  <c r="C36" i="3"/>
  <c r="C66" i="2"/>
  <c r="H64" i="2"/>
  <c r="D101" i="2"/>
  <c r="E66" i="2"/>
  <c r="H18" i="2"/>
  <c r="G66" i="2"/>
  <c r="G39" i="3"/>
  <c r="J66" i="2"/>
  <c r="D36" i="3"/>
  <c r="F66" i="2"/>
  <c r="E14" i="5"/>
  <c r="K66" i="2"/>
  <c r="F18" i="2"/>
  <c r="G18" i="2"/>
  <c r="K13" i="2"/>
  <c r="K11" i="3" s="1"/>
  <c r="K18" i="2"/>
  <c r="E13" i="2"/>
  <c r="E11" i="3" s="1"/>
  <c r="E18" i="2"/>
  <c r="I13" i="2"/>
  <c r="I11" i="3" s="1"/>
  <c r="I18" i="2"/>
  <c r="J13" i="2"/>
  <c r="J11" i="3" s="1"/>
  <c r="J18" i="2"/>
  <c r="C13" i="2"/>
  <c r="C11" i="3" s="1"/>
  <c r="C18" i="2"/>
  <c r="L13" i="2"/>
  <c r="L11" i="3" s="1"/>
  <c r="L18" i="2"/>
  <c r="M28" i="2"/>
  <c r="M31" i="2"/>
  <c r="M33" i="2"/>
  <c r="D13" i="2"/>
  <c r="D11" i="3" s="1"/>
  <c r="D18" i="2"/>
  <c r="C30" i="12" l="1"/>
  <c r="C34" i="12" s="1"/>
  <c r="C37" i="12" s="1"/>
  <c r="C40" i="12" s="1"/>
  <c r="J6" i="3"/>
  <c r="K25" i="3"/>
  <c r="K21" i="3"/>
  <c r="K13" i="3"/>
  <c r="K19" i="3" s="1"/>
  <c r="K6" i="3"/>
  <c r="L25" i="3"/>
  <c r="L13" i="3"/>
  <c r="L19" i="3" s="1"/>
  <c r="L21" i="3"/>
  <c r="L6" i="3"/>
  <c r="H39" i="3"/>
  <c r="H66" i="2"/>
  <c r="H19" i="2"/>
  <c r="H12" i="3" s="1"/>
  <c r="H25" i="3"/>
  <c r="H21" i="3"/>
  <c r="H13" i="3"/>
  <c r="H19" i="3" s="1"/>
  <c r="G6" i="3"/>
  <c r="H27" i="2"/>
  <c r="G27" i="2"/>
  <c r="F7" i="3" s="1"/>
  <c r="G13" i="3"/>
  <c r="G19" i="3" s="1"/>
  <c r="G21" i="3"/>
  <c r="G25" i="3"/>
  <c r="F6" i="3"/>
  <c r="C13" i="3"/>
  <c r="C19" i="3" s="1"/>
  <c r="C25" i="3"/>
  <c r="C21" i="3"/>
  <c r="F27" i="2"/>
  <c r="F13" i="3"/>
  <c r="F19" i="3" s="1"/>
  <c r="F21" i="3"/>
  <c r="F25" i="3"/>
  <c r="E6" i="3"/>
  <c r="J13" i="3"/>
  <c r="J19" i="3" s="1"/>
  <c r="J25" i="3"/>
  <c r="J21" i="3"/>
  <c r="I6" i="3"/>
  <c r="I25" i="3"/>
  <c r="I13" i="3"/>
  <c r="I19" i="3" s="1"/>
  <c r="I21" i="3"/>
  <c r="H6" i="3"/>
  <c r="D21" i="3"/>
  <c r="D13" i="3"/>
  <c r="D19" i="3" s="1"/>
  <c r="C6" i="3"/>
  <c r="D25" i="3"/>
  <c r="E21" i="3"/>
  <c r="E25" i="3"/>
  <c r="D6" i="3"/>
  <c r="E13" i="3"/>
  <c r="E19" i="3" s="1"/>
  <c r="M34" i="2"/>
  <c r="G19" i="2"/>
  <c r="G12" i="3" s="1"/>
  <c r="F19" i="2"/>
  <c r="F12" i="3" s="1"/>
  <c r="F31" i="2"/>
  <c r="F28" i="2"/>
  <c r="F14" i="3" s="1"/>
  <c r="F33" i="2"/>
  <c r="D19" i="2"/>
  <c r="D12" i="3" s="1"/>
  <c r="D27" i="2"/>
  <c r="C27" i="2"/>
  <c r="C19" i="2"/>
  <c r="C12" i="3" s="1"/>
  <c r="J27" i="2"/>
  <c r="J19" i="2"/>
  <c r="J12" i="3" s="1"/>
  <c r="I19" i="2"/>
  <c r="I12" i="3" s="1"/>
  <c r="I27" i="2"/>
  <c r="E19" i="2"/>
  <c r="E12" i="3" s="1"/>
  <c r="E27" i="2"/>
  <c r="L19" i="2"/>
  <c r="L12" i="3" s="1"/>
  <c r="L27" i="2"/>
  <c r="K19" i="2"/>
  <c r="K12" i="3" s="1"/>
  <c r="K27" i="2"/>
  <c r="C7" i="3" l="1"/>
  <c r="H7" i="3"/>
  <c r="G33" i="2"/>
  <c r="G31" i="2"/>
  <c r="K7" i="3"/>
  <c r="L7" i="3"/>
  <c r="D7" i="3"/>
  <c r="F23" i="3"/>
  <c r="F8" i="3"/>
  <c r="G23" i="3"/>
  <c r="G28" i="2"/>
  <c r="G14" i="3" s="1"/>
  <c r="H28" i="2"/>
  <c r="H14" i="3" s="1"/>
  <c r="G7" i="3"/>
  <c r="I7" i="3"/>
  <c r="J7" i="3"/>
  <c r="H33" i="2"/>
  <c r="E7" i="3"/>
  <c r="H31" i="2"/>
  <c r="G34" i="2"/>
  <c r="G15" i="3" s="1"/>
  <c r="G38" i="2"/>
  <c r="F38" i="2"/>
  <c r="F42" i="2" s="1"/>
  <c r="F44" i="2" s="1"/>
  <c r="F22" i="3" s="1"/>
  <c r="F24" i="3" s="1"/>
  <c r="F34" i="2"/>
  <c r="F15" i="3" s="1"/>
  <c r="I28" i="2"/>
  <c r="I14" i="3" s="1"/>
  <c r="I33" i="2"/>
  <c r="I31" i="2"/>
  <c r="K28" i="2"/>
  <c r="K14" i="3" s="1"/>
  <c r="K33" i="2"/>
  <c r="K31" i="2"/>
  <c r="J28" i="2"/>
  <c r="J14" i="3" s="1"/>
  <c r="J33" i="2"/>
  <c r="J31" i="2"/>
  <c r="C33" i="2"/>
  <c r="C31" i="2"/>
  <c r="C28" i="2"/>
  <c r="C14" i="3" s="1"/>
  <c r="E28" i="2"/>
  <c r="E14" i="3" s="1"/>
  <c r="E33" i="2"/>
  <c r="E31" i="2"/>
  <c r="D28" i="2"/>
  <c r="D14" i="3" s="1"/>
  <c r="D33" i="2"/>
  <c r="D31" i="2"/>
  <c r="L33" i="2"/>
  <c r="L28" i="2"/>
  <c r="L14" i="3" s="1"/>
  <c r="L31" i="2"/>
  <c r="C23" i="3" l="1"/>
  <c r="C38" i="2"/>
  <c r="D8" i="3"/>
  <c r="E23" i="3"/>
  <c r="H8" i="3"/>
  <c r="I23" i="3"/>
  <c r="J23" i="3"/>
  <c r="I8" i="3"/>
  <c r="E8" i="3"/>
  <c r="L23" i="3"/>
  <c r="K8" i="3"/>
  <c r="L8" i="3"/>
  <c r="D23" i="3"/>
  <c r="C8" i="3"/>
  <c r="K23" i="3"/>
  <c r="J8" i="3"/>
  <c r="G8" i="3"/>
  <c r="H23" i="3"/>
  <c r="H34" i="2"/>
  <c r="H15" i="3" s="1"/>
  <c r="H38" i="2"/>
  <c r="H42" i="2" s="1"/>
  <c r="H44" i="2" s="1"/>
  <c r="H22" i="3" s="1"/>
  <c r="H24" i="3" s="1"/>
  <c r="G39" i="2"/>
  <c r="G42" i="2"/>
  <c r="G44" i="2" s="1"/>
  <c r="G22" i="3" s="1"/>
  <c r="G24" i="3" s="1"/>
  <c r="C34" i="2"/>
  <c r="C15" i="3" s="1"/>
  <c r="C44" i="2"/>
  <c r="C22" i="3" s="1"/>
  <c r="J38" i="2"/>
  <c r="J34" i="2"/>
  <c r="J15" i="3" s="1"/>
  <c r="L38" i="2"/>
  <c r="L34" i="2"/>
  <c r="L15" i="3" s="1"/>
  <c r="D38" i="2"/>
  <c r="D39" i="2" s="1"/>
  <c r="D34" i="2"/>
  <c r="D15" i="3" s="1"/>
  <c r="K38" i="2"/>
  <c r="K34" i="2"/>
  <c r="K15" i="3" s="1"/>
  <c r="E34" i="2"/>
  <c r="E15" i="3" s="1"/>
  <c r="E38" i="2"/>
  <c r="I38" i="2"/>
  <c r="I34" i="2"/>
  <c r="I15" i="3" s="1"/>
  <c r="C24" i="3" l="1"/>
  <c r="H39" i="2"/>
  <c r="E39" i="2"/>
  <c r="E42" i="2"/>
  <c r="E44" i="2" s="1"/>
  <c r="E22" i="3" s="1"/>
  <c r="E24" i="3" s="1"/>
  <c r="F39" i="2"/>
  <c r="K39" i="2"/>
  <c r="K42" i="2"/>
  <c r="K44" i="2" s="1"/>
  <c r="K22" i="3" s="1"/>
  <c r="K24" i="3" s="1"/>
  <c r="D42" i="2"/>
  <c r="D44" i="2" s="1"/>
  <c r="D22" i="3" s="1"/>
  <c r="D24" i="3" s="1"/>
  <c r="L42" i="2"/>
  <c r="L44" i="2" s="1"/>
  <c r="L22" i="3" s="1"/>
  <c r="L24" i="3" s="1"/>
  <c r="L39" i="2"/>
  <c r="J39" i="2"/>
  <c r="J42" i="2"/>
  <c r="J44" i="2" s="1"/>
  <c r="J22" i="3" s="1"/>
  <c r="J24" i="3" s="1"/>
  <c r="I39" i="2"/>
  <c r="I42" i="2"/>
  <c r="I44" i="2" s="1"/>
  <c r="I22" i="3" s="1"/>
  <c r="I24" i="3" s="1"/>
  <c r="O25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<sst xmlns="http://schemas.openxmlformats.org/spreadsheetml/2006/main" count="631" uniqueCount="403">
  <si>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</si>
  <si>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</si>
  <si>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</si>
  <si>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</si>
  <si>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</si>
  <si>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</si>
  <si>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</si>
  <si>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</si>
  <si>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</si>
  <si>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</si>
  <si>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</si>
  <si>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</si>
  <si>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</si>
  <si>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</si>
  <si>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</si>
  <si>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</si>
  <si>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</si>
  <si>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</si>
  <si>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</si>
  <si>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</si>
  <si>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</si>
  <si>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</si>
  <si>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</si>
  <si>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</si>
  <si>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</si>
  <si>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</si>
  <si>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</si>
  <si>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</si>
  <si>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</si>
  <si>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</si>
  <si>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</si>
  <si>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</si>
  <si>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</si>
  <si>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</si>
  <si>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</si>
  <si>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</si>
  <si>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</si>
  <si>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</si>
  <si>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</si>
  <si>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</si>
  <si>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</si>
  <si>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</si>
  <si>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</si>
  <si>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Number of shares</t>
  </si>
  <si>
    <t>Face Value</t>
  </si>
  <si>
    <t>Current Price</t>
  </si>
  <si>
    <t>Market Capitalization</t>
  </si>
  <si>
    <t>Nestle India Ltd</t>
  </si>
  <si>
    <t>Years</t>
  </si>
  <si>
    <t>LTM</t>
  </si>
  <si>
    <t>#</t>
  </si>
  <si>
    <t>Income Statement</t>
  </si>
  <si>
    <t>Sales Growth</t>
  </si>
  <si>
    <t>COGS</t>
  </si>
  <si>
    <t xml:space="preserve">COGS % Sales </t>
  </si>
  <si>
    <t xml:space="preserve">Gross Profit </t>
  </si>
  <si>
    <t>Gross Margin</t>
  </si>
  <si>
    <t>S&amp;G Exp</t>
  </si>
  <si>
    <t xml:space="preserve"> S&amp;G Exp % Sales</t>
  </si>
  <si>
    <t xml:space="preserve">EBITDA </t>
  </si>
  <si>
    <t>EBITDA</t>
  </si>
  <si>
    <t>Ebitda Margins</t>
  </si>
  <si>
    <t>Interest % Sales</t>
  </si>
  <si>
    <t>Dep % Sales</t>
  </si>
  <si>
    <t>Earnings Before Tax</t>
  </si>
  <si>
    <t>EBT % Sales</t>
  </si>
  <si>
    <t>Effective Tax Rate</t>
  </si>
  <si>
    <t>Net Profit</t>
  </si>
  <si>
    <t>Net Margins</t>
  </si>
  <si>
    <t>No of Equity Shares</t>
  </si>
  <si>
    <t>EPS Growth %</t>
  </si>
  <si>
    <t>Earnings Per Share</t>
  </si>
  <si>
    <t>Dividend Per Share</t>
  </si>
  <si>
    <t>Dividend Payout Ratio</t>
  </si>
  <si>
    <t>Retained Earnings</t>
  </si>
  <si>
    <t>Balance Sheet</t>
  </si>
  <si>
    <t>Fixed Asset Net Block</t>
  </si>
  <si>
    <t>Total Non Current Assets</t>
  </si>
  <si>
    <t>Total Current Assets</t>
  </si>
  <si>
    <t>Total Assets</t>
  </si>
  <si>
    <t>Total Liabilities</t>
  </si>
  <si>
    <t>CHECK</t>
  </si>
  <si>
    <t>Cash Flow</t>
  </si>
  <si>
    <t>Cash from Operating Activity -</t>
  </si>
  <si>
    <t>Profit from operations</t>
  </si>
  <si>
    <t>Payables</t>
  </si>
  <si>
    <t>Loans Advances</t>
  </si>
  <si>
    <t>Operating borrowings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</si>
  <si>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</si>
  <si>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</si>
  <si>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</si>
  <si>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</si>
  <si>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</si>
  <si>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</si>
  <si>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</si>
  <si>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</si>
  <si>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</si>
  <si>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</si>
  <si>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</si>
  <si>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 -</t>
  </si>
  <si>
    <t>Proceeds from borrowings</t>
  </si>
  <si>
    <t>Repayment of borrowings</t>
  </si>
  <si>
    <t>Investment subsidy</t>
  </si>
  <si>
    <t>Interest paid fin</t>
  </si>
  <si>
    <t>Dividends paid</t>
  </si>
  <si>
    <t>Financial liabilities</t>
  </si>
  <si>
    <t>Other financing items</t>
  </si>
  <si>
    <t>Cash from Operating Activities</t>
  </si>
  <si>
    <t>Cash from Investing Activities</t>
  </si>
  <si>
    <t>Operating Activity -</t>
  </si>
  <si>
    <t>Investing Activity -</t>
  </si>
  <si>
    <t>Financing Activity -</t>
  </si>
  <si>
    <t>Cash from Financing Activities</t>
  </si>
  <si>
    <t>EBITDA Growth</t>
  </si>
  <si>
    <t>EBIT Growth</t>
  </si>
  <si>
    <t>Net Profit Growth</t>
  </si>
  <si>
    <t>Dividend Growth</t>
  </si>
  <si>
    <t xml:space="preserve">Gross Margin </t>
  </si>
  <si>
    <t>EBITDA Margin</t>
  </si>
  <si>
    <t>EBIT Margin</t>
  </si>
  <si>
    <t>EBT Margin</t>
  </si>
  <si>
    <t>Net Profit Margin</t>
  </si>
  <si>
    <t>Sales Expenses % Sales</t>
  </si>
  <si>
    <t>Operating Income % Sales</t>
  </si>
  <si>
    <t>Return on Capital Employed</t>
  </si>
  <si>
    <t>Retained Earnings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</si>
  <si>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</si>
  <si>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</si>
  <si>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</si>
  <si>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</si>
  <si>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</si>
  <si>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</si>
  <si>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</si>
  <si>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</si>
  <si>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</si>
  <si>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</si>
  <si>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</si>
  <si>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 / Sales</t>
  </si>
  <si>
    <t>CFO / Total Assets</t>
  </si>
  <si>
    <t>CFO / Total Debt</t>
  </si>
  <si>
    <t>Return on Equity %</t>
  </si>
  <si>
    <t>-</t>
  </si>
  <si>
    <t>.</t>
  </si>
  <si>
    <t>Year Weight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</si>
  <si>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</si>
  <si>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</si>
  <si>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</si>
  <si>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</si>
  <si>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</si>
  <si>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</si>
  <si>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</si>
  <si>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</si>
  <si>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</si>
  <si>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</si>
  <si>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</si>
  <si>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</si>
  <si>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</si>
  <si>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</si>
  <si>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</si>
  <si>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</si>
  <si>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</si>
  <si>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</si>
  <si>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</si>
  <si>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</si>
  <si>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</si>
  <si>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</si>
  <si>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</si>
  <si>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Weighted Average Cost Of Capital</t>
  </si>
  <si>
    <t>All Figures are in INR unless stated otherwise</t>
  </si>
  <si>
    <t>Name of the Company</t>
  </si>
  <si>
    <t>Country</t>
  </si>
  <si>
    <t>Total Debt</t>
  </si>
  <si>
    <t>Total Equity</t>
  </si>
  <si>
    <t>Tax Rate</t>
  </si>
  <si>
    <t>Debt/Equity</t>
  </si>
  <si>
    <t>Debt/Capital</t>
  </si>
  <si>
    <t>Average</t>
  </si>
  <si>
    <t>Median</t>
  </si>
  <si>
    <t>Cost Of Debt</t>
  </si>
  <si>
    <t>Tax rate</t>
  </si>
  <si>
    <t>Post-Tax Cost Of Debt</t>
  </si>
  <si>
    <t>Cost Of Equity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</si>
  <si>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</si>
  <si>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</si>
  <si>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>Levered Beta</t>
  </si>
  <si>
    <t>Comps Median Unlevered Beta</t>
  </si>
  <si>
    <t>Target Debt/Equity</t>
  </si>
  <si>
    <t xml:space="preserve">Levered Beta </t>
  </si>
  <si>
    <t>Pre-Tax Cost Of Debt</t>
  </si>
  <si>
    <r>
      <t xml:space="preserve">Tax Rate </t>
    </r>
    <r>
      <rPr>
        <b/>
        <vertAlign val="superscript"/>
        <sz val="11"/>
        <color theme="0"/>
        <rFont val="Calibri"/>
        <family val="2"/>
      </rPr>
      <t>1</t>
    </r>
  </si>
  <si>
    <r>
      <t xml:space="preserve">Leveraged Beta </t>
    </r>
    <r>
      <rPr>
        <b/>
        <vertAlign val="superscript"/>
        <sz val="11"/>
        <color theme="0"/>
        <rFont val="Calibri"/>
        <family val="2"/>
      </rPr>
      <t>2</t>
    </r>
  </si>
  <si>
    <r>
      <t xml:space="preserve">Unleveraged Beta </t>
    </r>
    <r>
      <rPr>
        <b/>
        <vertAlign val="superscript"/>
        <sz val="11"/>
        <color theme="0"/>
        <rFont val="Calibri"/>
        <family val="2"/>
      </rPr>
      <t>3</t>
    </r>
  </si>
  <si>
    <t>peer comps</t>
  </si>
  <si>
    <t>India</t>
  </si>
  <si>
    <t>Britannia Industries Ltd</t>
  </si>
  <si>
    <t>Hindustan Unilever Ltd</t>
  </si>
  <si>
    <t>ITC Ltd</t>
  </si>
  <si>
    <t>Godrej Consumer Ltd</t>
  </si>
  <si>
    <t>Marico Ltd</t>
  </si>
  <si>
    <t>Cost of Equity</t>
  </si>
  <si>
    <t>Current</t>
  </si>
  <si>
    <t>Target</t>
  </si>
  <si>
    <t>Notes</t>
  </si>
  <si>
    <t>1. Tax Rate Considered as Marginal Tax Rate for the country</t>
  </si>
  <si>
    <t>2. Levered Beta is based on 5 year monthly Data</t>
  </si>
  <si>
    <t>3. Unlevered Beta = Levered Beta/(1+(1-Tax Rate)*Debt/Equity)</t>
  </si>
  <si>
    <t>4. Levered Beta = Unlevered Beta*(1+(1-Tax Rate)*Debt/Equity)</t>
  </si>
  <si>
    <t>QUARTERS</t>
  </si>
  <si>
    <t>Date</t>
  </si>
  <si>
    <t>Price</t>
  </si>
  <si>
    <t>Feb 02, 2025</t>
  </si>
  <si>
    <t>Jan 26, 2025</t>
  </si>
  <si>
    <t>Jan 19, 2025</t>
  </si>
  <si>
    <t>Jan 12, 2025</t>
  </si>
  <si>
    <t>Jan 05, 2025</t>
  </si>
  <si>
    <t>Dec 29, 2024</t>
  </si>
  <si>
    <t>Dec 22, 2024</t>
  </si>
  <si>
    <t>Dec 15, 2024</t>
  </si>
  <si>
    <t>Dec 08, 2024</t>
  </si>
  <si>
    <t>Dec 01, 2024</t>
  </si>
  <si>
    <t>Nov 24, 2024</t>
  </si>
  <si>
    <t>Nov 17, 2024</t>
  </si>
  <si>
    <t>Nov 10, 2024</t>
  </si>
  <si>
    <t>Nov 03, 2024</t>
  </si>
  <si>
    <t>Oct 27, 2024</t>
  </si>
  <si>
    <t>Oct 20, 2024</t>
  </si>
  <si>
    <t>Oct 13, 2024</t>
  </si>
  <si>
    <t>Oct 06, 2024</t>
  </si>
  <si>
    <t>Sep 29, 2024</t>
  </si>
  <si>
    <t>Sep 22, 2024</t>
  </si>
  <si>
    <t>Sep 15, 2024</t>
  </si>
  <si>
    <t>Sep 08, 2024</t>
  </si>
  <si>
    <t>Sep 01, 2024</t>
  </si>
  <si>
    <t>Aug 25, 2024</t>
  </si>
  <si>
    <t>Aug 18, 2024</t>
  </si>
  <si>
    <t>Aug 11, 2024</t>
  </si>
  <si>
    <t>Aug 04, 2024</t>
  </si>
  <si>
    <t>Jul 28, 2024</t>
  </si>
  <si>
    <t>Jul 21, 2024</t>
  </si>
  <si>
    <t>Jul 14, 2024</t>
  </si>
  <si>
    <t>Jul 07, 2024</t>
  </si>
  <si>
    <t>Jun 30, 2024</t>
  </si>
  <si>
    <t>Jun 23, 2024</t>
  </si>
  <si>
    <t>Jun 16, 2024</t>
  </si>
  <si>
    <t>Jun 09, 2024</t>
  </si>
  <si>
    <t>Jun 02, 2024</t>
  </si>
  <si>
    <t>May 26, 2024</t>
  </si>
  <si>
    <t>May 19, 2024</t>
  </si>
  <si>
    <t>May 12, 2024</t>
  </si>
  <si>
    <t>May 05, 2024</t>
  </si>
  <si>
    <t>Apr 28, 2024</t>
  </si>
  <si>
    <t>Apr 21, 2024</t>
  </si>
  <si>
    <t>Apr 14, 2024</t>
  </si>
  <si>
    <t>Apr 07, 2024</t>
  </si>
  <si>
    <t>Mar 31, 2024</t>
  </si>
  <si>
    <t>Mar 24, 2024</t>
  </si>
  <si>
    <t>Mar 17, 2024</t>
  </si>
  <si>
    <t>Mar 10, 2024</t>
  </si>
  <si>
    <t>Mar 03, 2024</t>
  </si>
  <si>
    <t>Feb 25, 2024</t>
  </si>
  <si>
    <t>Feb 18, 2024</t>
  </si>
  <si>
    <t>Feb 11, 2024</t>
  </si>
  <si>
    <t>Feb 04, 2024</t>
  </si>
  <si>
    <t>Jan 26,2025</t>
  </si>
  <si>
    <t>Feb 02,2025</t>
  </si>
  <si>
    <t>Nestle India Weekly Returns</t>
  </si>
  <si>
    <t>Return</t>
  </si>
  <si>
    <t>Nifty Weekly Returns</t>
  </si>
  <si>
    <t>X Variable 1</t>
  </si>
  <si>
    <t>Beta</t>
  </si>
  <si>
    <t>Beta Drifting</t>
  </si>
  <si>
    <t>Levered Raw Beta</t>
  </si>
  <si>
    <t>Raw Beta Weight</t>
  </si>
  <si>
    <t>Market Beta Weight</t>
  </si>
  <si>
    <t>Market Beta</t>
  </si>
  <si>
    <t>Adjusted Beta</t>
  </si>
  <si>
    <t>Total Capitalization</t>
  </si>
  <si>
    <t>Equity Risk Premium (rm)</t>
  </si>
  <si>
    <t>Risk Free Rate (rf)</t>
  </si>
  <si>
    <t>Year</t>
  </si>
  <si>
    <t>Annual</t>
  </si>
  <si>
    <t>Return on Markets</t>
  </si>
  <si>
    <t>Average Return</t>
  </si>
  <si>
    <t>Dividend Yield</t>
  </si>
  <si>
    <t>Total Market Return</t>
  </si>
  <si>
    <r>
      <t xml:space="preserve">1.27 </t>
    </r>
    <r>
      <rPr>
        <vertAlign val="superscript"/>
        <sz val="11"/>
        <color theme="1"/>
        <rFont val="Calibri"/>
        <family val="2"/>
        <scheme val="minor"/>
      </rPr>
      <t>1</t>
    </r>
  </si>
  <si>
    <t>Particulars</t>
  </si>
  <si>
    <t>Equity Capital</t>
  </si>
  <si>
    <t>Borrowings -</t>
  </si>
  <si>
    <t>Long term Borrowings</t>
  </si>
  <si>
    <t>Short term Borrowings</t>
  </si>
  <si>
    <t>Lease Liabilities</t>
  </si>
  <si>
    <t>Other Liabilities -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</si>
  <si>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</si>
  <si>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</si>
  <si>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</si>
  <si>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</si>
  <si>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</si>
  <si>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</si>
  <si>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</si>
  <si>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</si>
  <si>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</si>
  <si>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</si>
  <si>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Railway sidings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</si>
  <si>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</si>
  <si>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</si>
  <si>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</si>
  <si>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</si>
  <si>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</si>
  <si>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</si>
  <si>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</si>
  <si>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</si>
  <si>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</si>
  <si>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</si>
  <si>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Loans n Advances</t>
  </si>
  <si>
    <t>Other asset items</t>
  </si>
  <si>
    <t>Current Asset</t>
  </si>
  <si>
    <t>Current Liabilities</t>
  </si>
  <si>
    <t>Calculation Of ROIC</t>
  </si>
  <si>
    <t>Net Working Capital</t>
  </si>
  <si>
    <t>Non Current Assets</t>
  </si>
  <si>
    <t>Net Non Current Asset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</si>
  <si>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</si>
  <si>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</si>
  <si>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</si>
  <si>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</si>
  <si>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</si>
  <si>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</si>
  <si>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</si>
  <si>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 (1-T)</t>
  </si>
  <si>
    <t xml:space="preserve">Reinvestment </t>
  </si>
  <si>
    <t>Reinvestment Rate</t>
  </si>
  <si>
    <t>4 Year Median</t>
  </si>
  <si>
    <t>4 Year Average</t>
  </si>
  <si>
    <t>Calculation Of Growth Rate</t>
  </si>
  <si>
    <t>Intrinsic Growth</t>
  </si>
  <si>
    <t xml:space="preserve">Calculation of PV of FCFF </t>
  </si>
  <si>
    <t>EBIT(1-T)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</si>
  <si>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</si>
  <si>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</si>
  <si>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</si>
  <si>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</si>
  <si>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</si>
  <si>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</si>
  <si>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</si>
  <si>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</si>
  <si>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</si>
  <si>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FCFF (n+1)</t>
  </si>
  <si>
    <t>Terminal Growth Rate</t>
  </si>
  <si>
    <t>Terminal Value</t>
  </si>
  <si>
    <t>PV of Terminal Value</t>
  </si>
  <si>
    <t>Enterprise Value</t>
  </si>
  <si>
    <t>Add: Cash</t>
  </si>
  <si>
    <t>Less: Debt</t>
  </si>
  <si>
    <t>Value of Equity</t>
  </si>
  <si>
    <t>No of Shares</t>
  </si>
  <si>
    <t>Equity Value Per Share</t>
  </si>
  <si>
    <t>Share Price</t>
  </si>
  <si>
    <t>Discount/Premium</t>
  </si>
  <si>
    <t>Comparable Company Valuation</t>
  </si>
  <si>
    <t>Market Data</t>
  </si>
  <si>
    <t>Shares Outstanding</t>
  </si>
  <si>
    <t>Equity Value</t>
  </si>
  <si>
    <t>Net Debt</t>
  </si>
  <si>
    <t>Financials</t>
  </si>
  <si>
    <t>Revenue</t>
  </si>
  <si>
    <t>Net Income</t>
  </si>
  <si>
    <t>Valuation</t>
  </si>
  <si>
    <t>EV/Revenue</t>
  </si>
  <si>
    <t>EV/EBITDA</t>
  </si>
  <si>
    <t>P/E</t>
  </si>
  <si>
    <t>S.No.</t>
  </si>
  <si>
    <t>Name</t>
  </si>
  <si>
    <t>CMP Rs.</t>
  </si>
  <si>
    <t>No. Eq. Shares Cr.</t>
  </si>
  <si>
    <t>Debt Rs.Cr.</t>
  </si>
  <si>
    <t>Cash End Rs.Cr.</t>
  </si>
  <si>
    <t>EV Rs.Cr.</t>
  </si>
  <si>
    <t>Sales Rs.Cr.</t>
  </si>
  <si>
    <t>NP 12M Rs.Cr.</t>
  </si>
  <si>
    <t>Mar Cap Rs.Cr. </t>
  </si>
  <si>
    <t>Nestle India</t>
  </si>
  <si>
    <t>Britannia Inds.</t>
  </si>
  <si>
    <t>Swojas Foods</t>
  </si>
  <si>
    <t>Company</t>
  </si>
  <si>
    <t>Ticker</t>
  </si>
  <si>
    <t>High</t>
  </si>
  <si>
    <r>
      <t xml:space="preserve">75 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Percentile</t>
    </r>
  </si>
  <si>
    <r>
      <t xml:space="preserve">25 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Percentile</t>
    </r>
  </si>
  <si>
    <t>Low</t>
  </si>
  <si>
    <t>Britannia Inds Comparable Valuation</t>
  </si>
  <si>
    <t>Implied Enterprise Value</t>
  </si>
  <si>
    <t xml:space="preserve">Net Debt </t>
  </si>
  <si>
    <t>Implied Value Per Share</t>
  </si>
  <si>
    <t>EV/Ebitda</t>
  </si>
  <si>
    <t>Implied Market value</t>
  </si>
  <si>
    <t>Implied Market Value of P/E</t>
  </si>
  <si>
    <t>Implied Enterprise Value of P/E</t>
  </si>
  <si>
    <t>Nifty Return</t>
  </si>
  <si>
    <t>Equity Weight</t>
  </si>
  <si>
    <t>Cost of Debt</t>
  </si>
  <si>
    <t>Debt Weight</t>
  </si>
  <si>
    <t>Calculation of Enterprise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</si>
</sst>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"/>
    <numFmt numFmtId="167" formatCode="&quot;₹&quot;\ #,##0.00"/>
    <numFmt numFmtId="168" formatCode="#,##0.0;\(#,##0.0\);\-"/>
    <numFmt numFmtId="169" formatCode="0.00&quot;x&quot;"/>
    <numFmt numFmtId="170" formatCode="0&quot;x&quot;"/>
    <numFmt numFmtId="171" formatCode="0&quot; Days&quot;"/>
    <numFmt numFmtId="172" formatCode="0.0"/>
    <numFmt numFmtId="173" formatCode="#,##0.000"/>
    <numFmt numFmtId="174" formatCode="&quot;₹&quot;\ #,##0.00;&quot;₹&quot;\ \(#,##0.00\);\-"/>
    <numFmt numFmtId="175" formatCode="0.000"/>
    <numFmt numFmtId="176" formatCode="#,##0.00;\(#,##0.00\);\-"/>
    <numFmt numFmtId="177" formatCode="\ #,##0.0\ &quot;x&quot;"/>
  </numFmts>
  <fonts count="3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 tint="0.499984740745262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vertAlign val="superscript"/>
      <sz val="11"/>
      <color theme="0"/>
      <name val="Calibri"/>
      <family val="2"/>
    </font>
    <font>
      <u/>
      <sz val="11"/>
      <color theme="10"/>
      <name val="Calibri"/>
      <family val="2"/>
    </font>
    <font>
      <sz val="11"/>
      <color rgb="FF002060"/>
      <name val="Calibri"/>
      <family val="2"/>
    </font>
    <font>
      <u/>
      <sz val="11"/>
      <color rgb="FF002060"/>
      <name val="Calibri"/>
      <family val="2"/>
    </font>
    <font>
      <sz val="11"/>
      <color rgb="FF002060"/>
      <name val="Arial"/>
      <family val="2"/>
    </font>
    <font>
      <sz val="11"/>
      <color rgb="FF002060"/>
      <name val="Arial"/>
      <family val="2"/>
    </font>
    <font>
      <b/>
      <i/>
      <sz val="11"/>
      <color theme="1"/>
      <name val="Calibri"/>
      <family val="2"/>
    </font>
    <font>
      <sz val="11"/>
      <name val="Calibri"/>
      <family val="2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2"/>
      <color theme="1"/>
      <name val="Calibri"/>
      <family val="2"/>
    </font>
    <font>
      <b/>
      <sz val="12"/>
      <color rgb="FF232526"/>
      <name val="Segoe UI"/>
      <family val="2"/>
    </font>
    <font>
      <vertAlign val="superscript"/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Calibri"/>
      <family val="2"/>
      <scheme val="minor"/>
    </font>
    <font>
      <b/>
      <sz val="11"/>
      <color theme="0"/>
      <name val="Arial"/>
      <family val="2"/>
    </font>
    <font>
      <sz val="11"/>
      <color rgb="FF22222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9" fontId="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30">
    <xf numFmtId="0" fontId="0" fillId="0" borderId="0" xfId="0"/>
    <xf numFmtId="0" fontId="4" fillId="0" borderId="0" xfId="3"/>
    <xf numFmtId="43" fontId="5" fillId="0" borderId="0" xfId="4" applyFont="1" applyBorder="1"/>
    <xf numFmtId="43" fontId="4" fillId="0" borderId="0" xfId="4" applyFont="1" applyBorder="1"/>
    <xf numFmtId="164" fontId="6" fillId="5" borderId="0" xfId="3" applyNumberFormat="1" applyFont="1" applyFill="1" applyAlignment="1">
      <alignment horizontal="center"/>
    </xf>
    <xf numFmtId="164" fontId="6" fillId="5" borderId="0" xfId="4" applyNumberFormat="1" applyFont="1" applyFill="1" applyBorder="1"/>
    <xf numFmtId="43" fontId="5" fillId="0" borderId="0" xfId="1" applyFont="1" applyBorder="1"/>
    <xf numFmtId="43" fontId="0" fillId="0" borderId="0" xfId="1" applyFont="1" applyBorder="1"/>
    <xf numFmtId="164" fontId="6" fillId="5" borderId="0" xfId="1" applyNumberFormat="1" applyFont="1" applyFill="1" applyBorder="1"/>
    <xf numFmtId="164" fontId="6" fillId="5" borderId="0" xfId="0" applyNumberFormat="1" applyFont="1" applyFill="1" applyAlignment="1">
      <alignment horizontal="center"/>
    </xf>
    <xf numFmtId="43" fontId="4" fillId="0" borderId="0" xfId="1" applyFont="1" applyBorder="1"/>
    <xf numFmtId="165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0" fontId="2" fillId="6" borderId="0" xfId="0" applyFont="1" applyFill="1" applyAlignment="1">
      <alignment horizontal="right"/>
    </xf>
    <xf numFmtId="166" fontId="0" fillId="0" borderId="0" xfId="0" applyNumberFormat="1"/>
    <xf numFmtId="0" fontId="8" fillId="0" borderId="0" xfId="0" applyFont="1"/>
    <xf numFmtId="10" fontId="8" fillId="0" borderId="0" xfId="2" applyNumberFormat="1" applyFont="1"/>
    <xf numFmtId="43" fontId="0" fillId="0" borderId="0" xfId="0" applyNumberFormat="1"/>
    <xf numFmtId="0" fontId="3" fillId="7" borderId="0" xfId="0" applyFont="1" applyFill="1"/>
    <xf numFmtId="0" fontId="0" fillId="7" borderId="0" xfId="0" applyFill="1"/>
    <xf numFmtId="167" fontId="0" fillId="0" borderId="0" xfId="0" applyNumberFormat="1"/>
    <xf numFmtId="10" fontId="0" fillId="0" borderId="0" xfId="2" applyNumberFormat="1" applyFont="1"/>
    <xf numFmtId="43" fontId="3" fillId="0" borderId="0" xfId="1" applyFont="1" applyFill="1" applyBorder="1"/>
    <xf numFmtId="0" fontId="3" fillId="0" borderId="0" xfId="0" applyFont="1"/>
    <xf numFmtId="17" fontId="0" fillId="0" borderId="0" xfId="0" applyNumberFormat="1"/>
    <xf numFmtId="3" fontId="0" fillId="0" borderId="0" xfId="0" applyNumberFormat="1"/>
    <xf numFmtId="168" fontId="0" fillId="0" borderId="0" xfId="0" applyNumberFormat="1"/>
    <xf numFmtId="167" fontId="3" fillId="0" borderId="0" xfId="0" applyNumberFormat="1" applyFont="1"/>
    <xf numFmtId="168" fontId="3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69" fontId="0" fillId="0" borderId="0" xfId="2" applyNumberFormat="1" applyFon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10" fillId="0" borderId="0" xfId="0" applyFont="1"/>
    <xf numFmtId="0" fontId="0" fillId="0" borderId="1" xfId="0" applyBorder="1"/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Continuous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12" fillId="0" borderId="0" xfId="0" applyFont="1"/>
    <xf numFmtId="0" fontId="0" fillId="0" borderId="3" xfId="0" applyBorder="1"/>
    <xf numFmtId="0" fontId="3" fillId="0" borderId="3" xfId="0" applyFont="1" applyBorder="1"/>
    <xf numFmtId="0" fontId="3" fillId="0" borderId="0" xfId="0" applyFont="1" applyAlignment="1">
      <alignment horizontal="center"/>
    </xf>
    <xf numFmtId="0" fontId="16" fillId="9" borderId="0" xfId="0" applyFont="1" applyFill="1"/>
    <xf numFmtId="0" fontId="17" fillId="9" borderId="0" xfId="9" applyFont="1" applyFill="1" applyAlignment="1">
      <alignment horizontal="left" vertical="center"/>
    </xf>
    <xf numFmtId="2" fontId="0" fillId="0" borderId="0" xfId="0" applyNumberFormat="1"/>
    <xf numFmtId="172" fontId="0" fillId="0" borderId="0" xfId="0" applyNumberFormat="1"/>
    <xf numFmtId="9" fontId="18" fillId="8" borderId="0" xfId="0" applyNumberFormat="1" applyFont="1" applyFill="1" applyAlignment="1">
      <alignment horizontal="right" vertical="center" wrapText="1"/>
    </xf>
    <xf numFmtId="0" fontId="3" fillId="0" borderId="4" xfId="0" applyFont="1" applyBorder="1"/>
    <xf numFmtId="9" fontId="0" fillId="0" borderId="4" xfId="0" applyNumberFormat="1" applyBorder="1"/>
    <xf numFmtId="10" fontId="0" fillId="0" borderId="4" xfId="2" applyNumberFormat="1" applyFont="1" applyBorder="1"/>
    <xf numFmtId="2" fontId="0" fillId="0" borderId="4" xfId="0" applyNumberFormat="1" applyBorder="1"/>
    <xf numFmtId="9" fontId="0" fillId="0" borderId="3" xfId="0" applyNumberFormat="1" applyBorder="1"/>
    <xf numFmtId="10" fontId="0" fillId="0" borderId="3" xfId="2" applyNumberFormat="1" applyFont="1" applyBorder="1"/>
    <xf numFmtId="2" fontId="0" fillId="0" borderId="3" xfId="0" applyNumberFormat="1" applyBorder="1"/>
    <xf numFmtId="0" fontId="16" fillId="0" borderId="0" xfId="0" applyFont="1"/>
    <xf numFmtId="0" fontId="3" fillId="0" borderId="3" xfId="0" applyFont="1" applyBorder="1" applyAlignment="1">
      <alignment horizontal="center"/>
    </xf>
    <xf numFmtId="0" fontId="0" fillId="0" borderId="4" xfId="0" applyBorder="1"/>
    <xf numFmtId="10" fontId="0" fillId="0" borderId="3" xfId="0" applyNumberFormat="1" applyBorder="1"/>
    <xf numFmtId="10" fontId="0" fillId="10" borderId="0" xfId="0" applyNumberFormat="1" applyFill="1"/>
    <xf numFmtId="10" fontId="0" fillId="10" borderId="4" xfId="2" applyNumberFormat="1" applyFont="1" applyFill="1" applyBorder="1"/>
    <xf numFmtId="10" fontId="0" fillId="10" borderId="0" xfId="2" applyNumberFormat="1" applyFont="1" applyFill="1"/>
    <xf numFmtId="0" fontId="20" fillId="0" borderId="0" xfId="0" applyFont="1"/>
    <xf numFmtId="172" fontId="18" fillId="8" borderId="0" xfId="0" applyNumberFormat="1" applyFont="1" applyFill="1" applyAlignment="1">
      <alignment horizontal="right" vertical="center" wrapText="1"/>
    </xf>
    <xf numFmtId="172" fontId="19" fillId="8" borderId="0" xfId="0" applyNumberFormat="1" applyFont="1" applyFill="1" applyAlignment="1">
      <alignment horizontal="right" vertical="center" wrapText="1"/>
    </xf>
    <xf numFmtId="172" fontId="16" fillId="0" borderId="0" xfId="0" applyNumberFormat="1" applyFont="1" applyAlignment="1">
      <alignment horizontal="center"/>
    </xf>
    <xf numFmtId="172" fontId="16" fillId="0" borderId="3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0" fontId="22" fillId="8" borderId="0" xfId="0" applyFont="1" applyFill="1" applyAlignment="1">
      <alignment horizontal="left" vertical="center"/>
    </xf>
    <xf numFmtId="4" fontId="23" fillId="8" borderId="0" xfId="0" applyNumberFormat="1" applyFont="1" applyFill="1" applyAlignment="1">
      <alignment horizontal="right" vertical="center" wrapText="1" readingOrder="1"/>
    </xf>
    <xf numFmtId="14" fontId="22" fillId="8" borderId="0" xfId="0" applyNumberFormat="1" applyFont="1" applyFill="1" applyAlignment="1">
      <alignment horizontal="left" vertical="center"/>
    </xf>
    <xf numFmtId="9" fontId="0" fillId="0" borderId="0" xfId="2" applyFont="1"/>
    <xf numFmtId="0" fontId="25" fillId="8" borderId="0" xfId="0" applyFont="1" applyFill="1" applyAlignment="1">
      <alignment horizontal="center" wrapText="1"/>
    </xf>
    <xf numFmtId="0" fontId="0" fillId="10" borderId="0" xfId="0" applyFill="1"/>
    <xf numFmtId="2" fontId="0" fillId="10" borderId="0" xfId="0" applyNumberFormat="1" applyFill="1"/>
    <xf numFmtId="173" fontId="16" fillId="0" borderId="0" xfId="0" applyNumberFormat="1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43" fontId="5" fillId="0" borderId="0" xfId="4" applyFont="1" applyFill="1" applyBorder="1"/>
    <xf numFmtId="17" fontId="27" fillId="8" borderId="0" xfId="0" applyNumberFormat="1" applyFont="1" applyFill="1" applyAlignment="1">
      <alignment horizontal="right" vertical="center" wrapText="1"/>
    </xf>
    <xf numFmtId="17" fontId="28" fillId="8" borderId="0" xfId="0" applyNumberFormat="1" applyFont="1" applyFill="1" applyAlignment="1">
      <alignment horizontal="right" vertical="center" wrapText="1"/>
    </xf>
    <xf numFmtId="0" fontId="28" fillId="8" borderId="0" xfId="0" applyFont="1" applyFill="1" applyAlignment="1">
      <alignment horizontal="right" vertical="center" wrapText="1"/>
    </xf>
    <xf numFmtId="17" fontId="29" fillId="6" borderId="0" xfId="0" applyNumberFormat="1" applyFont="1" applyFill="1" applyAlignment="1">
      <alignment horizontal="right" vertical="center" wrapText="1"/>
    </xf>
    <xf numFmtId="10" fontId="3" fillId="0" borderId="0" xfId="2" applyNumberFormat="1" applyFont="1"/>
    <xf numFmtId="174" fontId="0" fillId="0" borderId="0" xfId="0" applyNumberFormat="1"/>
    <xf numFmtId="174" fontId="3" fillId="0" borderId="0" xfId="0" applyNumberFormat="1" applyFont="1"/>
    <xf numFmtId="0" fontId="30" fillId="8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right" vertical="center" wrapText="1"/>
    </xf>
    <xf numFmtId="3" fontId="30" fillId="8" borderId="0" xfId="0" applyNumberFormat="1" applyFont="1" applyFill="1" applyAlignment="1">
      <alignment horizontal="right" vertical="center" wrapText="1"/>
    </xf>
    <xf numFmtId="0" fontId="0" fillId="6" borderId="0" xfId="0" applyFill="1"/>
    <xf numFmtId="0" fontId="0" fillId="11" borderId="0" xfId="0" applyFill="1"/>
    <xf numFmtId="10" fontId="0" fillId="11" borderId="0" xfId="0" applyNumberFormat="1" applyFill="1"/>
    <xf numFmtId="10" fontId="16" fillId="0" borderId="0" xfId="0" applyNumberFormat="1" applyFont="1"/>
    <xf numFmtId="10" fontId="16" fillId="11" borderId="0" xfId="0" applyNumberFormat="1" applyFont="1" applyFill="1"/>
    <xf numFmtId="0" fontId="16" fillId="11" borderId="0" xfId="0" applyFont="1" applyFill="1"/>
    <xf numFmtId="175" fontId="0" fillId="0" borderId="0" xfId="0" applyNumberFormat="1"/>
    <xf numFmtId="0" fontId="3" fillId="0" borderId="5" xfId="0" applyFont="1" applyBorder="1"/>
    <xf numFmtId="0" fontId="3" fillId="11" borderId="5" xfId="0" applyFont="1" applyFill="1" applyBorder="1"/>
    <xf numFmtId="4" fontId="3" fillId="0" borderId="0" xfId="0" applyNumberFormat="1" applyFont="1"/>
    <xf numFmtId="4" fontId="3" fillId="11" borderId="0" xfId="0" applyNumberFormat="1" applyFont="1" applyFill="1"/>
    <xf numFmtId="4" fontId="0" fillId="0" borderId="0" xfId="0" applyNumberFormat="1"/>
    <xf numFmtId="4" fontId="0" fillId="11" borderId="0" xfId="0" applyNumberFormat="1" applyFill="1"/>
    <xf numFmtId="2" fontId="3" fillId="11" borderId="5" xfId="0" applyNumberFormat="1" applyFont="1" applyFill="1" applyBorder="1"/>
    <xf numFmtId="0" fontId="3" fillId="11" borderId="0" xfId="0" applyFont="1" applyFill="1"/>
    <xf numFmtId="0" fontId="15" fillId="8" borderId="0" xfId="9" applyFill="1" applyAlignment="1">
      <alignment horizontal="left" vertical="center"/>
    </xf>
    <xf numFmtId="0" fontId="15" fillId="8" borderId="0" xfId="9" applyFill="1" applyAlignment="1">
      <alignment horizontal="right" vertical="center" wrapText="1"/>
    </xf>
    <xf numFmtId="0" fontId="27" fillId="8" borderId="0" xfId="0" applyFont="1" applyFill="1" applyAlignment="1">
      <alignment horizontal="left" vertical="center"/>
    </xf>
    <xf numFmtId="2" fontId="27" fillId="8" borderId="0" xfId="0" applyNumberFormat="1" applyFont="1" applyFill="1" applyAlignment="1">
      <alignment horizontal="right" vertical="center" wrapText="1"/>
    </xf>
    <xf numFmtId="176" fontId="0" fillId="0" borderId="0" xfId="0" applyNumberFormat="1"/>
    <xf numFmtId="177" fontId="0" fillId="0" borderId="0" xfId="0" applyNumberFormat="1"/>
    <xf numFmtId="177" fontId="0" fillId="11" borderId="0" xfId="0" applyNumberFormat="1" applyFill="1"/>
    <xf numFmtId="177" fontId="3" fillId="11" borderId="0" xfId="0" applyNumberFormat="1" applyFont="1" applyFill="1"/>
    <xf numFmtId="173" fontId="0" fillId="0" borderId="0" xfId="0" applyNumberFormat="1"/>
    <xf numFmtId="9" fontId="3" fillId="0" borderId="0" xfId="0" applyNumberFormat="1" applyFont="1"/>
    <xf numFmtId="4" fontId="9" fillId="9" borderId="0" xfId="0" applyNumberFormat="1" applyFont="1" applyFill="1"/>
    <xf numFmtId="2" fontId="3" fillId="0" borderId="0" xfId="0" applyNumberFormat="1" applyFont="1"/>
    <xf numFmtId="0" fontId="0" fillId="0" borderId="0" xfId="0" applyAlignment="1">
      <alignment vertical="center"/>
    </xf>
    <xf numFmtId="10" fontId="0" fillId="0" borderId="0" xfId="2" applyNumberFormat="1" applyFont="1" applyBorder="1" applyAlignment="1">
      <alignment vertical="center"/>
    </xf>
    <xf numFmtId="0" fontId="3" fillId="10" borderId="0" xfId="0" applyFont="1" applyFill="1"/>
    <xf numFmtId="10" fontId="3" fillId="10" borderId="0" xfId="0" applyNumberFormat="1" applyFont="1" applyFill="1"/>
    <xf numFmtId="0" fontId="0" fillId="9" borderId="0" xfId="0" applyFill="1"/>
    <xf numFmtId="0" fontId="2" fillId="6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" fillId="9" borderId="0" xfId="0" applyFont="1" applyFill="1" applyAlignment="1">
      <alignment horizontal="left"/>
    </xf>
  </cellXfs>
  <cellStyles count="10">
    <cellStyle name="60% - Accent1 2" xfId="5" xr:uid="{2CD3F07C-A9A2-4C62-A7E1-CBB888439F83}"/>
    <cellStyle name="60% - Accent3 2" xfId="6" xr:uid="{3561DAF9-E550-4724-A64E-130BF1F935E0}"/>
    <cellStyle name="Accent6 2" xfId="7" xr:uid="{2F0A4CFB-4EA1-4AA9-A6A8-5C3400DCD397}"/>
    <cellStyle name="Comma" xfId="1" builtinId="3"/>
    <cellStyle name="Comma 2" xfId="4" xr:uid="{A85315DA-89FE-4023-B122-DBDFA0ED2DCE}"/>
    <cellStyle name="Hyperlink" xfId="9" builtinId="8"/>
    <cellStyle name="Normal" xfId="0" builtinId="0"/>
    <cellStyle name="Normal 2" xfId="3" xr:uid="{953A8D4F-F822-4E72-9E19-C9823040AD2B}"/>
    <cellStyle name="Percent" xfId="2" builtinId="5"/>
    <cellStyle name="Percent 2" xfId="8" xr:uid="{F63B16B4-B516-4B1F-B8DD-F34F8A6158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Forecasting!$D$2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Forecasting!$C$3:$C$12</c:f>
              <c:numCache>
                <c:formatCode>mmm\-yy</c:formatCode>
                <c:ptCount val="1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45382</c:v>
                </c:pt>
              </c:numCache>
            </c:numRef>
          </c:xVal>
          <c:yVal>
            <c:numRef>
              <c:f>Forecasting!$D$3:$D$12</c:f>
              <c:numCache>
                <c:formatCode>General</c:formatCode>
                <c:ptCount val="10"/>
                <c:pt idx="0">
                  <c:v>8175.31</c:v>
                </c:pt>
                <c:pt idx="1">
                  <c:v>9141.34</c:v>
                </c:pt>
                <c:pt idx="2">
                  <c:v>10009.6</c:v>
                </c:pt>
                <c:pt idx="3">
                  <c:v>11292.27</c:v>
                </c:pt>
                <c:pt idx="4">
                  <c:v>12368.9</c:v>
                </c:pt>
                <c:pt idx="5">
                  <c:v>13350.03</c:v>
                </c:pt>
                <c:pt idx="6">
                  <c:v>14740.59</c:v>
                </c:pt>
                <c:pt idx="7">
                  <c:v>16896.96</c:v>
                </c:pt>
                <c:pt idx="8">
                  <c:v>19126.3</c:v>
                </c:pt>
                <c:pt idx="9">
                  <c:v>24393.89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D-4D4A-9FA8-060DE87A4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95599"/>
        <c:axId val="764697519"/>
      </c:scatterChart>
      <c:valAx>
        <c:axId val="76469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7519"/>
        <c:crosses val="autoZero"/>
        <c:crossBetween val="midCat"/>
      </c:valAx>
      <c:valAx>
        <c:axId val="7646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678180</xdr:colOff>
      <xdr:row>0</xdr:row>
      <xdr:rowOff>64770</xdr:rowOff>
    </xdr:from>
    <xdr:to>
      <xdr:col>17</xdr:col>
      <xdr:colOff>449580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39B27-DBFA-323E-2079-8ED9E7989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MART/consolidated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27/00000054/?sort=sales&amp;order=desc" TargetMode="External"/><Relationship Id="rId13" Type="http://schemas.openxmlformats.org/officeDocument/2006/relationships/hyperlink" Target="https://www.screener.in/company/530217/" TargetMode="External"/><Relationship Id="rId3" Type="http://schemas.openxmlformats.org/officeDocument/2006/relationships/hyperlink" Target="https://www.screener.in/company/compare/00000027/00000054/?sort=current+price&amp;order=desc" TargetMode="External"/><Relationship Id="rId7" Type="http://schemas.openxmlformats.org/officeDocument/2006/relationships/hyperlink" Target="https://www.screener.in/company/compare/00000027/00000054/?sort=enterprise+value&amp;order=desc" TargetMode="External"/><Relationship Id="rId12" Type="http://schemas.openxmlformats.org/officeDocument/2006/relationships/hyperlink" Target="https://www.screener.in/company/BRITANNIA/consolidated/" TargetMode="External"/><Relationship Id="rId2" Type="http://schemas.openxmlformats.org/officeDocument/2006/relationships/hyperlink" Target="https://www.screener.in/company/compare/00000027/00000054/?sort=name&amp;order=desc" TargetMode="External"/><Relationship Id="rId1" Type="http://schemas.openxmlformats.org/officeDocument/2006/relationships/hyperlink" Target="https://www.screener.in/company/compare/00000027/00000054/?order=asc" TargetMode="External"/><Relationship Id="rId6" Type="http://schemas.openxmlformats.org/officeDocument/2006/relationships/hyperlink" Target="https://www.screener.in/company/compare/00000027/00000054/?sort=cash+end+of+last+year&amp;order=desc" TargetMode="External"/><Relationship Id="rId11" Type="http://schemas.openxmlformats.org/officeDocument/2006/relationships/hyperlink" Target="https://www.screener.in/company/NESTLEIND/" TargetMode="External"/><Relationship Id="rId5" Type="http://schemas.openxmlformats.org/officeDocument/2006/relationships/hyperlink" Target="https://www.screener.in/company/compare/00000027/00000054/?sort=debt&amp;order=desc" TargetMode="External"/><Relationship Id="rId10" Type="http://schemas.openxmlformats.org/officeDocument/2006/relationships/hyperlink" Target="https://www.screener.in/company/compare/00000027/00000054/?sort=market+capitalization&amp;order=desc" TargetMode="External"/><Relationship Id="rId4" Type="http://schemas.openxmlformats.org/officeDocument/2006/relationships/hyperlink" Target="https://www.screener.in/company/compare/00000027/00000054/?sort=number+of+equity+shares&amp;order=desc" TargetMode="External"/><Relationship Id="rId9" Type="http://schemas.openxmlformats.org/officeDocument/2006/relationships/hyperlink" Target="https://www.screener.in/company/compare/00000027/00000054/?sort=net+profit&amp;order=des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530217/" TargetMode="External"/><Relationship Id="rId2" Type="http://schemas.openxmlformats.org/officeDocument/2006/relationships/hyperlink" Target="https://www.screener.in/company/BRITANNIA/consolidated/" TargetMode="External"/><Relationship Id="rId1" Type="http://schemas.openxmlformats.org/officeDocument/2006/relationships/hyperlink" Target="https://www.screener.in/company/NESTLE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257F-2EE4-450F-8395-0A2425AA14D5}">
  <sheetPr>
    <tabColor rgb="FFFF0000"/>
  </sheetPr>
  <dimension ref="B1:Z67"/>
  <sheetViews>
    <sheetView workbookViewId="0">
      <selection activeCell="E28" sqref="E28"/>
    </sheetView>
  </sheetViews>
  <sheetFormatPr defaultRowHeight="14.4" x14ac:dyDescent="0.3"/>
  <cols>
    <col min="1" max="1" width="1.88671875" customWidth="1"/>
    <col min="2" max="2" width="17" customWidth="1"/>
    <col min="3" max="3" width="8.88671875" bestFit="1" customWidth="1"/>
    <col min="4" max="5" width="8.88671875" customWidth="1"/>
    <col min="6" max="6" width="9.33203125" customWidth="1"/>
    <col min="7" max="7" width="8.6640625" customWidth="1"/>
    <col min="8" max="8" width="8.77734375" customWidth="1"/>
    <col min="9" max="10" width="8.6640625" customWidth="1"/>
    <col min="11" max="11" width="9.44140625" customWidth="1"/>
    <col min="12" max="12" width="9.21875" customWidth="1"/>
    <col min="14" max="14" width="25.21875" customWidth="1"/>
    <col min="15" max="15" width="9.77734375" customWidth="1"/>
    <col min="16" max="16" width="9.5546875" customWidth="1"/>
    <col min="17" max="17" width="10" customWidth="1"/>
    <col min="18" max="18" width="9.6640625" customWidth="1"/>
    <col min="19" max="19" width="9.33203125" customWidth="1"/>
    <col min="20" max="20" width="9.5546875" customWidth="1"/>
    <col min="21" max="21" width="9.109375" customWidth="1"/>
    <col min="22" max="22" width="10.33203125" customWidth="1"/>
    <col min="23" max="23" width="6.77734375" bestFit="1" customWidth="1"/>
    <col min="24" max="24" width="10.33203125" customWidth="1"/>
    <col min="25" max="25" width="6.77734375" bestFit="1" customWidth="1"/>
    <col min="26" max="26" width="7" bestFit="1" customWidth="1"/>
  </cols>
  <sheetData>
    <row r="1" spans="2:24" x14ac:dyDescent="0.3">
      <c r="B1" s="24" t="s">
        <v>47</v>
      </c>
    </row>
    <row r="3" spans="2:24" x14ac:dyDescent="0.3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N3" s="6" t="s">
        <v>19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x14ac:dyDescent="0.3">
      <c r="B4" s="5" t="s">
        <v>1</v>
      </c>
      <c r="C4" s="4">
        <v>42369</v>
      </c>
      <c r="D4" s="4">
        <v>42735</v>
      </c>
      <c r="E4" s="4">
        <v>43100</v>
      </c>
      <c r="F4" s="4">
        <v>43465</v>
      </c>
      <c r="G4" s="4">
        <v>43830</v>
      </c>
      <c r="H4" s="4">
        <v>44196</v>
      </c>
      <c r="I4" s="4">
        <v>44561</v>
      </c>
      <c r="J4" s="4">
        <v>44926</v>
      </c>
      <c r="K4" s="4">
        <v>45291</v>
      </c>
      <c r="L4" s="4">
        <v>45382</v>
      </c>
      <c r="N4" s="8" t="s">
        <v>1</v>
      </c>
      <c r="O4" s="9">
        <v>42369</v>
      </c>
      <c r="P4" s="9">
        <v>42735</v>
      </c>
      <c r="Q4" s="9">
        <v>43100</v>
      </c>
      <c r="R4" s="9">
        <v>43465</v>
      </c>
      <c r="S4" s="9">
        <v>43830</v>
      </c>
      <c r="T4" s="9">
        <v>44196</v>
      </c>
      <c r="U4" s="9">
        <v>44561</v>
      </c>
      <c r="V4" s="9">
        <v>44926</v>
      </c>
      <c r="W4" s="9">
        <v>45291</v>
      </c>
      <c r="X4" s="9">
        <v>45382</v>
      </c>
    </row>
    <row r="5" spans="2:24" x14ac:dyDescent="0.3">
      <c r="B5" s="3" t="s">
        <v>2</v>
      </c>
      <c r="C5" s="1">
        <v>8175.31</v>
      </c>
      <c r="D5" s="1">
        <v>9141.34</v>
      </c>
      <c r="E5" s="1">
        <v>10009.6</v>
      </c>
      <c r="F5" s="1">
        <v>11292.27</v>
      </c>
      <c r="G5" s="1">
        <v>12368.9</v>
      </c>
      <c r="H5" s="1">
        <v>13350.03</v>
      </c>
      <c r="I5" s="1">
        <v>14740.59</v>
      </c>
      <c r="J5" s="1">
        <v>16896.96</v>
      </c>
      <c r="K5" s="1">
        <v>19126.3</v>
      </c>
      <c r="L5" s="1">
        <v>24393.89</v>
      </c>
      <c r="N5" s="10" t="s">
        <v>20</v>
      </c>
      <c r="O5">
        <v>96.42</v>
      </c>
      <c r="P5">
        <v>96.42</v>
      </c>
      <c r="Q5">
        <v>96.42</v>
      </c>
      <c r="R5">
        <v>96.42</v>
      </c>
      <c r="S5">
        <v>96.42</v>
      </c>
      <c r="T5">
        <v>96.42</v>
      </c>
      <c r="U5">
        <v>96.42</v>
      </c>
      <c r="V5">
        <v>96.42</v>
      </c>
      <c r="W5">
        <v>96.42</v>
      </c>
      <c r="X5">
        <v>96.42</v>
      </c>
    </row>
    <row r="6" spans="2:24" x14ac:dyDescent="0.3">
      <c r="B6" s="3" t="s">
        <v>3</v>
      </c>
      <c r="C6" s="1">
        <v>2908.6</v>
      </c>
      <c r="D6" s="1">
        <v>3227.26</v>
      </c>
      <c r="E6" s="1">
        <v>3696.99</v>
      </c>
      <c r="F6" s="1">
        <v>3829.22</v>
      </c>
      <c r="G6" s="1">
        <v>4520.91</v>
      </c>
      <c r="H6" s="1">
        <v>4901.74</v>
      </c>
      <c r="I6" s="1">
        <v>5301.26</v>
      </c>
      <c r="J6" s="1">
        <v>6660.42</v>
      </c>
      <c r="K6" s="1">
        <v>8472.7199999999993</v>
      </c>
      <c r="L6" s="1">
        <v>9201.11</v>
      </c>
      <c r="N6" s="10" t="s">
        <v>21</v>
      </c>
      <c r="O6">
        <v>2721.42</v>
      </c>
      <c r="P6">
        <v>3185.91</v>
      </c>
      <c r="Q6">
        <v>3324.17</v>
      </c>
      <c r="R6">
        <v>3577.32</v>
      </c>
      <c r="S6">
        <v>1822.45</v>
      </c>
      <c r="T6">
        <v>1922.92</v>
      </c>
      <c r="U6">
        <v>1849.96</v>
      </c>
      <c r="V6">
        <v>2362.75</v>
      </c>
      <c r="W6">
        <v>2362.75</v>
      </c>
      <c r="X6">
        <v>3244.47</v>
      </c>
    </row>
    <row r="7" spans="2:24" x14ac:dyDescent="0.3">
      <c r="B7" s="3" t="s">
        <v>4</v>
      </c>
      <c r="C7" s="1">
        <v>-11.97</v>
      </c>
      <c r="D7" s="1">
        <v>7.66</v>
      </c>
      <c r="E7" s="1">
        <v>79.56</v>
      </c>
      <c r="F7" s="1">
        <v>6.01</v>
      </c>
      <c r="G7" s="1">
        <v>144.19</v>
      </c>
      <c r="H7" s="1">
        <v>69.33</v>
      </c>
      <c r="I7" s="1">
        <v>67.59</v>
      </c>
      <c r="J7" s="1">
        <v>250.27</v>
      </c>
      <c r="K7" s="1">
        <v>40.01</v>
      </c>
      <c r="L7" s="1">
        <v>45.68</v>
      </c>
      <c r="N7" s="10" t="s">
        <v>22</v>
      </c>
      <c r="O7">
        <v>17.73</v>
      </c>
      <c r="P7">
        <v>33.15</v>
      </c>
      <c r="Q7">
        <v>35.14</v>
      </c>
      <c r="R7">
        <v>35.14</v>
      </c>
      <c r="S7">
        <v>188.94</v>
      </c>
      <c r="T7">
        <v>147.49</v>
      </c>
      <c r="U7">
        <v>266.45999999999998</v>
      </c>
      <c r="V7">
        <v>270.52</v>
      </c>
      <c r="W7">
        <v>270.52</v>
      </c>
      <c r="X7">
        <v>344.53</v>
      </c>
    </row>
    <row r="8" spans="2:24" x14ac:dyDescent="0.3">
      <c r="B8" s="3" t="s">
        <v>5</v>
      </c>
      <c r="C8" s="1">
        <v>221.99</v>
      </c>
      <c r="D8" s="1">
        <v>232.79</v>
      </c>
      <c r="E8" s="1">
        <v>288.44</v>
      </c>
      <c r="F8" s="1">
        <v>344.18</v>
      </c>
      <c r="G8" s="1">
        <v>340.53</v>
      </c>
      <c r="H8" s="1">
        <v>313.68</v>
      </c>
      <c r="I8" s="1">
        <v>408.06</v>
      </c>
      <c r="J8" s="1">
        <v>572.61</v>
      </c>
      <c r="K8" s="3"/>
      <c r="L8" s="1">
        <v>674.83</v>
      </c>
      <c r="N8" s="10" t="s">
        <v>23</v>
      </c>
      <c r="O8">
        <v>3250.76</v>
      </c>
      <c r="P8">
        <v>3494.98</v>
      </c>
      <c r="Q8">
        <v>3906.86</v>
      </c>
      <c r="R8">
        <v>4379.2</v>
      </c>
      <c r="S8">
        <v>5065.13</v>
      </c>
      <c r="T8">
        <v>5732.9</v>
      </c>
      <c r="U8">
        <v>6021.29</v>
      </c>
      <c r="V8">
        <v>6249.05</v>
      </c>
      <c r="W8">
        <v>6249.05</v>
      </c>
      <c r="X8">
        <v>6837.64</v>
      </c>
    </row>
    <row r="9" spans="2:24" x14ac:dyDescent="0.3">
      <c r="B9" s="3" t="s">
        <v>6</v>
      </c>
      <c r="C9" s="1">
        <v>718.95</v>
      </c>
      <c r="D9" s="1">
        <v>850.85</v>
      </c>
      <c r="E9" s="1">
        <v>897.84</v>
      </c>
      <c r="F9" s="1">
        <v>949.86</v>
      </c>
      <c r="G9" s="1">
        <v>1028.55</v>
      </c>
      <c r="H9" s="1">
        <v>1040.3599999999999</v>
      </c>
      <c r="I9" s="1">
        <v>1349.48</v>
      </c>
      <c r="J9" s="1">
        <v>1603.48</v>
      </c>
      <c r="K9" s="3"/>
      <c r="L9" s="1">
        <v>1935.4</v>
      </c>
      <c r="N9" s="6" t="s">
        <v>24</v>
      </c>
      <c r="O9">
        <v>6086.33</v>
      </c>
      <c r="P9">
        <v>6810.46</v>
      </c>
      <c r="Q9">
        <v>7362.59</v>
      </c>
      <c r="R9">
        <v>8088.08</v>
      </c>
      <c r="S9">
        <v>7172.94</v>
      </c>
      <c r="T9">
        <v>7899.73</v>
      </c>
      <c r="U9">
        <v>8234.1299999999992</v>
      </c>
      <c r="V9">
        <v>8978.74</v>
      </c>
      <c r="W9">
        <v>8978.74</v>
      </c>
      <c r="X9">
        <v>10523.06</v>
      </c>
    </row>
    <row r="10" spans="2:24" x14ac:dyDescent="0.3">
      <c r="B10" s="3" t="s">
        <v>7</v>
      </c>
      <c r="C10" s="1">
        <v>912.75</v>
      </c>
      <c r="D10" s="1">
        <v>901.57</v>
      </c>
      <c r="E10" s="1">
        <v>1017.45</v>
      </c>
      <c r="F10" s="1">
        <v>1124.1500000000001</v>
      </c>
      <c r="G10" s="1">
        <v>1258.17</v>
      </c>
      <c r="H10" s="1">
        <v>1500.95</v>
      </c>
      <c r="I10" s="1">
        <v>1529.94</v>
      </c>
      <c r="J10" s="1">
        <v>1635.46</v>
      </c>
      <c r="K10" s="1">
        <v>1849.18</v>
      </c>
      <c r="L10" s="1">
        <v>2336.06</v>
      </c>
      <c r="N10" s="10" t="s">
        <v>25</v>
      </c>
      <c r="O10">
        <v>2897.85</v>
      </c>
      <c r="P10">
        <v>2730.14</v>
      </c>
      <c r="Q10">
        <v>2616.1799999999998</v>
      </c>
      <c r="R10">
        <v>2400.62</v>
      </c>
      <c r="S10">
        <v>2341.4499999999998</v>
      </c>
      <c r="T10">
        <v>2179.41</v>
      </c>
      <c r="U10">
        <v>2994.67</v>
      </c>
      <c r="V10">
        <v>3043.7</v>
      </c>
      <c r="W10">
        <v>3043.7</v>
      </c>
      <c r="X10">
        <v>3460.25</v>
      </c>
    </row>
    <row r="11" spans="2:24" x14ac:dyDescent="0.3">
      <c r="B11" s="3" t="s">
        <v>8</v>
      </c>
      <c r="C11" s="1">
        <v>1615.41</v>
      </c>
      <c r="D11" s="1">
        <v>1751.78</v>
      </c>
      <c r="E11" s="1">
        <v>1823.98</v>
      </c>
      <c r="F11" s="1">
        <v>2145.8200000000002</v>
      </c>
      <c r="G11" s="1">
        <v>2226.13</v>
      </c>
      <c r="H11" s="1">
        <v>2246.9</v>
      </c>
      <c r="I11" s="1">
        <v>2902.12</v>
      </c>
      <c r="J11" s="1">
        <v>3192.15</v>
      </c>
      <c r="K11" s="3"/>
      <c r="L11" s="1">
        <v>4829.99</v>
      </c>
      <c r="N11" s="10" t="s">
        <v>26</v>
      </c>
      <c r="O11">
        <v>230.79</v>
      </c>
      <c r="P11">
        <v>188.17</v>
      </c>
      <c r="Q11">
        <v>94.16</v>
      </c>
      <c r="R11">
        <v>105.2</v>
      </c>
      <c r="S11">
        <v>143.30000000000001</v>
      </c>
      <c r="T11">
        <v>638.58000000000004</v>
      </c>
      <c r="U11">
        <v>246.23</v>
      </c>
      <c r="V11">
        <v>358.36</v>
      </c>
      <c r="W11">
        <v>358.36</v>
      </c>
      <c r="X11">
        <v>1741.71</v>
      </c>
    </row>
    <row r="12" spans="2:24" x14ac:dyDescent="0.3">
      <c r="B12" s="3" t="s">
        <v>9</v>
      </c>
      <c r="C12" s="1">
        <v>230.71</v>
      </c>
      <c r="D12" s="1">
        <v>334.91</v>
      </c>
      <c r="E12" s="1">
        <v>267.93</v>
      </c>
      <c r="F12" s="1">
        <v>287.39999999999998</v>
      </c>
      <c r="G12" s="1">
        <v>212.92</v>
      </c>
      <c r="H12" s="1">
        <v>214.23</v>
      </c>
      <c r="I12" s="1">
        <v>-245.08</v>
      </c>
      <c r="J12" s="1">
        <v>-223.18</v>
      </c>
      <c r="K12" s="1">
        <v>4373.42</v>
      </c>
      <c r="L12" s="1">
        <v>-350.97</v>
      </c>
      <c r="N12" s="10" t="s">
        <v>27</v>
      </c>
      <c r="O12">
        <v>1324.92</v>
      </c>
      <c r="P12">
        <v>1755.66</v>
      </c>
      <c r="Q12">
        <v>1978.87</v>
      </c>
      <c r="R12">
        <v>2658.49</v>
      </c>
      <c r="S12">
        <v>1751.05</v>
      </c>
      <c r="T12">
        <v>1463.77</v>
      </c>
      <c r="U12">
        <v>773.98</v>
      </c>
      <c r="V12">
        <v>777.54</v>
      </c>
      <c r="W12">
        <v>777.54</v>
      </c>
      <c r="X12">
        <v>463.87</v>
      </c>
    </row>
    <row r="13" spans="2:24" x14ac:dyDescent="0.3">
      <c r="B13" s="3" t="s">
        <v>10</v>
      </c>
      <c r="C13" s="1">
        <v>-390.75</v>
      </c>
      <c r="D13" s="1">
        <v>140.12</v>
      </c>
      <c r="E13" s="1">
        <v>176.92</v>
      </c>
      <c r="F13" s="1">
        <v>258.92</v>
      </c>
      <c r="G13" s="1">
        <v>246.88</v>
      </c>
      <c r="H13" s="1">
        <v>145.85</v>
      </c>
      <c r="I13" s="1">
        <v>-112.38</v>
      </c>
      <c r="J13" s="1">
        <v>107.26</v>
      </c>
      <c r="K13" s="1">
        <v>115.5</v>
      </c>
      <c r="L13" s="1">
        <v>158.99</v>
      </c>
      <c r="N13" s="10" t="s">
        <v>28</v>
      </c>
      <c r="O13">
        <v>1632.77</v>
      </c>
      <c r="P13">
        <v>2136.4899999999998</v>
      </c>
      <c r="Q13">
        <v>2673.38</v>
      </c>
      <c r="R13">
        <v>2923.77</v>
      </c>
      <c r="S13">
        <v>2937.14</v>
      </c>
      <c r="T13">
        <v>3617.97</v>
      </c>
      <c r="U13">
        <v>4219.25</v>
      </c>
      <c r="V13">
        <v>4799.1400000000003</v>
      </c>
      <c r="W13">
        <v>4799.1400000000003</v>
      </c>
      <c r="X13">
        <v>4857.2299999999996</v>
      </c>
    </row>
    <row r="14" spans="2:24" x14ac:dyDescent="0.3">
      <c r="B14" s="3" t="s">
        <v>11</v>
      </c>
      <c r="C14" s="1">
        <v>347.26</v>
      </c>
      <c r="D14" s="1">
        <v>353.67</v>
      </c>
      <c r="E14" s="1">
        <v>342.25</v>
      </c>
      <c r="F14" s="1">
        <v>335.67</v>
      </c>
      <c r="G14" s="1">
        <v>370.15</v>
      </c>
      <c r="H14" s="1">
        <v>370.38</v>
      </c>
      <c r="I14" s="1">
        <v>391.02</v>
      </c>
      <c r="J14" s="1">
        <v>403.01</v>
      </c>
      <c r="K14" s="1">
        <v>428.91</v>
      </c>
      <c r="L14" s="1">
        <v>537.78</v>
      </c>
      <c r="N14" s="6" t="s">
        <v>24</v>
      </c>
      <c r="O14">
        <v>6086.33</v>
      </c>
      <c r="P14">
        <v>6810.46</v>
      </c>
      <c r="Q14">
        <v>7362.59</v>
      </c>
      <c r="R14">
        <v>8088.08</v>
      </c>
      <c r="S14">
        <v>7172.94</v>
      </c>
      <c r="T14">
        <v>7899.73</v>
      </c>
      <c r="U14">
        <v>8234.1299999999992</v>
      </c>
      <c r="V14">
        <v>8978.74</v>
      </c>
      <c r="W14">
        <v>8978.74</v>
      </c>
      <c r="X14">
        <v>10523.06</v>
      </c>
    </row>
    <row r="15" spans="2:24" x14ac:dyDescent="0.3">
      <c r="B15" s="3" t="s">
        <v>12</v>
      </c>
      <c r="C15" s="1">
        <v>3.29</v>
      </c>
      <c r="D15" s="1">
        <v>90.91</v>
      </c>
      <c r="E15" s="1">
        <v>91.9</v>
      </c>
      <c r="F15" s="1">
        <v>111.95</v>
      </c>
      <c r="G15" s="1">
        <v>129.12</v>
      </c>
      <c r="H15" s="1">
        <v>164.18</v>
      </c>
      <c r="I15" s="1">
        <v>201.68</v>
      </c>
      <c r="J15" s="1">
        <v>154.57</v>
      </c>
      <c r="K15" s="1">
        <v>119.29</v>
      </c>
      <c r="L15" s="1">
        <v>145.49</v>
      </c>
      <c r="N15" s="10" t="s">
        <v>29</v>
      </c>
      <c r="O15">
        <v>78.42</v>
      </c>
      <c r="P15">
        <v>97.93</v>
      </c>
      <c r="Q15">
        <v>88.97</v>
      </c>
      <c r="R15">
        <v>124.59</v>
      </c>
      <c r="S15">
        <v>124.33</v>
      </c>
      <c r="T15">
        <v>164.93</v>
      </c>
      <c r="U15">
        <v>165.97</v>
      </c>
      <c r="V15">
        <v>191.89</v>
      </c>
      <c r="W15">
        <v>191.89</v>
      </c>
      <c r="X15">
        <v>300.45999999999998</v>
      </c>
    </row>
    <row r="16" spans="2:24" x14ac:dyDescent="0.3">
      <c r="B16" s="3" t="s">
        <v>13</v>
      </c>
      <c r="C16" s="1">
        <v>813.63</v>
      </c>
      <c r="D16" s="1">
        <v>1545.38</v>
      </c>
      <c r="E16" s="1">
        <v>1839.3</v>
      </c>
      <c r="F16" s="1">
        <v>2428.9499999999998</v>
      </c>
      <c r="G16" s="1">
        <v>2673.49</v>
      </c>
      <c r="H16" s="1">
        <v>2812.79</v>
      </c>
      <c r="I16" s="1">
        <v>2857.32</v>
      </c>
      <c r="J16" s="1">
        <v>3255.97</v>
      </c>
      <c r="K16" s="1">
        <v>4038.29</v>
      </c>
      <c r="L16" s="1">
        <v>5288.87</v>
      </c>
      <c r="N16" s="10" t="s">
        <v>30</v>
      </c>
      <c r="O16">
        <v>820.81</v>
      </c>
      <c r="P16">
        <v>940.06</v>
      </c>
      <c r="Q16">
        <v>902.47</v>
      </c>
      <c r="R16">
        <v>965.55</v>
      </c>
      <c r="S16">
        <v>1283.07</v>
      </c>
      <c r="T16">
        <v>1416.48</v>
      </c>
      <c r="U16">
        <v>1592.65</v>
      </c>
      <c r="V16">
        <v>1928.77</v>
      </c>
      <c r="W16">
        <v>1928.77</v>
      </c>
      <c r="X16">
        <v>2089.36</v>
      </c>
    </row>
    <row r="17" spans="2:24" x14ac:dyDescent="0.3">
      <c r="B17" s="3" t="s">
        <v>14</v>
      </c>
      <c r="C17" s="1">
        <v>250.36</v>
      </c>
      <c r="D17" s="1">
        <v>544.02</v>
      </c>
      <c r="E17" s="1">
        <v>614.11</v>
      </c>
      <c r="F17" s="1">
        <v>822.02</v>
      </c>
      <c r="G17" s="1">
        <v>705.05</v>
      </c>
      <c r="H17" s="1">
        <v>730.36</v>
      </c>
      <c r="I17" s="1">
        <v>738.91</v>
      </c>
      <c r="J17" s="1">
        <v>865.45</v>
      </c>
      <c r="K17" s="1">
        <v>1039.6199999999999</v>
      </c>
      <c r="L17" s="1">
        <v>1356.03</v>
      </c>
      <c r="N17" s="7" t="s">
        <v>31</v>
      </c>
      <c r="O17">
        <v>499.55</v>
      </c>
      <c r="P17">
        <v>880</v>
      </c>
      <c r="Q17">
        <v>1457.42</v>
      </c>
      <c r="R17">
        <v>1610.06</v>
      </c>
      <c r="S17">
        <v>1308.05</v>
      </c>
      <c r="T17">
        <v>1769.87</v>
      </c>
      <c r="U17">
        <v>735.41</v>
      </c>
      <c r="V17">
        <v>945.55</v>
      </c>
      <c r="W17">
        <v>945.55</v>
      </c>
      <c r="X17">
        <v>778.85</v>
      </c>
    </row>
    <row r="18" spans="2:24" x14ac:dyDescent="0.3">
      <c r="B18" s="3" t="s">
        <v>15</v>
      </c>
      <c r="C18" s="1">
        <v>563.27</v>
      </c>
      <c r="D18" s="1">
        <v>1001.36</v>
      </c>
      <c r="E18" s="1">
        <v>1225.19</v>
      </c>
      <c r="F18" s="1">
        <v>1606.93</v>
      </c>
      <c r="G18" s="1">
        <v>1968.44</v>
      </c>
      <c r="H18" s="1">
        <v>2082.4299999999998</v>
      </c>
      <c r="I18" s="1">
        <v>2118.41</v>
      </c>
      <c r="J18" s="1">
        <v>2390.52</v>
      </c>
      <c r="K18" s="1">
        <v>2998.67</v>
      </c>
      <c r="L18" s="1">
        <v>3932.84</v>
      </c>
      <c r="N18" s="7" t="s">
        <v>32</v>
      </c>
      <c r="O18">
        <v>96415716</v>
      </c>
      <c r="P18">
        <v>96415716</v>
      </c>
      <c r="Q18">
        <v>96415716</v>
      </c>
      <c r="R18">
        <v>96415716</v>
      </c>
      <c r="S18">
        <v>96415716</v>
      </c>
      <c r="T18">
        <v>96415716</v>
      </c>
      <c r="U18">
        <v>96415716</v>
      </c>
      <c r="V18">
        <v>96415716</v>
      </c>
      <c r="W18" s="7"/>
      <c r="X18">
        <v>964157160</v>
      </c>
    </row>
    <row r="19" spans="2:24" x14ac:dyDescent="0.3">
      <c r="B19" s="3" t="s">
        <v>16</v>
      </c>
      <c r="C19" s="1">
        <v>467.64</v>
      </c>
      <c r="D19" s="1">
        <v>607.45000000000005</v>
      </c>
      <c r="E19" s="1">
        <v>829.21</v>
      </c>
      <c r="F19" s="1">
        <v>1108.83</v>
      </c>
      <c r="G19" s="1">
        <v>3297.56</v>
      </c>
      <c r="H19" s="1">
        <v>1928.4</v>
      </c>
      <c r="I19" s="1">
        <v>1928.4</v>
      </c>
      <c r="J19" s="1">
        <v>2121.2399999999998</v>
      </c>
      <c r="K19" s="1">
        <v>1677.71</v>
      </c>
      <c r="L19" s="1">
        <v>3104.72</v>
      </c>
      <c r="N19" s="7" t="s">
        <v>33</v>
      </c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3">
      <c r="B20" s="84" t="s">
        <v>60</v>
      </c>
      <c r="C20" s="24">
        <f>C14+C15+C17+C18</f>
        <v>1164.18</v>
      </c>
      <c r="D20" s="24">
        <f t="shared" ref="D20:L20" si="0">D14+D15+D17+D18</f>
        <v>1989.96</v>
      </c>
      <c r="E20" s="24">
        <f t="shared" si="0"/>
        <v>2273.4499999999998</v>
      </c>
      <c r="F20" s="24">
        <f t="shared" si="0"/>
        <v>2876.5699999999997</v>
      </c>
      <c r="G20" s="24">
        <f t="shared" si="0"/>
        <v>3172.76</v>
      </c>
      <c r="H20" s="24">
        <f t="shared" si="0"/>
        <v>3347.35</v>
      </c>
      <c r="I20" s="24">
        <f t="shared" si="0"/>
        <v>3450.02</v>
      </c>
      <c r="J20" s="24">
        <f t="shared" si="0"/>
        <v>3813.55</v>
      </c>
      <c r="K20" s="24">
        <f t="shared" si="0"/>
        <v>4586.49</v>
      </c>
      <c r="L20" s="24">
        <f t="shared" si="0"/>
        <v>5972.14</v>
      </c>
      <c r="N20" s="7" t="s">
        <v>34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</v>
      </c>
    </row>
    <row r="21" spans="2:24" x14ac:dyDescent="0.3">
      <c r="B21" s="84" t="s">
        <v>323</v>
      </c>
      <c r="C21" s="24">
        <f>C20-C14</f>
        <v>816.92000000000007</v>
      </c>
      <c r="D21" s="24">
        <f t="shared" ref="D21:L21" si="1">D20-D14</f>
        <v>1636.29</v>
      </c>
      <c r="E21" s="24">
        <f t="shared" si="1"/>
        <v>1931.1999999999998</v>
      </c>
      <c r="F21" s="24">
        <f t="shared" si="1"/>
        <v>2540.8999999999996</v>
      </c>
      <c r="G21" s="24">
        <f t="shared" si="1"/>
        <v>2802.61</v>
      </c>
      <c r="H21" s="24">
        <f t="shared" si="1"/>
        <v>2976.97</v>
      </c>
      <c r="I21" s="24">
        <f t="shared" si="1"/>
        <v>3059</v>
      </c>
      <c r="J21" s="24">
        <f t="shared" si="1"/>
        <v>3410.54</v>
      </c>
      <c r="K21" s="24">
        <f t="shared" si="1"/>
        <v>4157.58</v>
      </c>
      <c r="L21" s="24">
        <f t="shared" si="1"/>
        <v>5434.3600000000006</v>
      </c>
    </row>
    <row r="22" spans="2:24" x14ac:dyDescent="0.3">
      <c r="B22" s="8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2:24" x14ac:dyDescent="0.3">
      <c r="B23" s="6" t="s">
        <v>207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24" x14ac:dyDescent="0.3">
      <c r="B24" s="8" t="s">
        <v>1</v>
      </c>
      <c r="C24" s="9">
        <v>44834</v>
      </c>
      <c r="D24" s="9">
        <v>44926</v>
      </c>
      <c r="E24" s="9">
        <v>45016</v>
      </c>
      <c r="F24" s="9">
        <v>45107</v>
      </c>
      <c r="G24" s="9">
        <v>45199</v>
      </c>
      <c r="H24" s="9">
        <v>45291</v>
      </c>
      <c r="I24" s="9">
        <v>45382</v>
      </c>
      <c r="J24" s="9">
        <v>45473</v>
      </c>
      <c r="K24" s="9">
        <v>45565</v>
      </c>
      <c r="L24" s="9">
        <v>45657</v>
      </c>
      <c r="N24" s="6" t="s">
        <v>35</v>
      </c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3">
      <c r="B25" s="10" t="s">
        <v>2</v>
      </c>
      <c r="C25">
        <v>4601.84</v>
      </c>
      <c r="D25">
        <v>4256.79</v>
      </c>
      <c r="E25">
        <v>4830.53</v>
      </c>
      <c r="F25">
        <v>4658.53</v>
      </c>
      <c r="G25">
        <v>5036.82</v>
      </c>
      <c r="H25">
        <v>4600.42</v>
      </c>
      <c r="I25">
        <v>5267.59</v>
      </c>
      <c r="J25">
        <v>4813.95</v>
      </c>
      <c r="K25">
        <v>5104</v>
      </c>
      <c r="L25">
        <v>4779.7299999999996</v>
      </c>
      <c r="N25" s="8" t="s">
        <v>1</v>
      </c>
      <c r="O25" s="9">
        <v>42369</v>
      </c>
      <c r="P25" s="9">
        <v>42735</v>
      </c>
      <c r="Q25" s="9">
        <v>43100</v>
      </c>
      <c r="R25" s="9">
        <v>43465</v>
      </c>
      <c r="S25" s="9">
        <v>43830</v>
      </c>
      <c r="T25" s="9">
        <v>44196</v>
      </c>
      <c r="U25" s="9">
        <v>44561</v>
      </c>
      <c r="V25" s="9">
        <v>44926</v>
      </c>
      <c r="W25" s="9">
        <v>45291</v>
      </c>
      <c r="X25" s="9">
        <v>45382</v>
      </c>
    </row>
    <row r="26" spans="2:24" x14ac:dyDescent="0.3">
      <c r="B26" s="10" t="s">
        <v>17</v>
      </c>
      <c r="C26">
        <v>3597.76</v>
      </c>
      <c r="D26">
        <v>3283.78</v>
      </c>
      <c r="E26">
        <v>3735.05</v>
      </c>
      <c r="F26">
        <v>3603.01</v>
      </c>
      <c r="G26">
        <v>3811.95</v>
      </c>
      <c r="H26">
        <v>3505.3</v>
      </c>
      <c r="I26">
        <v>3918.77</v>
      </c>
      <c r="J26">
        <v>3699.62</v>
      </c>
      <c r="K26">
        <v>3936.27</v>
      </c>
      <c r="L26">
        <v>3694.8</v>
      </c>
      <c r="N26" s="10" t="s">
        <v>36</v>
      </c>
      <c r="O26">
        <v>1098.0999999999999</v>
      </c>
      <c r="P26">
        <v>1465.91</v>
      </c>
      <c r="Q26">
        <v>1817.79</v>
      </c>
      <c r="R26">
        <v>2052.4499999999998</v>
      </c>
      <c r="S26">
        <v>2295.25</v>
      </c>
      <c r="T26">
        <v>2454.48</v>
      </c>
      <c r="U26">
        <v>2236</v>
      </c>
      <c r="V26">
        <v>2737.43</v>
      </c>
      <c r="W26">
        <v>3392.19</v>
      </c>
      <c r="X26">
        <v>4174.79</v>
      </c>
    </row>
    <row r="27" spans="2:24" x14ac:dyDescent="0.3">
      <c r="B27" s="10" t="s">
        <v>10</v>
      </c>
      <c r="C27">
        <v>30.64</v>
      </c>
      <c r="D27">
        <v>29.55</v>
      </c>
      <c r="E27">
        <v>33.69</v>
      </c>
      <c r="F27">
        <v>23.95</v>
      </c>
      <c r="G27">
        <v>139.69</v>
      </c>
      <c r="H27">
        <v>-77</v>
      </c>
      <c r="I27">
        <v>36.83</v>
      </c>
      <c r="J27">
        <v>39.119999999999997</v>
      </c>
      <c r="K27">
        <v>297.68</v>
      </c>
      <c r="L27">
        <v>4.4400000000000004</v>
      </c>
      <c r="N27" s="10" t="s">
        <v>37</v>
      </c>
      <c r="O27">
        <v>-70.48</v>
      </c>
      <c r="P27">
        <v>-125.9</v>
      </c>
      <c r="Q27">
        <v>-130.56</v>
      </c>
      <c r="R27">
        <v>-52.41</v>
      </c>
      <c r="S27">
        <v>82.99</v>
      </c>
      <c r="T27">
        <v>-321.45999999999998</v>
      </c>
      <c r="U27">
        <v>-1920.33</v>
      </c>
      <c r="V27">
        <v>-391.73</v>
      </c>
      <c r="W27">
        <v>-926.99</v>
      </c>
      <c r="X27">
        <v>-1237.42</v>
      </c>
    </row>
    <row r="28" spans="2:24" x14ac:dyDescent="0.3">
      <c r="B28" s="10" t="s">
        <v>11</v>
      </c>
      <c r="C28">
        <v>98.17</v>
      </c>
      <c r="D28">
        <v>98.66</v>
      </c>
      <c r="E28">
        <v>101.7</v>
      </c>
      <c r="F28">
        <v>107.36</v>
      </c>
      <c r="G28">
        <v>111.16</v>
      </c>
      <c r="H28">
        <v>108.69</v>
      </c>
      <c r="I28">
        <v>108.87</v>
      </c>
      <c r="J28">
        <v>112.71</v>
      </c>
      <c r="K28">
        <v>121.6</v>
      </c>
      <c r="L28">
        <v>132.51</v>
      </c>
      <c r="N28" s="10" t="s">
        <v>38</v>
      </c>
      <c r="O28">
        <v>-498.32</v>
      </c>
      <c r="P28">
        <v>-665.61</v>
      </c>
      <c r="Q28">
        <v>-996.62</v>
      </c>
      <c r="R28">
        <v>-1317.42</v>
      </c>
      <c r="S28">
        <v>-3601.53</v>
      </c>
      <c r="T28">
        <v>-1955.89</v>
      </c>
      <c r="U28">
        <v>-2019.97</v>
      </c>
      <c r="V28">
        <v>-2122.7399999999998</v>
      </c>
      <c r="W28">
        <v>-2436.4699999999998</v>
      </c>
      <c r="X28">
        <v>-3134.92</v>
      </c>
    </row>
    <row r="29" spans="2:24" x14ac:dyDescent="0.3">
      <c r="B29" s="10" t="s">
        <v>12</v>
      </c>
      <c r="C29">
        <v>37.19</v>
      </c>
      <c r="D29">
        <v>44.83</v>
      </c>
      <c r="E29">
        <v>37.01</v>
      </c>
      <c r="F29">
        <v>32.78</v>
      </c>
      <c r="G29">
        <v>31.38</v>
      </c>
      <c r="H29">
        <v>22.95</v>
      </c>
      <c r="I29">
        <v>26.2</v>
      </c>
      <c r="J29">
        <v>31.68</v>
      </c>
      <c r="K29">
        <v>32.22</v>
      </c>
      <c r="L29">
        <v>34.6</v>
      </c>
      <c r="N29" s="10" t="s">
        <v>39</v>
      </c>
      <c r="O29">
        <v>529.29999999999995</v>
      </c>
      <c r="P29">
        <v>674.4</v>
      </c>
      <c r="Q29">
        <v>690.61</v>
      </c>
      <c r="R29">
        <v>682.62</v>
      </c>
      <c r="S29">
        <v>-1223.29</v>
      </c>
      <c r="T29">
        <v>177.13</v>
      </c>
      <c r="U29">
        <v>-1704.3</v>
      </c>
      <c r="V29">
        <v>222.96</v>
      </c>
      <c r="W29">
        <v>28.73</v>
      </c>
      <c r="X29">
        <v>-197.55</v>
      </c>
    </row>
    <row r="30" spans="2:24" x14ac:dyDescent="0.3">
      <c r="B30" s="10" t="s">
        <v>13</v>
      </c>
      <c r="C30">
        <v>899.36</v>
      </c>
      <c r="D30">
        <v>859.07</v>
      </c>
      <c r="E30">
        <v>990.46</v>
      </c>
      <c r="F30">
        <v>939.33</v>
      </c>
      <c r="G30">
        <v>1222.02</v>
      </c>
      <c r="H30">
        <v>886.48</v>
      </c>
      <c r="I30">
        <v>1250.58</v>
      </c>
      <c r="J30">
        <v>1009.06</v>
      </c>
      <c r="K30">
        <v>1311.59</v>
      </c>
      <c r="L30">
        <v>922.26</v>
      </c>
      <c r="N30" s="10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2:24" x14ac:dyDescent="0.3">
      <c r="B31" s="10" t="s">
        <v>14</v>
      </c>
      <c r="C31">
        <v>237.9</v>
      </c>
      <c r="D31">
        <v>231.01</v>
      </c>
      <c r="E31">
        <v>253.82</v>
      </c>
      <c r="F31">
        <v>240.99</v>
      </c>
      <c r="G31">
        <v>313.94</v>
      </c>
      <c r="H31">
        <v>230.87</v>
      </c>
      <c r="I31">
        <v>316.41000000000003</v>
      </c>
      <c r="J31">
        <v>262.45999999999998</v>
      </c>
      <c r="K31">
        <v>325.23</v>
      </c>
      <c r="L31">
        <v>226.13</v>
      </c>
      <c r="N31" s="10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2:24" x14ac:dyDescent="0.3">
      <c r="B32" s="10" t="s">
        <v>15</v>
      </c>
      <c r="C32">
        <v>661.46</v>
      </c>
      <c r="D32">
        <v>628.05999999999995</v>
      </c>
      <c r="E32">
        <v>736.64</v>
      </c>
      <c r="F32">
        <v>698.34</v>
      </c>
      <c r="G32">
        <v>908.08</v>
      </c>
      <c r="H32">
        <v>655.61</v>
      </c>
      <c r="I32">
        <v>934.17</v>
      </c>
      <c r="J32">
        <v>746.6</v>
      </c>
      <c r="K32">
        <v>986.36</v>
      </c>
      <c r="L32">
        <v>696.13</v>
      </c>
      <c r="N32" s="10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2:26" x14ac:dyDescent="0.3">
      <c r="B33" s="10" t="s">
        <v>18</v>
      </c>
      <c r="C33">
        <v>1004.08</v>
      </c>
      <c r="D33">
        <v>973.01</v>
      </c>
      <c r="E33">
        <v>1095.48</v>
      </c>
      <c r="F33">
        <v>1055.52</v>
      </c>
      <c r="G33">
        <v>1224.8699999999999</v>
      </c>
      <c r="H33">
        <v>1095.1199999999999</v>
      </c>
      <c r="I33">
        <v>1348.82</v>
      </c>
      <c r="J33">
        <v>1114.33</v>
      </c>
      <c r="K33">
        <v>1167.73</v>
      </c>
      <c r="L33">
        <v>1084.93</v>
      </c>
      <c r="N33" s="10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2:26" x14ac:dyDescent="0.3">
      <c r="B34" s="18" t="s">
        <v>60</v>
      </c>
      <c r="C34" s="18">
        <f>SUM(C31:C32,C28:C29)</f>
        <v>1034.72</v>
      </c>
      <c r="D34" s="18">
        <f t="shared" ref="D34:L34" si="2">SUM(D31:D32,D28:D29)</f>
        <v>1002.56</v>
      </c>
      <c r="E34" s="18">
        <f t="shared" si="2"/>
        <v>1129.17</v>
      </c>
      <c r="F34" s="18">
        <f t="shared" si="2"/>
        <v>1079.47</v>
      </c>
      <c r="G34" s="18">
        <f t="shared" si="2"/>
        <v>1364.5600000000002</v>
      </c>
      <c r="H34" s="18">
        <f t="shared" si="2"/>
        <v>1018.1200000000001</v>
      </c>
      <c r="I34" s="18">
        <f t="shared" si="2"/>
        <v>1385.6499999999999</v>
      </c>
      <c r="J34" s="18">
        <f t="shared" si="2"/>
        <v>1153.45</v>
      </c>
      <c r="K34" s="18">
        <f t="shared" si="2"/>
        <v>1465.41</v>
      </c>
      <c r="L34" s="18">
        <f t="shared" si="2"/>
        <v>1089.3699999999999</v>
      </c>
      <c r="N34" s="6" t="s">
        <v>40</v>
      </c>
      <c r="O34">
        <v>582.79999999999995</v>
      </c>
      <c r="P34">
        <v>602.84</v>
      </c>
      <c r="Q34">
        <v>787.09</v>
      </c>
      <c r="R34">
        <v>1108.49</v>
      </c>
      <c r="S34">
        <v>1478.54</v>
      </c>
      <c r="T34">
        <v>1839.03</v>
      </c>
      <c r="U34">
        <v>1970.57</v>
      </c>
      <c r="V34">
        <v>1960.6</v>
      </c>
      <c r="W34">
        <v>2658.03</v>
      </c>
      <c r="X34">
        <v>2622.35</v>
      </c>
    </row>
    <row r="35" spans="2:26" x14ac:dyDescent="0.3"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2:26" x14ac:dyDescent="0.3">
      <c r="B36" s="7" t="s">
        <v>43</v>
      </c>
      <c r="C36" s="7">
        <f>IF(C39&gt;0, C39/C38, 0)</f>
        <v>96.354884032596232</v>
      </c>
      <c r="N36" s="6" t="s">
        <v>41</v>
      </c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6" x14ac:dyDescent="0.3">
      <c r="B37" s="7" t="s">
        <v>44</v>
      </c>
      <c r="C37">
        <v>1</v>
      </c>
      <c r="N37" s="7" t="s">
        <v>42</v>
      </c>
      <c r="O37" s="11">
        <v>96.42</v>
      </c>
      <c r="P37" s="11">
        <v>96.42</v>
      </c>
      <c r="Q37" s="11">
        <v>96.42</v>
      </c>
      <c r="R37" s="11">
        <v>96.42</v>
      </c>
      <c r="S37" s="11">
        <v>96.42</v>
      </c>
      <c r="T37" s="11">
        <v>96.42</v>
      </c>
      <c r="U37" s="11">
        <v>96.42</v>
      </c>
      <c r="V37" s="11">
        <v>96.42</v>
      </c>
      <c r="W37" s="11">
        <v>96.42</v>
      </c>
      <c r="X37" s="11">
        <v>96.42</v>
      </c>
    </row>
    <row r="38" spans="2:26" x14ac:dyDescent="0.3">
      <c r="B38" s="7" t="s">
        <v>45</v>
      </c>
      <c r="C38">
        <v>2313.15</v>
      </c>
    </row>
    <row r="39" spans="2:26" x14ac:dyDescent="0.3">
      <c r="B39" s="7" t="s">
        <v>46</v>
      </c>
      <c r="C39">
        <v>222883.3</v>
      </c>
    </row>
    <row r="40" spans="2:26" x14ac:dyDescent="0.3">
      <c r="O40" s="25">
        <v>41609</v>
      </c>
      <c r="P40" s="25">
        <v>41974</v>
      </c>
      <c r="Q40" s="25">
        <v>42339</v>
      </c>
      <c r="R40" s="25">
        <v>42705</v>
      </c>
      <c r="S40" s="25">
        <v>43070</v>
      </c>
      <c r="T40" s="25">
        <v>43435</v>
      </c>
      <c r="U40" s="25">
        <v>43800</v>
      </c>
      <c r="V40" s="25">
        <v>44166</v>
      </c>
      <c r="W40" s="25">
        <v>44531</v>
      </c>
      <c r="X40" s="25">
        <v>44896</v>
      </c>
      <c r="Y40" s="25">
        <v>45261</v>
      </c>
      <c r="Z40" s="25">
        <v>45352</v>
      </c>
    </row>
    <row r="41" spans="2:26" x14ac:dyDescent="0.3">
      <c r="N41" s="24" t="s">
        <v>83</v>
      </c>
      <c r="O41" s="26">
        <v>1796</v>
      </c>
      <c r="P41" s="26">
        <v>1644</v>
      </c>
      <c r="Q41" s="26">
        <v>1098</v>
      </c>
      <c r="R41" s="26">
        <v>1466</v>
      </c>
      <c r="S41" s="26">
        <v>1818</v>
      </c>
      <c r="T41" s="26">
        <v>2052</v>
      </c>
      <c r="U41" s="26">
        <v>2295</v>
      </c>
      <c r="V41" s="26">
        <v>2454</v>
      </c>
      <c r="W41" s="26">
        <v>2236</v>
      </c>
      <c r="X41" s="26">
        <v>2737</v>
      </c>
      <c r="Y41" s="26">
        <v>3392</v>
      </c>
      <c r="Z41" s="26">
        <v>4175</v>
      </c>
    </row>
    <row r="42" spans="2:26" x14ac:dyDescent="0.3">
      <c r="N42" t="s">
        <v>84</v>
      </c>
      <c r="O42" s="26">
        <v>1956</v>
      </c>
      <c r="P42" s="26">
        <v>2051</v>
      </c>
      <c r="Q42" s="26">
        <v>1109</v>
      </c>
      <c r="R42" s="26">
        <v>1765</v>
      </c>
      <c r="S42" s="26">
        <v>2047</v>
      </c>
      <c r="T42" s="26">
        <v>2521</v>
      </c>
      <c r="U42" s="26">
        <v>2805</v>
      </c>
      <c r="V42" s="26">
        <v>3061</v>
      </c>
      <c r="W42" s="26">
        <v>3136</v>
      </c>
      <c r="X42" s="26">
        <v>3609</v>
      </c>
      <c r="Y42" s="26">
        <v>4388</v>
      </c>
      <c r="Z42" s="26">
        <v>5722</v>
      </c>
    </row>
    <row r="43" spans="2:26" x14ac:dyDescent="0.3">
      <c r="N43" t="s">
        <v>29</v>
      </c>
      <c r="O43">
        <v>3</v>
      </c>
      <c r="P43">
        <v>-14</v>
      </c>
      <c r="Q43">
        <v>21</v>
      </c>
      <c r="R43">
        <v>-19</v>
      </c>
      <c r="S43">
        <v>8</v>
      </c>
      <c r="T43">
        <v>-36</v>
      </c>
      <c r="U43">
        <v>0</v>
      </c>
      <c r="V43">
        <v>-42</v>
      </c>
      <c r="W43">
        <v>-2</v>
      </c>
      <c r="X43">
        <v>-28</v>
      </c>
      <c r="Y43">
        <v>-11</v>
      </c>
      <c r="Z43">
        <v>-109</v>
      </c>
    </row>
    <row r="44" spans="2:26" x14ac:dyDescent="0.3">
      <c r="N44" t="s">
        <v>30</v>
      </c>
      <c r="O44">
        <v>10</v>
      </c>
      <c r="P44">
        <v>-108</v>
      </c>
      <c r="Q44">
        <v>23</v>
      </c>
      <c r="R44">
        <v>-119</v>
      </c>
      <c r="S44">
        <v>38</v>
      </c>
      <c r="T44">
        <v>-63</v>
      </c>
      <c r="U44">
        <v>-318</v>
      </c>
      <c r="V44">
        <v>-133</v>
      </c>
      <c r="W44">
        <v>-169</v>
      </c>
      <c r="X44">
        <v>-336</v>
      </c>
      <c r="Y44">
        <v>56</v>
      </c>
      <c r="Z44">
        <v>-161</v>
      </c>
    </row>
    <row r="45" spans="2:26" x14ac:dyDescent="0.3">
      <c r="N45" t="s">
        <v>85</v>
      </c>
      <c r="O45">
        <v>128</v>
      </c>
      <c r="P45">
        <v>118</v>
      </c>
      <c r="Q45">
        <v>79</v>
      </c>
      <c r="R45">
        <v>50</v>
      </c>
      <c r="S45">
        <v>185</v>
      </c>
      <c r="T45">
        <v>257</v>
      </c>
      <c r="U45">
        <v>253</v>
      </c>
      <c r="V45">
        <v>23</v>
      </c>
      <c r="W45">
        <v>217</v>
      </c>
      <c r="X45">
        <v>178</v>
      </c>
      <c r="Y45">
        <v>68</v>
      </c>
      <c r="Z45">
        <v>310</v>
      </c>
    </row>
    <row r="46" spans="2:26" x14ac:dyDescent="0.3">
      <c r="N46" t="s">
        <v>86</v>
      </c>
      <c r="O46">
        <v>-48</v>
      </c>
      <c r="P46">
        <v>34</v>
      </c>
      <c r="Q46">
        <v>-3</v>
      </c>
      <c r="R46">
        <v>0</v>
      </c>
      <c r="S46">
        <v>0</v>
      </c>
      <c r="T46">
        <v>0</v>
      </c>
      <c r="U46">
        <v>0</v>
      </c>
      <c r="V46">
        <v>0</v>
      </c>
      <c r="W46">
        <v>-40</v>
      </c>
      <c r="X46">
        <v>-30</v>
      </c>
      <c r="Y46">
        <v>-30</v>
      </c>
      <c r="Z46">
        <v>-21</v>
      </c>
    </row>
    <row r="47" spans="2:26" x14ac:dyDescent="0.3">
      <c r="N47" t="s">
        <v>87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2:26" x14ac:dyDescent="0.3">
      <c r="N48" t="s">
        <v>88</v>
      </c>
      <c r="O48">
        <v>234</v>
      </c>
      <c r="P48">
        <v>153</v>
      </c>
      <c r="Q48">
        <v>210</v>
      </c>
      <c r="R48">
        <v>293</v>
      </c>
      <c r="S48">
        <v>144</v>
      </c>
      <c r="T48">
        <v>255</v>
      </c>
      <c r="U48">
        <v>227</v>
      </c>
      <c r="V48">
        <v>249</v>
      </c>
      <c r="W48">
        <v>-179</v>
      </c>
      <c r="X48">
        <v>185</v>
      </c>
      <c r="Y48">
        <v>-19</v>
      </c>
      <c r="Z48">
        <v>-268</v>
      </c>
    </row>
    <row r="49" spans="14:26" x14ac:dyDescent="0.3">
      <c r="N49" t="s">
        <v>89</v>
      </c>
      <c r="O49">
        <v>326</v>
      </c>
      <c r="P49">
        <v>182</v>
      </c>
      <c r="Q49">
        <v>332</v>
      </c>
      <c r="R49">
        <v>204</v>
      </c>
      <c r="S49">
        <v>375</v>
      </c>
      <c r="T49">
        <v>413</v>
      </c>
      <c r="U49">
        <v>163</v>
      </c>
      <c r="V49">
        <v>97</v>
      </c>
      <c r="W49">
        <v>-172</v>
      </c>
      <c r="X49">
        <v>-30</v>
      </c>
      <c r="Y49">
        <v>63</v>
      </c>
      <c r="Z49">
        <v>-249</v>
      </c>
    </row>
    <row r="50" spans="14:26" x14ac:dyDescent="0.3">
      <c r="N50" t="s">
        <v>90</v>
      </c>
      <c r="O50">
        <v>-486</v>
      </c>
      <c r="P50">
        <v>-589</v>
      </c>
      <c r="Q50">
        <v>-342</v>
      </c>
      <c r="R50">
        <v>-503</v>
      </c>
      <c r="S50">
        <v>-604</v>
      </c>
      <c r="T50">
        <v>-881</v>
      </c>
      <c r="U50">
        <v>-673</v>
      </c>
      <c r="V50">
        <v>-703</v>
      </c>
      <c r="W50">
        <v>-729</v>
      </c>
      <c r="X50">
        <v>-841</v>
      </c>
      <c r="Y50" s="26">
        <v>-1059</v>
      </c>
      <c r="Z50" s="26">
        <v>-1299</v>
      </c>
    </row>
    <row r="51" spans="14:26" x14ac:dyDescent="0.3">
      <c r="N51" s="24" t="s">
        <v>91</v>
      </c>
      <c r="O51">
        <v>-441</v>
      </c>
      <c r="P51">
        <v>-432</v>
      </c>
      <c r="Q51">
        <v>-70</v>
      </c>
      <c r="R51">
        <v>-126</v>
      </c>
      <c r="S51">
        <v>-131</v>
      </c>
      <c r="T51">
        <v>-52</v>
      </c>
      <c r="U51">
        <v>83</v>
      </c>
      <c r="V51">
        <v>-321</v>
      </c>
      <c r="W51" s="26">
        <v>-1920</v>
      </c>
      <c r="X51">
        <v>-392</v>
      </c>
      <c r="Y51">
        <v>-927</v>
      </c>
      <c r="Z51" s="26">
        <v>-1237</v>
      </c>
    </row>
    <row r="52" spans="14:26" x14ac:dyDescent="0.3">
      <c r="N52" t="s">
        <v>92</v>
      </c>
      <c r="O52">
        <v>-345</v>
      </c>
      <c r="P52">
        <v>-415</v>
      </c>
      <c r="Q52">
        <v>-151</v>
      </c>
      <c r="R52">
        <v>-207</v>
      </c>
      <c r="S52">
        <v>-199</v>
      </c>
      <c r="T52">
        <v>-166</v>
      </c>
      <c r="U52">
        <v>-155</v>
      </c>
      <c r="V52">
        <v>-478</v>
      </c>
      <c r="W52">
        <v>-735</v>
      </c>
      <c r="X52">
        <v>-550</v>
      </c>
      <c r="Y52" s="26">
        <v>-1371</v>
      </c>
      <c r="Z52" s="26">
        <v>-1883</v>
      </c>
    </row>
    <row r="53" spans="14:26" x14ac:dyDescent="0.3">
      <c r="N53" t="s">
        <v>93</v>
      </c>
      <c r="O53">
        <v>17</v>
      </c>
      <c r="P53">
        <v>10</v>
      </c>
      <c r="Q53">
        <v>1</v>
      </c>
      <c r="R53">
        <v>94</v>
      </c>
      <c r="S53">
        <v>3</v>
      </c>
      <c r="T53">
        <v>3</v>
      </c>
      <c r="U53">
        <v>2</v>
      </c>
      <c r="V53">
        <v>4</v>
      </c>
      <c r="W53">
        <v>4</v>
      </c>
      <c r="X53">
        <v>9</v>
      </c>
      <c r="Y53">
        <v>7</v>
      </c>
      <c r="Z53">
        <v>4</v>
      </c>
    </row>
    <row r="54" spans="14:26" x14ac:dyDescent="0.3">
      <c r="N54" t="s">
        <v>94</v>
      </c>
      <c r="O54">
        <v>-145</v>
      </c>
      <c r="P54">
        <v>-80</v>
      </c>
      <c r="Q54">
        <v>-37</v>
      </c>
      <c r="R54">
        <v>-153</v>
      </c>
      <c r="S54">
        <v>-112</v>
      </c>
      <c r="T54">
        <v>-160</v>
      </c>
      <c r="U54">
        <v>-16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4:26" x14ac:dyDescent="0.3">
      <c r="N55" t="s">
        <v>95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</v>
      </c>
      <c r="Y55">
        <v>312</v>
      </c>
      <c r="Z55">
        <v>284</v>
      </c>
    </row>
    <row r="56" spans="14:26" x14ac:dyDescent="0.3">
      <c r="N56" t="s">
        <v>96</v>
      </c>
      <c r="O56">
        <v>69</v>
      </c>
      <c r="P56">
        <v>66</v>
      </c>
      <c r="Q56">
        <v>99</v>
      </c>
      <c r="R56">
        <v>126</v>
      </c>
      <c r="S56">
        <v>154</v>
      </c>
      <c r="T56">
        <v>237</v>
      </c>
      <c r="U56">
        <v>238</v>
      </c>
      <c r="V56">
        <v>148</v>
      </c>
      <c r="W56">
        <v>125</v>
      </c>
      <c r="X56">
        <v>103</v>
      </c>
      <c r="Y56">
        <v>0</v>
      </c>
      <c r="Z56">
        <v>167</v>
      </c>
    </row>
    <row r="57" spans="14:26" x14ac:dyDescent="0.3">
      <c r="N57" t="s">
        <v>97</v>
      </c>
      <c r="O57">
        <v>11</v>
      </c>
      <c r="P57">
        <v>10</v>
      </c>
      <c r="Q57">
        <v>12</v>
      </c>
      <c r="R57">
        <v>13</v>
      </c>
      <c r="S57">
        <v>16</v>
      </c>
      <c r="T57">
        <v>19</v>
      </c>
      <c r="U57">
        <v>13</v>
      </c>
      <c r="V57">
        <v>2</v>
      </c>
      <c r="W57">
        <v>0</v>
      </c>
      <c r="X57">
        <v>0</v>
      </c>
      <c r="Y57">
        <v>0</v>
      </c>
      <c r="Z57">
        <v>0</v>
      </c>
    </row>
    <row r="58" spans="14:26" x14ac:dyDescent="0.3">
      <c r="N58" t="s">
        <v>98</v>
      </c>
      <c r="O58">
        <v>-47</v>
      </c>
      <c r="P58">
        <v>-23</v>
      </c>
      <c r="Q58">
        <v>6</v>
      </c>
      <c r="R58">
        <v>1</v>
      </c>
      <c r="S58">
        <v>7</v>
      </c>
      <c r="T58">
        <v>15</v>
      </c>
      <c r="U58">
        <v>0</v>
      </c>
      <c r="V58">
        <v>3</v>
      </c>
      <c r="W58" s="26">
        <v>-1314</v>
      </c>
      <c r="X58">
        <v>20</v>
      </c>
      <c r="Y58">
        <v>126</v>
      </c>
      <c r="Z58">
        <v>190</v>
      </c>
    </row>
    <row r="59" spans="14:26" x14ac:dyDescent="0.3">
      <c r="N59" s="24" t="s">
        <v>99</v>
      </c>
      <c r="O59">
        <v>-580</v>
      </c>
      <c r="P59" s="26">
        <v>-1635</v>
      </c>
      <c r="Q59">
        <v>-498</v>
      </c>
      <c r="R59">
        <v>-666</v>
      </c>
      <c r="S59">
        <v>-997</v>
      </c>
      <c r="T59" s="26">
        <v>-1317</v>
      </c>
      <c r="U59" s="26">
        <v>-3602</v>
      </c>
      <c r="V59" s="26">
        <v>-1956</v>
      </c>
      <c r="W59" s="26">
        <v>-2020</v>
      </c>
      <c r="X59" s="26">
        <v>-2123</v>
      </c>
      <c r="Y59" s="26">
        <v>-2436</v>
      </c>
      <c r="Z59" s="26">
        <v>-3135</v>
      </c>
    </row>
    <row r="60" spans="14:26" x14ac:dyDescent="0.3">
      <c r="N60" t="s">
        <v>100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0</v>
      </c>
      <c r="Y60">
        <v>0</v>
      </c>
      <c r="Z60">
        <v>0</v>
      </c>
    </row>
    <row r="61" spans="14:26" x14ac:dyDescent="0.3">
      <c r="N61" t="s">
        <v>101</v>
      </c>
      <c r="O61">
        <v>0</v>
      </c>
      <c r="P61">
        <v>0</v>
      </c>
      <c r="Q61">
        <v>-3</v>
      </c>
      <c r="R61">
        <v>0</v>
      </c>
      <c r="S61">
        <v>0</v>
      </c>
      <c r="T61">
        <v>0</v>
      </c>
      <c r="U61">
        <v>0</v>
      </c>
      <c r="V61">
        <v>0</v>
      </c>
      <c r="W61">
        <v>-24</v>
      </c>
      <c r="X61">
        <v>0</v>
      </c>
      <c r="Y61">
        <v>0</v>
      </c>
      <c r="Z61">
        <v>0</v>
      </c>
    </row>
    <row r="62" spans="14:26" x14ac:dyDescent="0.3">
      <c r="N62" t="s">
        <v>102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4:26" x14ac:dyDescent="0.3">
      <c r="N63" t="s">
        <v>103</v>
      </c>
      <c r="O63">
        <v>-36</v>
      </c>
      <c r="P63">
        <v>-15</v>
      </c>
      <c r="Q63">
        <v>-3</v>
      </c>
      <c r="R63">
        <v>-4</v>
      </c>
      <c r="S63">
        <v>-1</v>
      </c>
      <c r="T63">
        <v>-4</v>
      </c>
      <c r="U63">
        <v>-63</v>
      </c>
      <c r="V63">
        <v>-69</v>
      </c>
      <c r="W63">
        <v>-9</v>
      </c>
      <c r="X63">
        <v>-18</v>
      </c>
      <c r="Y63">
        <v>-20</v>
      </c>
      <c r="Z63">
        <v>-26</v>
      </c>
    </row>
    <row r="64" spans="14:26" x14ac:dyDescent="0.3">
      <c r="N64" t="s">
        <v>104</v>
      </c>
      <c r="O64">
        <v>-468</v>
      </c>
      <c r="P64">
        <v>-607</v>
      </c>
      <c r="Q64">
        <v>-410</v>
      </c>
      <c r="R64">
        <v>-564</v>
      </c>
      <c r="S64">
        <v>-829</v>
      </c>
      <c r="T64" s="26">
        <v>-1090</v>
      </c>
      <c r="U64" s="26">
        <v>-2950</v>
      </c>
      <c r="V64" s="26">
        <v>-1890</v>
      </c>
      <c r="W64" s="26">
        <v>-1928</v>
      </c>
      <c r="X64" s="26">
        <v>-2025</v>
      </c>
      <c r="Y64" s="26">
        <v>-2333</v>
      </c>
      <c r="Z64" s="26">
        <v>-3008</v>
      </c>
    </row>
    <row r="65" spans="14:26" x14ac:dyDescent="0.3">
      <c r="N65" t="s">
        <v>105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-79</v>
      </c>
      <c r="X65">
        <v>-73</v>
      </c>
      <c r="Y65">
        <v>-166</v>
      </c>
      <c r="Z65">
        <v>-100</v>
      </c>
    </row>
    <row r="66" spans="14:26" x14ac:dyDescent="0.3">
      <c r="N66" t="s">
        <v>106</v>
      </c>
      <c r="O66">
        <v>-76</v>
      </c>
      <c r="P66" s="26">
        <v>-1017</v>
      </c>
      <c r="Q66">
        <v>-82</v>
      </c>
      <c r="R66">
        <v>-98</v>
      </c>
      <c r="S66">
        <v>-167</v>
      </c>
      <c r="T66">
        <v>-224</v>
      </c>
      <c r="U66">
        <v>-588</v>
      </c>
      <c r="V66">
        <v>3</v>
      </c>
      <c r="W66">
        <v>-3</v>
      </c>
      <c r="X66">
        <v>-7</v>
      </c>
      <c r="Y66">
        <v>83</v>
      </c>
      <c r="Z66">
        <v>-1</v>
      </c>
    </row>
    <row r="67" spans="14:26" x14ac:dyDescent="0.3">
      <c r="N67" t="s">
        <v>39</v>
      </c>
      <c r="O67">
        <v>775</v>
      </c>
      <c r="P67">
        <v>-423</v>
      </c>
      <c r="Q67">
        <v>529</v>
      </c>
      <c r="R67">
        <v>674</v>
      </c>
      <c r="S67">
        <v>691</v>
      </c>
      <c r="T67">
        <v>683</v>
      </c>
      <c r="U67" s="26">
        <v>-1223</v>
      </c>
      <c r="V67">
        <v>177</v>
      </c>
      <c r="W67" s="26">
        <v>-1704</v>
      </c>
      <c r="X67">
        <v>223</v>
      </c>
      <c r="Y67">
        <v>29</v>
      </c>
      <c r="Z67">
        <v>-198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0D26-997C-4B00-AE42-12EF6346228B}">
  <dimension ref="A2:M102"/>
  <sheetViews>
    <sheetView showGridLines="0" workbookViewId="0">
      <pane ySplit="3" topLeftCell="A42" activePane="bottomLeft" state="frozen"/>
      <selection pane="bottomLeft" activeCell="R72" sqref="R72"/>
    </sheetView>
  </sheetViews>
  <sheetFormatPr defaultRowHeight="14.4" outlineLevelRow="1" x14ac:dyDescent="0.3"/>
  <cols>
    <col min="1" max="1" width="1.88671875" customWidth="1"/>
    <col min="2" max="2" width="26.109375" customWidth="1"/>
    <col min="3" max="3" width="10" customWidth="1"/>
    <col min="4" max="11" width="9.77734375" customWidth="1"/>
    <col min="12" max="12" width="10.44140625" customWidth="1"/>
    <col min="13" max="13" width="10.109375" customWidth="1"/>
  </cols>
  <sheetData>
    <row r="2" spans="1:13" x14ac:dyDescent="0.3">
      <c r="B2" s="127" t="str">
        <f>"Historical Financial Statement - "&amp;'Nestle Data'!B1</f>
        <v>Historical Financial Statement - Nestle India Ltd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1:13" x14ac:dyDescent="0.3">
      <c r="B3" s="12" t="s">
        <v>48</v>
      </c>
      <c r="C3" s="13">
        <f>'Nestle Data'!C4</f>
        <v>42369</v>
      </c>
      <c r="D3" s="13">
        <f>'Nestle Data'!D4</f>
        <v>42735</v>
      </c>
      <c r="E3" s="13">
        <f>'Nestle Data'!E4</f>
        <v>43100</v>
      </c>
      <c r="F3" s="13">
        <f>'Nestle Data'!F4</f>
        <v>43465</v>
      </c>
      <c r="G3" s="13">
        <f>'Nestle Data'!G4</f>
        <v>43830</v>
      </c>
      <c r="H3" s="13">
        <f>'Nestle Data'!H4</f>
        <v>44196</v>
      </c>
      <c r="I3" s="13">
        <f>'Nestle Data'!I4</f>
        <v>44561</v>
      </c>
      <c r="J3" s="13">
        <f>'Nestle Data'!J4</f>
        <v>44926</v>
      </c>
      <c r="K3" s="13">
        <f>'Nestle Data'!K4</f>
        <v>45291</v>
      </c>
      <c r="L3" s="13">
        <f>'Nestle Data'!L4</f>
        <v>45382</v>
      </c>
      <c r="M3" s="14" t="s">
        <v>49</v>
      </c>
    </row>
    <row r="4" spans="1:13" ht="6" customHeight="1" x14ac:dyDescent="0.3"/>
    <row r="5" spans="1:13" x14ac:dyDescent="0.3">
      <c r="A5" t="s">
        <v>50</v>
      </c>
      <c r="B5" s="19" t="s">
        <v>51</v>
      </c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outlineLevel="1" x14ac:dyDescent="0.3">
      <c r="B6" t="s">
        <v>2</v>
      </c>
      <c r="C6" s="15">
        <f>IFERROR('Nestle Data'!C5,0)</f>
        <v>8175.31</v>
      </c>
      <c r="D6" s="15">
        <f>IFERROR('Nestle Data'!D5,0)</f>
        <v>9141.34</v>
      </c>
      <c r="E6" s="15">
        <f>IFERROR('Nestle Data'!E5,0)</f>
        <v>10009.6</v>
      </c>
      <c r="F6" s="15">
        <f>IFERROR('Nestle Data'!F5,0)</f>
        <v>11292.27</v>
      </c>
      <c r="G6" s="15">
        <f>IFERROR('Nestle Data'!G5,0)</f>
        <v>12368.9</v>
      </c>
      <c r="H6" s="15">
        <f>IFERROR('Nestle Data'!H5,0)</f>
        <v>13350.03</v>
      </c>
      <c r="I6" s="15">
        <f>IFERROR('Nestle Data'!I5,0)</f>
        <v>14740.59</v>
      </c>
      <c r="J6" s="15">
        <f>IFERROR('Nestle Data'!J5,0)</f>
        <v>16896.96</v>
      </c>
      <c r="K6" s="15">
        <f>IFERROR('Nestle Data'!K5,0)</f>
        <v>19126.3</v>
      </c>
      <c r="L6" s="15">
        <f>IFERROR('Nestle Data'!L5,0)</f>
        <v>24393.89</v>
      </c>
      <c r="M6" s="15">
        <f>IFERROR(SUM('Nestle Data'!I25:L25),0)</f>
        <v>19965.27</v>
      </c>
    </row>
    <row r="7" spans="1:13" outlineLevel="1" x14ac:dyDescent="0.3">
      <c r="B7" s="16" t="s">
        <v>52</v>
      </c>
      <c r="C7" s="16"/>
      <c r="D7" s="17">
        <f>D6/C6-1</f>
        <v>0.11816432649037156</v>
      </c>
      <c r="E7" s="17">
        <f t="shared" ref="E7:M7" si="0">E6/D6-1</f>
        <v>9.4981698525599123E-2</v>
      </c>
      <c r="F7" s="17">
        <f t="shared" si="0"/>
        <v>0.12814398177749364</v>
      </c>
      <c r="G7" s="17">
        <f t="shared" si="0"/>
        <v>9.5342211973323376E-2</v>
      </c>
      <c r="H7" s="17">
        <f t="shared" si="0"/>
        <v>7.932233262456645E-2</v>
      </c>
      <c r="I7" s="17">
        <f t="shared" si="0"/>
        <v>0.10416156368187934</v>
      </c>
      <c r="J7" s="17">
        <f t="shared" si="0"/>
        <v>0.14628790299438488</v>
      </c>
      <c r="K7" s="17">
        <f t="shared" si="0"/>
        <v>0.13193734257523237</v>
      </c>
      <c r="L7" s="17">
        <f t="shared" si="0"/>
        <v>0.27541082174806419</v>
      </c>
      <c r="M7" s="17">
        <f t="shared" si="0"/>
        <v>-0.18154628064650613</v>
      </c>
    </row>
    <row r="8" spans="1:13" outlineLevel="1" x14ac:dyDescent="0.3"/>
    <row r="9" spans="1:13" outlineLevel="1" x14ac:dyDescent="0.3">
      <c r="B9" t="s">
        <v>53</v>
      </c>
      <c r="C9" s="15">
        <f>SUM('Nestle Data'!C6,'Nestle Data'!C8:C10,('Nestle Data'!C7))</f>
        <v>4750.32</v>
      </c>
      <c r="D9" s="15">
        <f>SUM('Nestle Data'!D6,'Nestle Data'!D8:D10,('Nestle Data'!D7))</f>
        <v>5220.13</v>
      </c>
      <c r="E9" s="15">
        <f>SUM('Nestle Data'!E6,'Nestle Data'!E8:E10,('Nestle Data'!E7))</f>
        <v>5980.28</v>
      </c>
      <c r="F9" s="15">
        <f>SUM('Nestle Data'!F6,'Nestle Data'!F8:F10,('Nestle Data'!F7))</f>
        <v>6253.42</v>
      </c>
      <c r="G9" s="15">
        <f>SUM('Nestle Data'!G6,'Nestle Data'!G8:G10,('Nestle Data'!G7))</f>
        <v>7292.3499999999995</v>
      </c>
      <c r="H9" s="15">
        <f>SUM('Nestle Data'!H6,'Nestle Data'!H8:H10,('Nestle Data'!H7))</f>
        <v>7826.0599999999995</v>
      </c>
      <c r="I9" s="15">
        <f>SUM('Nestle Data'!I6,'Nestle Data'!I8:I10,('Nestle Data'!I7))</f>
        <v>8656.3300000000017</v>
      </c>
      <c r="J9" s="15">
        <f>SUM('Nestle Data'!J6,'Nestle Data'!J8:J10,('Nestle Data'!J7))</f>
        <v>10722.240000000002</v>
      </c>
      <c r="K9" s="15">
        <f>SUM('Nestle Data'!K6,'Nestle Data'!K8:K10,('Nestle Data'!K7))</f>
        <v>10361.91</v>
      </c>
      <c r="L9" s="15">
        <f>SUM('Nestle Data'!L6,'Nestle Data'!L8:L10,('Nestle Data'!L7))</f>
        <v>14193.08</v>
      </c>
      <c r="M9" s="15">
        <f>SUM('Nestle Data'!I26:L26)</f>
        <v>15249.46</v>
      </c>
    </row>
    <row r="10" spans="1:13" outlineLevel="1" x14ac:dyDescent="0.3">
      <c r="B10" s="16" t="s">
        <v>54</v>
      </c>
      <c r="C10" s="17">
        <f t="shared" ref="C10:M10" si="1">C9/C6</f>
        <v>0.58105686512193411</v>
      </c>
      <c r="D10" s="17">
        <f t="shared" si="1"/>
        <v>0.57104647677473985</v>
      </c>
      <c r="E10" s="17">
        <f t="shared" si="1"/>
        <v>0.59745444373401535</v>
      </c>
      <c r="F10" s="17">
        <f t="shared" si="1"/>
        <v>0.55377882392114253</v>
      </c>
      <c r="G10" s="17">
        <f t="shared" si="1"/>
        <v>0.58957142510651717</v>
      </c>
      <c r="H10" s="17">
        <f t="shared" si="1"/>
        <v>0.58622040549721599</v>
      </c>
      <c r="I10" s="17">
        <f t="shared" si="1"/>
        <v>0.58724447257538548</v>
      </c>
      <c r="J10" s="17">
        <f t="shared" si="1"/>
        <v>0.63456621782853262</v>
      </c>
      <c r="K10" s="17">
        <f t="shared" si="1"/>
        <v>0.54176239000747661</v>
      </c>
      <c r="L10" s="17">
        <f t="shared" si="1"/>
        <v>0.58182930233759356</v>
      </c>
      <c r="M10" s="17">
        <f t="shared" si="1"/>
        <v>0.7637993375496549</v>
      </c>
    </row>
    <row r="11" spans="1:13" outlineLevel="1" x14ac:dyDescent="0.3"/>
    <row r="12" spans="1:13" outlineLevel="1" x14ac:dyDescent="0.3">
      <c r="B12" s="24" t="s">
        <v>55</v>
      </c>
      <c r="C12" s="30">
        <f t="shared" ref="C12:M12" si="2">IFERROR(C6-C9,0)</f>
        <v>3424.9900000000007</v>
      </c>
      <c r="D12" s="30">
        <f t="shared" si="2"/>
        <v>3921.21</v>
      </c>
      <c r="E12" s="30">
        <f t="shared" si="2"/>
        <v>4029.3200000000006</v>
      </c>
      <c r="F12" s="30">
        <f t="shared" si="2"/>
        <v>5038.8500000000004</v>
      </c>
      <c r="G12" s="30">
        <f t="shared" si="2"/>
        <v>5076.55</v>
      </c>
      <c r="H12" s="30">
        <f t="shared" si="2"/>
        <v>5523.9700000000012</v>
      </c>
      <c r="I12" s="30">
        <f t="shared" si="2"/>
        <v>6084.2599999999984</v>
      </c>
      <c r="J12" s="30">
        <f t="shared" si="2"/>
        <v>6174.7199999999975</v>
      </c>
      <c r="K12" s="30">
        <f t="shared" si="2"/>
        <v>8764.39</v>
      </c>
      <c r="L12" s="30">
        <f t="shared" si="2"/>
        <v>10200.81</v>
      </c>
      <c r="M12" s="30">
        <f t="shared" si="2"/>
        <v>4715.8100000000013</v>
      </c>
    </row>
    <row r="13" spans="1:13" outlineLevel="1" x14ac:dyDescent="0.3">
      <c r="B13" s="16" t="s">
        <v>56</v>
      </c>
      <c r="C13" s="17">
        <f t="shared" ref="C13:M13" si="3">C12/C6</f>
        <v>0.41894313487806584</v>
      </c>
      <c r="D13" s="17">
        <f t="shared" si="3"/>
        <v>0.4289535232252602</v>
      </c>
      <c r="E13" s="17">
        <f t="shared" si="3"/>
        <v>0.40254555626598471</v>
      </c>
      <c r="F13" s="17">
        <f t="shared" si="3"/>
        <v>0.44622117607885747</v>
      </c>
      <c r="G13" s="17">
        <f t="shared" si="3"/>
        <v>0.41042857489348289</v>
      </c>
      <c r="H13" s="17">
        <f t="shared" si="3"/>
        <v>0.41377959450278395</v>
      </c>
      <c r="I13" s="17">
        <f t="shared" si="3"/>
        <v>0.41275552742461452</v>
      </c>
      <c r="J13" s="17">
        <f t="shared" si="3"/>
        <v>0.36543378217146738</v>
      </c>
      <c r="K13" s="17">
        <f t="shared" si="3"/>
        <v>0.45823760999252339</v>
      </c>
      <c r="L13" s="17">
        <f t="shared" si="3"/>
        <v>0.41817069766240644</v>
      </c>
      <c r="M13" s="17">
        <f t="shared" si="3"/>
        <v>0.23620066245034507</v>
      </c>
    </row>
    <row r="14" spans="1:13" outlineLevel="1" x14ac:dyDescent="0.3"/>
    <row r="15" spans="1:13" outlineLevel="1" x14ac:dyDescent="0.3">
      <c r="B15" t="s">
        <v>57</v>
      </c>
      <c r="C15" s="15">
        <f>IFERROR(SUM('Nestle Data'!C11:C12),0)</f>
        <v>1846.1200000000001</v>
      </c>
      <c r="D15" s="15">
        <f>IFERROR(SUM('Nestle Data'!D11:D12),0)</f>
        <v>2086.69</v>
      </c>
      <c r="E15" s="15">
        <f>IFERROR(SUM('Nestle Data'!E11:E12),0)</f>
        <v>2091.91</v>
      </c>
      <c r="F15" s="15">
        <f>IFERROR(SUM('Nestle Data'!F11:F12),0)</f>
        <v>2433.2200000000003</v>
      </c>
      <c r="G15" s="15">
        <f>IFERROR(SUM('Nestle Data'!G11:G12),0)</f>
        <v>2439.0500000000002</v>
      </c>
      <c r="H15" s="15">
        <f>IFERROR(SUM('Nestle Data'!H11:H12),0)</f>
        <v>2461.13</v>
      </c>
      <c r="I15" s="15">
        <f>IFERROR(SUM('Nestle Data'!I11:I12),0)</f>
        <v>2657.04</v>
      </c>
      <c r="J15" s="15">
        <f>IFERROR(SUM('Nestle Data'!J11:J12),0)</f>
        <v>2968.9700000000003</v>
      </c>
      <c r="K15" s="15">
        <f>IFERROR(SUM('Nestle Data'!K11:K12),0)</f>
        <v>4373.42</v>
      </c>
      <c r="L15" s="15">
        <f>IFERROR(SUM('Nestle Data'!L11:L12),0)</f>
        <v>4479.0199999999995</v>
      </c>
    </row>
    <row r="16" spans="1:13" outlineLevel="1" x14ac:dyDescent="0.3">
      <c r="B16" s="16" t="s">
        <v>58</v>
      </c>
      <c r="C16" s="17">
        <f>C15/C6</f>
        <v>0.22581651337992076</v>
      </c>
      <c r="D16" s="17">
        <f t="shared" ref="D16:L16" si="4">D15/D6</f>
        <v>0.22826959723629139</v>
      </c>
      <c r="E16" s="17">
        <f t="shared" si="4"/>
        <v>0.20899036924552428</v>
      </c>
      <c r="F16" s="17">
        <f t="shared" si="4"/>
        <v>0.21547660479248196</v>
      </c>
      <c r="G16" s="17">
        <f t="shared" si="4"/>
        <v>0.19719215128265247</v>
      </c>
      <c r="H16" s="17">
        <f t="shared" si="4"/>
        <v>0.18435389283769399</v>
      </c>
      <c r="I16" s="17">
        <f t="shared" si="4"/>
        <v>0.18025330058023456</v>
      </c>
      <c r="J16" s="17">
        <f t="shared" si="4"/>
        <v>0.17571030528568454</v>
      </c>
      <c r="K16" s="17">
        <f t="shared" si="4"/>
        <v>0.22866001265273472</v>
      </c>
      <c r="L16" s="17">
        <f t="shared" si="4"/>
        <v>0.18361237178654161</v>
      </c>
    </row>
    <row r="17" spans="2:13" outlineLevel="1" x14ac:dyDescent="0.3"/>
    <row r="18" spans="2:13" outlineLevel="1" x14ac:dyDescent="0.3">
      <c r="B18" s="24" t="s">
        <v>59</v>
      </c>
      <c r="C18" s="30">
        <f>C12-C15</f>
        <v>1578.8700000000006</v>
      </c>
      <c r="D18" s="30">
        <f t="shared" ref="D18:L18" si="5">D12-D15</f>
        <v>1834.52</v>
      </c>
      <c r="E18" s="30">
        <f t="shared" si="5"/>
        <v>1937.4100000000008</v>
      </c>
      <c r="F18" s="30">
        <f t="shared" si="5"/>
        <v>2605.63</v>
      </c>
      <c r="G18" s="30">
        <f t="shared" si="5"/>
        <v>2637.5</v>
      </c>
      <c r="H18" s="30">
        <f t="shared" si="5"/>
        <v>3062.8400000000011</v>
      </c>
      <c r="I18" s="30">
        <f t="shared" si="5"/>
        <v>3427.2199999999984</v>
      </c>
      <c r="J18" s="30">
        <f t="shared" si="5"/>
        <v>3205.7499999999973</v>
      </c>
      <c r="K18" s="30">
        <f t="shared" si="5"/>
        <v>4390.9699999999993</v>
      </c>
      <c r="L18" s="30">
        <f t="shared" si="5"/>
        <v>5721.79</v>
      </c>
      <c r="M18" s="30">
        <f>SUM('Nestle Data'!I34:L34)</f>
        <v>5093.88</v>
      </c>
    </row>
    <row r="19" spans="2:13" outlineLevel="1" x14ac:dyDescent="0.3">
      <c r="B19" s="16" t="s">
        <v>61</v>
      </c>
      <c r="C19" s="17">
        <f>C18/C6</f>
        <v>0.19312662149814508</v>
      </c>
      <c r="D19" s="17">
        <f t="shared" ref="D19:M19" si="6">D18/D6</f>
        <v>0.20068392598896878</v>
      </c>
      <c r="E19" s="17">
        <f t="shared" si="6"/>
        <v>0.19355518702046043</v>
      </c>
      <c r="F19" s="17">
        <f t="shared" si="6"/>
        <v>0.23074457128637554</v>
      </c>
      <c r="G19" s="17">
        <f t="shared" si="6"/>
        <v>0.21323642361083039</v>
      </c>
      <c r="H19" s="17">
        <f t="shared" si="6"/>
        <v>0.22942570166508996</v>
      </c>
      <c r="I19" s="17">
        <f t="shared" si="6"/>
        <v>0.23250222684437993</v>
      </c>
      <c r="J19" s="17">
        <f t="shared" si="6"/>
        <v>0.18972347688578287</v>
      </c>
      <c r="K19" s="17">
        <f t="shared" si="6"/>
        <v>0.22957759733978864</v>
      </c>
      <c r="L19" s="17">
        <f t="shared" si="6"/>
        <v>0.23455832587586481</v>
      </c>
      <c r="M19" s="17">
        <f t="shared" si="6"/>
        <v>0.25513704547947513</v>
      </c>
    </row>
    <row r="20" spans="2:13" outlineLevel="1" x14ac:dyDescent="0.3"/>
    <row r="21" spans="2:13" outlineLevel="1" x14ac:dyDescent="0.3">
      <c r="B21" t="s">
        <v>12</v>
      </c>
      <c r="C21" s="15">
        <f>'Nestle Data'!C15</f>
        <v>3.29</v>
      </c>
      <c r="D21" s="15">
        <f>'Nestle Data'!D15</f>
        <v>90.91</v>
      </c>
      <c r="E21" s="15">
        <f>'Nestle Data'!E15</f>
        <v>91.9</v>
      </c>
      <c r="F21" s="15">
        <f>'Nestle Data'!F15</f>
        <v>111.95</v>
      </c>
      <c r="G21" s="15">
        <f>'Nestle Data'!G15</f>
        <v>129.12</v>
      </c>
      <c r="H21" s="15">
        <f>'Nestle Data'!H15</f>
        <v>164.18</v>
      </c>
      <c r="I21" s="15">
        <f>'Nestle Data'!I15</f>
        <v>201.68</v>
      </c>
      <c r="J21" s="15">
        <f>'Nestle Data'!J15</f>
        <v>154.57</v>
      </c>
      <c r="K21" s="15">
        <f>'Nestle Data'!K15</f>
        <v>119.29</v>
      </c>
      <c r="L21" s="15">
        <f>'Nestle Data'!L15</f>
        <v>145.49</v>
      </c>
      <c r="M21" s="15">
        <f>SUM('Nestle Data'!I29:L29)</f>
        <v>124.69999999999999</v>
      </c>
    </row>
    <row r="22" spans="2:13" outlineLevel="1" x14ac:dyDescent="0.3">
      <c r="B22" s="17" t="s">
        <v>62</v>
      </c>
      <c r="C22" s="17">
        <f>C21/C6</f>
        <v>4.0243122279155162E-4</v>
      </c>
      <c r="D22" s="17">
        <f t="shared" ref="D22:M22" si="7">D21/D6</f>
        <v>9.9449314870686343E-3</v>
      </c>
      <c r="E22" s="17">
        <f t="shared" si="7"/>
        <v>9.1811860613810747E-3</v>
      </c>
      <c r="F22" s="17">
        <f t="shared" si="7"/>
        <v>9.9138614291015004E-3</v>
      </c>
      <c r="G22" s="17">
        <f t="shared" si="7"/>
        <v>1.0439085124788786E-2</v>
      </c>
      <c r="H22" s="17">
        <f t="shared" si="7"/>
        <v>1.2298099704644858E-2</v>
      </c>
      <c r="I22" s="17">
        <f t="shared" si="7"/>
        <v>1.3681948958623773E-2</v>
      </c>
      <c r="J22" s="17">
        <f t="shared" si="7"/>
        <v>9.1477993674601819E-3</v>
      </c>
      <c r="K22" s="17">
        <f t="shared" si="7"/>
        <v>6.2369616705792554E-3</v>
      </c>
      <c r="L22" s="17">
        <f t="shared" si="7"/>
        <v>5.9641984119793937E-3</v>
      </c>
      <c r="M22" s="17">
        <f t="shared" si="7"/>
        <v>6.2458459114251895E-3</v>
      </c>
    </row>
    <row r="23" spans="2:13" outlineLevel="1" x14ac:dyDescent="0.3"/>
    <row r="24" spans="2:13" outlineLevel="1" x14ac:dyDescent="0.3">
      <c r="B24" t="s">
        <v>11</v>
      </c>
      <c r="C24" s="15">
        <f>'Nestle Data'!C14</f>
        <v>347.26</v>
      </c>
      <c r="D24" s="15">
        <f>'Nestle Data'!D14</f>
        <v>353.67</v>
      </c>
      <c r="E24" s="15">
        <f>'Nestle Data'!E14</f>
        <v>342.25</v>
      </c>
      <c r="F24" s="15">
        <f>'Nestle Data'!F14</f>
        <v>335.67</v>
      </c>
      <c r="G24" s="15">
        <f>'Nestle Data'!G14</f>
        <v>370.15</v>
      </c>
      <c r="H24" s="15">
        <f>'Nestle Data'!H14</f>
        <v>370.38</v>
      </c>
      <c r="I24" s="15">
        <f>'Nestle Data'!I14</f>
        <v>391.02</v>
      </c>
      <c r="J24" s="15">
        <f>'Nestle Data'!J14</f>
        <v>403.01</v>
      </c>
      <c r="K24" s="15">
        <f>'Nestle Data'!K14</f>
        <v>428.91</v>
      </c>
      <c r="L24" s="15">
        <f>'Nestle Data'!L14</f>
        <v>537.78</v>
      </c>
      <c r="M24" s="15">
        <f>SUM('Nestle Data'!I28:L28)</f>
        <v>475.68999999999994</v>
      </c>
    </row>
    <row r="25" spans="2:13" outlineLevel="1" x14ac:dyDescent="0.3">
      <c r="B25" s="17" t="s">
        <v>63</v>
      </c>
      <c r="C25" s="17">
        <f>C24/C6</f>
        <v>4.2476676725408571E-2</v>
      </c>
      <c r="D25" s="17">
        <f t="shared" ref="D25:M25" si="8">D24/D6</f>
        <v>3.8689076218585021E-2</v>
      </c>
      <c r="E25" s="17">
        <f t="shared" si="8"/>
        <v>3.4192175511508952E-2</v>
      </c>
      <c r="F25" s="17">
        <f t="shared" si="8"/>
        <v>2.9725644179602505E-2</v>
      </c>
      <c r="G25" s="17">
        <f t="shared" si="8"/>
        <v>2.9925862445326586E-2</v>
      </c>
      <c r="H25" s="17">
        <f t="shared" si="8"/>
        <v>2.7743757879195776E-2</v>
      </c>
      <c r="I25" s="17">
        <f t="shared" si="8"/>
        <v>2.6526753678109218E-2</v>
      </c>
      <c r="J25" s="17">
        <f t="shared" si="8"/>
        <v>2.3851035925989056E-2</v>
      </c>
      <c r="K25" s="17">
        <f t="shared" si="8"/>
        <v>2.2425142343265557E-2</v>
      </c>
      <c r="L25" s="17">
        <f t="shared" si="8"/>
        <v>2.2045684390640443E-2</v>
      </c>
      <c r="M25" s="17">
        <f t="shared" si="8"/>
        <v>2.3825873629557723E-2</v>
      </c>
    </row>
    <row r="26" spans="2:13" outlineLevel="1" x14ac:dyDescent="0.3"/>
    <row r="27" spans="2:13" outlineLevel="1" x14ac:dyDescent="0.3">
      <c r="B27" s="24" t="s">
        <v>64</v>
      </c>
      <c r="C27" s="30">
        <f>C18-SUM(C24,C21)</f>
        <v>1228.3200000000006</v>
      </c>
      <c r="D27" s="30">
        <f t="shared" ref="D27:M27" si="9">D18-SUM(D24,D21)</f>
        <v>1389.94</v>
      </c>
      <c r="E27" s="30">
        <f t="shared" si="9"/>
        <v>1503.2600000000007</v>
      </c>
      <c r="F27" s="30">
        <f t="shared" si="9"/>
        <v>2158.0100000000002</v>
      </c>
      <c r="G27" s="30">
        <f t="shared" si="9"/>
        <v>2138.23</v>
      </c>
      <c r="H27" s="30">
        <f t="shared" si="9"/>
        <v>2528.2800000000011</v>
      </c>
      <c r="I27" s="30">
        <f t="shared" si="9"/>
        <v>2834.5199999999986</v>
      </c>
      <c r="J27" s="30">
        <f t="shared" si="9"/>
        <v>2648.1699999999973</v>
      </c>
      <c r="K27" s="30">
        <f t="shared" si="9"/>
        <v>3842.7699999999995</v>
      </c>
      <c r="L27" s="30">
        <f t="shared" si="9"/>
        <v>5038.5200000000004</v>
      </c>
      <c r="M27" s="30">
        <f t="shared" si="9"/>
        <v>4493.49</v>
      </c>
    </row>
    <row r="28" spans="2:13" outlineLevel="1" x14ac:dyDescent="0.3">
      <c r="B28" s="17" t="s">
        <v>65</v>
      </c>
      <c r="C28" s="17">
        <f>C27/C6</f>
        <v>0.15024751354994495</v>
      </c>
      <c r="D28" s="17">
        <f t="shared" ref="D28:M28" si="10">D27/D6</f>
        <v>0.15204991828331513</v>
      </c>
      <c r="E28" s="17">
        <f t="shared" si="10"/>
        <v>0.15018182544757039</v>
      </c>
      <c r="F28" s="17">
        <f t="shared" si="10"/>
        <v>0.19110506567767155</v>
      </c>
      <c r="G28" s="17">
        <f t="shared" si="10"/>
        <v>0.17287147604071504</v>
      </c>
      <c r="H28" s="17">
        <f t="shared" si="10"/>
        <v>0.18938384408124934</v>
      </c>
      <c r="I28" s="17">
        <f t="shared" si="10"/>
        <v>0.19229352420764695</v>
      </c>
      <c r="J28" s="17">
        <f t="shared" si="10"/>
        <v>0.15672464159233362</v>
      </c>
      <c r="K28" s="17">
        <f t="shared" si="10"/>
        <v>0.20091549332594383</v>
      </c>
      <c r="L28" s="17">
        <f t="shared" si="10"/>
        <v>0.20654844307324499</v>
      </c>
      <c r="M28" s="17">
        <f t="shared" si="10"/>
        <v>0.22506532593849218</v>
      </c>
    </row>
    <row r="29" spans="2:13" outlineLevel="1" x14ac:dyDescent="0.3"/>
    <row r="30" spans="2:13" outlineLevel="1" x14ac:dyDescent="0.3">
      <c r="B30" t="s">
        <v>14</v>
      </c>
      <c r="C30" s="15">
        <f>'Nestle Data'!C17</f>
        <v>250.36</v>
      </c>
      <c r="D30" s="15">
        <f>'Nestle Data'!D17</f>
        <v>544.02</v>
      </c>
      <c r="E30" s="15">
        <f>'Nestle Data'!E17</f>
        <v>614.11</v>
      </c>
      <c r="F30" s="15">
        <f>'Nestle Data'!F17</f>
        <v>822.02</v>
      </c>
      <c r="G30" s="15">
        <f>'Nestle Data'!G17</f>
        <v>705.05</v>
      </c>
      <c r="H30" s="15">
        <f>'Nestle Data'!H17</f>
        <v>730.36</v>
      </c>
      <c r="I30" s="15">
        <f>'Nestle Data'!I17</f>
        <v>738.91</v>
      </c>
      <c r="J30" s="15">
        <f>'Nestle Data'!J17</f>
        <v>865.45</v>
      </c>
      <c r="K30" s="15">
        <f>'Nestle Data'!K17</f>
        <v>1039.6199999999999</v>
      </c>
      <c r="L30" s="15">
        <f>'Nestle Data'!L17</f>
        <v>1356.03</v>
      </c>
      <c r="M30" s="15">
        <f>SUM('Nestle Data'!I31:L31)</f>
        <v>1130.23</v>
      </c>
    </row>
    <row r="31" spans="2:13" outlineLevel="1" x14ac:dyDescent="0.3">
      <c r="B31" s="17" t="s">
        <v>66</v>
      </c>
      <c r="C31" s="17">
        <f>C30/C27</f>
        <v>0.20382310798488984</v>
      </c>
      <c r="D31" s="17">
        <f t="shared" ref="D31:M31" si="11">D30/D27</f>
        <v>0.39139818984992153</v>
      </c>
      <c r="E31" s="17">
        <f t="shared" si="11"/>
        <v>0.40851881909982285</v>
      </c>
      <c r="F31" s="17">
        <f t="shared" si="11"/>
        <v>0.38091575108549075</v>
      </c>
      <c r="G31" s="17">
        <f t="shared" si="11"/>
        <v>0.32973534184816411</v>
      </c>
      <c r="H31" s="17">
        <f t="shared" si="11"/>
        <v>0.2888762320629043</v>
      </c>
      <c r="I31" s="17">
        <f t="shared" si="11"/>
        <v>0.26068258470569983</v>
      </c>
      <c r="J31" s="17">
        <f t="shared" si="11"/>
        <v>0.32681058995457274</v>
      </c>
      <c r="K31" s="17">
        <f t="shared" si="11"/>
        <v>0.27053922040611328</v>
      </c>
      <c r="L31" s="17">
        <f t="shared" si="11"/>
        <v>0.2691326024308725</v>
      </c>
      <c r="M31" s="17">
        <f t="shared" si="11"/>
        <v>0.25152609664203102</v>
      </c>
    </row>
    <row r="32" spans="2:13" outlineLevel="1" x14ac:dyDescent="0.3"/>
    <row r="33" spans="1:13" outlineLevel="1" x14ac:dyDescent="0.3">
      <c r="B33" s="24" t="s">
        <v>67</v>
      </c>
      <c r="C33" s="30">
        <f>C27-C30</f>
        <v>977.9600000000006</v>
      </c>
      <c r="D33" s="30">
        <f t="shared" ref="D33:M33" si="12">D27-D30</f>
        <v>845.92000000000007</v>
      </c>
      <c r="E33" s="30">
        <f t="shared" si="12"/>
        <v>889.15000000000066</v>
      </c>
      <c r="F33" s="30">
        <f t="shared" si="12"/>
        <v>1335.9900000000002</v>
      </c>
      <c r="G33" s="30">
        <f t="shared" si="12"/>
        <v>1433.18</v>
      </c>
      <c r="H33" s="30">
        <f t="shared" si="12"/>
        <v>1797.920000000001</v>
      </c>
      <c r="I33" s="30">
        <f t="shared" si="12"/>
        <v>2095.6099999999988</v>
      </c>
      <c r="J33" s="30">
        <f t="shared" si="12"/>
        <v>1782.7199999999973</v>
      </c>
      <c r="K33" s="30">
        <f t="shared" si="12"/>
        <v>2803.1499999999996</v>
      </c>
      <c r="L33" s="30">
        <f t="shared" si="12"/>
        <v>3682.4900000000007</v>
      </c>
      <c r="M33" s="30">
        <f t="shared" si="12"/>
        <v>3363.2599999999998</v>
      </c>
    </row>
    <row r="34" spans="1:13" outlineLevel="1" x14ac:dyDescent="0.3">
      <c r="B34" s="17" t="s">
        <v>68</v>
      </c>
      <c r="C34" s="17">
        <f>C33/C6</f>
        <v>0.11962359837119334</v>
      </c>
      <c r="D34" s="17">
        <f t="shared" ref="D34:M34" si="13">D33/D6</f>
        <v>9.2537855500397101E-2</v>
      </c>
      <c r="E34" s="17">
        <f t="shared" si="13"/>
        <v>8.8829723465473215E-2</v>
      </c>
      <c r="F34" s="17">
        <f t="shared" si="13"/>
        <v>0.11831013604881925</v>
      </c>
      <c r="G34" s="17">
        <f t="shared" si="13"/>
        <v>0.11586964079263315</v>
      </c>
      <c r="H34" s="17">
        <f t="shared" si="13"/>
        <v>0.13467535278946946</v>
      </c>
      <c r="I34" s="17">
        <f t="shared" si="13"/>
        <v>0.14216595129502949</v>
      </c>
      <c r="J34" s="17">
        <f t="shared" si="13"/>
        <v>0.1055053690131241</v>
      </c>
      <c r="K34" s="17">
        <f t="shared" si="13"/>
        <v>0.14655997239403334</v>
      </c>
      <c r="L34" s="17">
        <f t="shared" si="13"/>
        <v>0.15095952306089766</v>
      </c>
      <c r="M34" s="17">
        <f t="shared" si="13"/>
        <v>0.16845552301571678</v>
      </c>
    </row>
    <row r="35" spans="1:13" outlineLevel="1" x14ac:dyDescent="0.3"/>
    <row r="36" spans="1:13" outlineLevel="1" x14ac:dyDescent="0.3">
      <c r="B36" t="s">
        <v>69</v>
      </c>
      <c r="C36">
        <f>'Nestle Data'!O37</f>
        <v>96.42</v>
      </c>
      <c r="D36">
        <f>'Nestle Data'!P37</f>
        <v>96.42</v>
      </c>
      <c r="E36">
        <f>'Nestle Data'!Q37</f>
        <v>96.42</v>
      </c>
      <c r="F36">
        <f>'Nestle Data'!R37</f>
        <v>96.42</v>
      </c>
      <c r="G36">
        <f>'Nestle Data'!S37</f>
        <v>96.42</v>
      </c>
      <c r="H36">
        <f>'Nestle Data'!T37</f>
        <v>96.42</v>
      </c>
      <c r="I36">
        <f>'Nestle Data'!U37</f>
        <v>96.42</v>
      </c>
      <c r="J36">
        <f>'Nestle Data'!V37</f>
        <v>96.42</v>
      </c>
      <c r="K36">
        <f>'Nestle Data'!W37</f>
        <v>96.42</v>
      </c>
      <c r="L36">
        <f>'Nestle Data'!X37</f>
        <v>96.42</v>
      </c>
    </row>
    <row r="37" spans="1:13" outlineLevel="1" x14ac:dyDescent="0.3"/>
    <row r="38" spans="1:13" outlineLevel="1" x14ac:dyDescent="0.3">
      <c r="B38" t="s">
        <v>71</v>
      </c>
      <c r="C38" s="21">
        <f>C33/C36</f>
        <v>10.142708981539107</v>
      </c>
      <c r="D38" s="21">
        <f t="shared" ref="D38:L38" si="14">D33/D36</f>
        <v>8.7732835511304721</v>
      </c>
      <c r="E38" s="21">
        <f t="shared" si="14"/>
        <v>9.2216345156606572</v>
      </c>
      <c r="F38" s="21">
        <f t="shared" si="14"/>
        <v>13.85594275046671</v>
      </c>
      <c r="G38" s="21">
        <f t="shared" si="14"/>
        <v>14.863928645509231</v>
      </c>
      <c r="H38" s="21">
        <f t="shared" si="14"/>
        <v>18.646753785521685</v>
      </c>
      <c r="I38" s="21">
        <f t="shared" si="14"/>
        <v>21.734183779298888</v>
      </c>
      <c r="J38" s="21">
        <f t="shared" si="14"/>
        <v>18.489110143123806</v>
      </c>
      <c r="K38" s="21">
        <f t="shared" si="14"/>
        <v>29.072287907073218</v>
      </c>
      <c r="L38" s="21">
        <f t="shared" si="14"/>
        <v>38.192180045633691</v>
      </c>
      <c r="M38" s="21"/>
    </row>
    <row r="39" spans="1:13" outlineLevel="1" x14ac:dyDescent="0.3">
      <c r="B39" s="17" t="s">
        <v>70</v>
      </c>
      <c r="C39" s="17"/>
      <c r="D39" s="17">
        <f>D38/C38-1</f>
        <v>-0.13501574706532016</v>
      </c>
      <c r="E39" s="17">
        <f t="shared" ref="E39:L39" si="15">E38/D38-1</f>
        <v>5.1104123321354722E-2</v>
      </c>
      <c r="F39" s="17">
        <f t="shared" si="15"/>
        <v>0.50254737670809124</v>
      </c>
      <c r="G39" s="17">
        <f t="shared" si="15"/>
        <v>7.2747550505617431E-2</v>
      </c>
      <c r="H39" s="17">
        <f t="shared" si="15"/>
        <v>0.25449699270154547</v>
      </c>
      <c r="I39" s="17">
        <f t="shared" si="15"/>
        <v>0.16557466405624144</v>
      </c>
      <c r="J39" s="17">
        <f t="shared" si="15"/>
        <v>-0.14930736157968405</v>
      </c>
      <c r="K39" s="17">
        <f t="shared" si="15"/>
        <v>0.57240060132830939</v>
      </c>
      <c r="L39" s="17">
        <f t="shared" si="15"/>
        <v>0.31369709077288088</v>
      </c>
    </row>
    <row r="40" spans="1:13" outlineLevel="1" x14ac:dyDescent="0.3"/>
    <row r="41" spans="1:13" outlineLevel="1" x14ac:dyDescent="0.3">
      <c r="B41" t="s">
        <v>72</v>
      </c>
      <c r="C41" s="21">
        <f>'Nestle Data'!C19/'3 Statements'!C36</f>
        <v>4.8500311138767884</v>
      </c>
      <c r="D41" s="21">
        <f>'Nestle Data'!D19/'3 Statements'!D36</f>
        <v>6.3000414851690527</v>
      </c>
      <c r="E41" s="21">
        <f>'Nestle Data'!E19/'3 Statements'!E36</f>
        <v>8.599979257415475</v>
      </c>
      <c r="F41" s="21">
        <f>'Nestle Data'!F19/'3 Statements'!F36</f>
        <v>11.499999999999998</v>
      </c>
      <c r="G41" s="21">
        <f>'Nestle Data'!G19/'3 Statements'!G36</f>
        <v>34.199958514830946</v>
      </c>
      <c r="H41" s="21">
        <f>'Nestle Data'!H19/'3 Statements'!H36</f>
        <v>20</v>
      </c>
      <c r="I41" s="21">
        <f>'Nestle Data'!I19/'3 Statements'!I36</f>
        <v>20</v>
      </c>
      <c r="J41" s="21">
        <f>'Nestle Data'!J19/'3 Statements'!J36</f>
        <v>21.999999999999996</v>
      </c>
      <c r="K41" s="21">
        <f>'Nestle Data'!K19/'3 Statements'!K36</f>
        <v>17.400020742584527</v>
      </c>
      <c r="L41" s="21">
        <f>'Nestle Data'!L19/'3 Statements'!L36</f>
        <v>32.199958514830946</v>
      </c>
    </row>
    <row r="42" spans="1:13" outlineLevel="1" x14ac:dyDescent="0.3">
      <c r="B42" s="17" t="s">
        <v>73</v>
      </c>
      <c r="C42" s="17">
        <v>0.01</v>
      </c>
      <c r="D42" s="17">
        <f t="shared" ref="D42:L42" si="16">D41/D38</f>
        <v>0.71809390958955932</v>
      </c>
      <c r="E42" s="17">
        <f t="shared" si="16"/>
        <v>0.93258730247989607</v>
      </c>
      <c r="F42" s="17">
        <f t="shared" si="16"/>
        <v>0.82996878719152067</v>
      </c>
      <c r="G42" s="17">
        <f t="shared" si="16"/>
        <v>2.3008693953306629</v>
      </c>
      <c r="H42" s="17">
        <f t="shared" si="16"/>
        <v>1.0725727507341811</v>
      </c>
      <c r="I42" s="17">
        <f t="shared" si="16"/>
        <v>0.92020939010598402</v>
      </c>
      <c r="J42" s="17">
        <f t="shared" si="16"/>
        <v>1.1898896068928395</v>
      </c>
      <c r="K42" s="17">
        <f t="shared" si="16"/>
        <v>0.59850882043415454</v>
      </c>
      <c r="L42" s="17">
        <f t="shared" si="16"/>
        <v>0.84310344359387246</v>
      </c>
    </row>
    <row r="43" spans="1:13" outlineLevel="1" x14ac:dyDescent="0.3"/>
    <row r="44" spans="1:13" outlineLevel="1" x14ac:dyDescent="0.3">
      <c r="B44" t="s">
        <v>74</v>
      </c>
      <c r="C44" s="22">
        <f>IFERROR(1-C42,0)</f>
        <v>0.99</v>
      </c>
      <c r="D44" s="22">
        <f t="shared" ref="D44:L44" si="17">IFERROR(1-D42,0)</f>
        <v>0.28190609041044068</v>
      </c>
      <c r="E44" s="22">
        <f t="shared" si="17"/>
        <v>6.7412697520103926E-2</v>
      </c>
      <c r="F44" s="22">
        <f t="shared" si="17"/>
        <v>0.17003121280847933</v>
      </c>
      <c r="G44" s="22">
        <f t="shared" si="17"/>
        <v>-1.3008693953306629</v>
      </c>
      <c r="H44" s="22">
        <f t="shared" si="17"/>
        <v>-7.2572750734181124E-2</v>
      </c>
      <c r="I44" s="22">
        <f t="shared" si="17"/>
        <v>7.9790609894015985E-2</v>
      </c>
      <c r="J44" s="22">
        <f t="shared" si="17"/>
        <v>-0.18988960689283951</v>
      </c>
      <c r="K44" s="22">
        <f t="shared" si="17"/>
        <v>0.40149117956584546</v>
      </c>
      <c r="L44" s="22">
        <f t="shared" si="17"/>
        <v>0.15689655640612754</v>
      </c>
    </row>
    <row r="46" spans="1:13" x14ac:dyDescent="0.3">
      <c r="A46" t="s">
        <v>50</v>
      </c>
      <c r="B46" s="19" t="s">
        <v>75</v>
      </c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ht="6.6" customHeight="1" x14ac:dyDescent="0.3"/>
    <row r="48" spans="1:13" outlineLevel="1" x14ac:dyDescent="0.3">
      <c r="B48" s="10" t="s">
        <v>20</v>
      </c>
      <c r="C48" s="21">
        <f>IFERROR('Nestle Data'!O5,0)</f>
        <v>96.42</v>
      </c>
      <c r="D48" s="21">
        <f>IFERROR('Nestle Data'!P5,0)</f>
        <v>96.42</v>
      </c>
      <c r="E48" s="21">
        <f>IFERROR('Nestle Data'!Q5,0)</f>
        <v>96.42</v>
      </c>
      <c r="F48" s="21">
        <f>IFERROR('Nestle Data'!R5,0)</f>
        <v>96.42</v>
      </c>
      <c r="G48" s="21">
        <f>IFERROR('Nestle Data'!S5,0)</f>
        <v>96.42</v>
      </c>
      <c r="H48" s="21">
        <f>IFERROR('Nestle Data'!T5,0)</f>
        <v>96.42</v>
      </c>
      <c r="I48" s="21">
        <f>IFERROR('Nestle Data'!U5,0)</f>
        <v>96.42</v>
      </c>
      <c r="J48" s="21">
        <f>IFERROR('Nestle Data'!V5,0)</f>
        <v>96.42</v>
      </c>
      <c r="K48" s="21">
        <f>IFERROR('Nestle Data'!W5,0)</f>
        <v>96.42</v>
      </c>
      <c r="L48" s="21">
        <f>IFERROR('Nestle Data'!X5,0)</f>
        <v>96.42</v>
      </c>
    </row>
    <row r="49" spans="2:12" outlineLevel="1" x14ac:dyDescent="0.3">
      <c r="B49" s="10" t="s">
        <v>21</v>
      </c>
      <c r="C49" s="21">
        <f>IFERROR('Nestle Data'!O6,0)</f>
        <v>2721.42</v>
      </c>
      <c r="D49" s="21">
        <f>IFERROR('Nestle Data'!P6,0)</f>
        <v>3185.91</v>
      </c>
      <c r="E49" s="21">
        <f>IFERROR('Nestle Data'!Q6,0)</f>
        <v>3324.17</v>
      </c>
      <c r="F49" s="21">
        <f>IFERROR('Nestle Data'!R6,0)</f>
        <v>3577.32</v>
      </c>
      <c r="G49" s="21">
        <f>IFERROR('Nestle Data'!S6,0)</f>
        <v>1822.45</v>
      </c>
      <c r="H49" s="21">
        <f>IFERROR('Nestle Data'!T6,0)</f>
        <v>1922.92</v>
      </c>
      <c r="I49" s="21">
        <f>IFERROR('Nestle Data'!U6,0)</f>
        <v>1849.96</v>
      </c>
      <c r="J49" s="21">
        <f>IFERROR('Nestle Data'!V6,0)</f>
        <v>2362.75</v>
      </c>
      <c r="K49" s="21">
        <f>IFERROR('Nestle Data'!W6,0)</f>
        <v>2362.75</v>
      </c>
      <c r="L49" s="21">
        <f>IFERROR('Nestle Data'!X6,0)</f>
        <v>3244.47</v>
      </c>
    </row>
    <row r="50" spans="2:12" outlineLevel="1" x14ac:dyDescent="0.3">
      <c r="B50" s="10" t="s">
        <v>22</v>
      </c>
      <c r="C50" s="21">
        <f>IFERROR('Nestle Data'!O7,0)</f>
        <v>17.73</v>
      </c>
      <c r="D50" s="21">
        <f>IFERROR('Nestle Data'!P7,0)</f>
        <v>33.15</v>
      </c>
      <c r="E50" s="21">
        <f>IFERROR('Nestle Data'!Q7,0)</f>
        <v>35.14</v>
      </c>
      <c r="F50" s="21">
        <f>IFERROR('Nestle Data'!R7,0)</f>
        <v>35.14</v>
      </c>
      <c r="G50" s="21">
        <f>IFERROR('Nestle Data'!S7,0)</f>
        <v>188.94</v>
      </c>
      <c r="H50" s="21">
        <f>IFERROR('Nestle Data'!T7,0)</f>
        <v>147.49</v>
      </c>
      <c r="I50" s="21">
        <f>IFERROR('Nestle Data'!U7,0)</f>
        <v>266.45999999999998</v>
      </c>
      <c r="J50" s="21">
        <f>IFERROR('Nestle Data'!V7,0)</f>
        <v>270.52</v>
      </c>
      <c r="K50" s="21">
        <f>IFERROR('Nestle Data'!W7,0)</f>
        <v>270.52</v>
      </c>
      <c r="L50" s="21">
        <f>IFERROR('Nestle Data'!X7,0)</f>
        <v>344.53</v>
      </c>
    </row>
    <row r="51" spans="2:12" outlineLevel="1" x14ac:dyDescent="0.3">
      <c r="B51" s="10" t="s">
        <v>23</v>
      </c>
      <c r="C51" s="21">
        <f>IFERROR('Nestle Data'!O8,0)</f>
        <v>3250.76</v>
      </c>
      <c r="D51" s="21">
        <f>IFERROR('Nestle Data'!P8,0)</f>
        <v>3494.98</v>
      </c>
      <c r="E51" s="21">
        <f>IFERROR('Nestle Data'!Q8,0)</f>
        <v>3906.86</v>
      </c>
      <c r="F51" s="21">
        <f>IFERROR('Nestle Data'!R8,0)</f>
        <v>4379.2</v>
      </c>
      <c r="G51" s="21">
        <f>IFERROR('Nestle Data'!S8,0)</f>
        <v>5065.13</v>
      </c>
      <c r="H51" s="21">
        <f>IFERROR('Nestle Data'!T8,0)</f>
        <v>5732.9</v>
      </c>
      <c r="I51" s="21">
        <f>IFERROR('Nestle Data'!U8,0)</f>
        <v>6021.29</v>
      </c>
      <c r="J51" s="21">
        <f>IFERROR('Nestle Data'!V8,0)</f>
        <v>6249.05</v>
      </c>
      <c r="K51" s="21">
        <f>IFERROR('Nestle Data'!W8,0)</f>
        <v>6249.05</v>
      </c>
      <c r="L51" s="21">
        <f>IFERROR('Nestle Data'!X8,0)</f>
        <v>6837.64</v>
      </c>
    </row>
    <row r="52" spans="2:12" outlineLevel="1" x14ac:dyDescent="0.3">
      <c r="B52" s="6" t="s">
        <v>80</v>
      </c>
      <c r="C52" s="28">
        <f>IFERROR('Nestle Data'!O9,0)</f>
        <v>6086.33</v>
      </c>
      <c r="D52" s="28">
        <f>IFERROR('Nestle Data'!P9,0)</f>
        <v>6810.46</v>
      </c>
      <c r="E52" s="28">
        <f>IFERROR('Nestle Data'!Q9,0)</f>
        <v>7362.59</v>
      </c>
      <c r="F52" s="28">
        <f>IFERROR('Nestle Data'!R9,0)</f>
        <v>8088.08</v>
      </c>
      <c r="G52" s="28">
        <f>IFERROR('Nestle Data'!S9,0)</f>
        <v>7172.94</v>
      </c>
      <c r="H52" s="28">
        <f>IFERROR('Nestle Data'!T9,0)</f>
        <v>7899.73</v>
      </c>
      <c r="I52" s="28">
        <f>IFERROR('Nestle Data'!U9,0)</f>
        <v>8234.1299999999992</v>
      </c>
      <c r="J52" s="28">
        <f>IFERROR('Nestle Data'!V9,0)</f>
        <v>8978.74</v>
      </c>
      <c r="K52" s="28">
        <f>IFERROR('Nestle Data'!W9,0)</f>
        <v>8978.74</v>
      </c>
      <c r="L52" s="28">
        <f>IFERROR('Nestle Data'!X9,0)</f>
        <v>10523.06</v>
      </c>
    </row>
    <row r="53" spans="2:12" outlineLevel="1" x14ac:dyDescent="0.3">
      <c r="B53" s="6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2:12" outlineLevel="1" x14ac:dyDescent="0.3">
      <c r="B54" s="10" t="s">
        <v>76</v>
      </c>
      <c r="C54" s="21">
        <f>IFERROR('Nestle Data'!O10,0)</f>
        <v>2897.85</v>
      </c>
      <c r="D54" s="21">
        <f>IFERROR('Nestle Data'!P10,0)</f>
        <v>2730.14</v>
      </c>
      <c r="E54" s="21">
        <f>IFERROR('Nestle Data'!Q10,0)</f>
        <v>2616.1799999999998</v>
      </c>
      <c r="F54" s="21">
        <f>IFERROR('Nestle Data'!R10,0)</f>
        <v>2400.62</v>
      </c>
      <c r="G54" s="21">
        <f>IFERROR('Nestle Data'!S10,0)</f>
        <v>2341.4499999999998</v>
      </c>
      <c r="H54" s="21">
        <f>IFERROR('Nestle Data'!T10,0)</f>
        <v>2179.41</v>
      </c>
      <c r="I54" s="21">
        <f>IFERROR('Nestle Data'!U10,0)</f>
        <v>2994.67</v>
      </c>
      <c r="J54" s="21">
        <f>IFERROR('Nestle Data'!V10,0)</f>
        <v>3043.7</v>
      </c>
      <c r="K54" s="21">
        <f>IFERROR('Nestle Data'!W10,0)</f>
        <v>3043.7</v>
      </c>
      <c r="L54" s="21">
        <f>IFERROR('Nestle Data'!X10,0)</f>
        <v>3460.25</v>
      </c>
    </row>
    <row r="55" spans="2:12" outlineLevel="1" x14ac:dyDescent="0.3">
      <c r="B55" s="10" t="s">
        <v>26</v>
      </c>
      <c r="C55" s="21">
        <f>IFERROR('Nestle Data'!O11,0)</f>
        <v>230.79</v>
      </c>
      <c r="D55" s="21">
        <f>IFERROR('Nestle Data'!P11,0)</f>
        <v>188.17</v>
      </c>
      <c r="E55" s="21">
        <f>IFERROR('Nestle Data'!Q11,0)</f>
        <v>94.16</v>
      </c>
      <c r="F55" s="21">
        <f>IFERROR('Nestle Data'!R11,0)</f>
        <v>105.2</v>
      </c>
      <c r="G55" s="21">
        <f>IFERROR('Nestle Data'!S11,0)</f>
        <v>143.30000000000001</v>
      </c>
      <c r="H55" s="21">
        <f>IFERROR('Nestle Data'!T11,0)</f>
        <v>638.58000000000004</v>
      </c>
      <c r="I55" s="21">
        <f>IFERROR('Nestle Data'!U11,0)</f>
        <v>246.23</v>
      </c>
      <c r="J55" s="21">
        <f>IFERROR('Nestle Data'!V11,0)</f>
        <v>358.36</v>
      </c>
      <c r="K55" s="21">
        <f>IFERROR('Nestle Data'!W11,0)</f>
        <v>358.36</v>
      </c>
      <c r="L55" s="21">
        <f>IFERROR('Nestle Data'!X11,0)</f>
        <v>1741.71</v>
      </c>
    </row>
    <row r="56" spans="2:12" outlineLevel="1" x14ac:dyDescent="0.3">
      <c r="B56" s="10" t="s">
        <v>27</v>
      </c>
      <c r="C56" s="21">
        <f>IFERROR('Nestle Data'!O12,0)</f>
        <v>1324.92</v>
      </c>
      <c r="D56" s="21">
        <f>IFERROR('Nestle Data'!P12,0)</f>
        <v>1755.66</v>
      </c>
      <c r="E56" s="21">
        <f>IFERROR('Nestle Data'!Q12,0)</f>
        <v>1978.87</v>
      </c>
      <c r="F56" s="21">
        <f>IFERROR('Nestle Data'!R12,0)</f>
        <v>2658.49</v>
      </c>
      <c r="G56" s="21">
        <f>IFERROR('Nestle Data'!S12,0)</f>
        <v>1751.05</v>
      </c>
      <c r="H56" s="21">
        <f>IFERROR('Nestle Data'!T12,0)</f>
        <v>1463.77</v>
      </c>
      <c r="I56" s="21">
        <f>IFERROR('Nestle Data'!U12,0)</f>
        <v>773.98</v>
      </c>
      <c r="J56" s="21">
        <f>IFERROR('Nestle Data'!V12,0)</f>
        <v>777.54</v>
      </c>
      <c r="K56" s="21">
        <f>IFERROR('Nestle Data'!W12,0)</f>
        <v>777.54</v>
      </c>
      <c r="L56" s="21">
        <f>IFERROR('Nestle Data'!X12,0)</f>
        <v>463.87</v>
      </c>
    </row>
    <row r="57" spans="2:12" outlineLevel="1" x14ac:dyDescent="0.3">
      <c r="B57" s="10" t="s">
        <v>28</v>
      </c>
      <c r="C57" s="21">
        <f>'Nestle Data'!O13-SUM('Nestle Data'!O15:O17)</f>
        <v>233.99</v>
      </c>
      <c r="D57" s="21">
        <f>'Nestle Data'!P13-SUM('Nestle Data'!P15:P17)</f>
        <v>218.49999999999977</v>
      </c>
      <c r="E57" s="21">
        <f>'Nestle Data'!Q13-SUM('Nestle Data'!Q15:Q17)</f>
        <v>224.51999999999998</v>
      </c>
      <c r="F57" s="21">
        <f>'Nestle Data'!R13-SUM('Nestle Data'!R15:R17)</f>
        <v>223.57000000000016</v>
      </c>
      <c r="G57" s="21">
        <f>'Nestle Data'!S13-SUM('Nestle Data'!S15:S17)</f>
        <v>221.69000000000005</v>
      </c>
      <c r="H57" s="21">
        <f>'Nestle Data'!T13-SUM('Nestle Data'!T15:T17)</f>
        <v>266.69000000000005</v>
      </c>
      <c r="I57" s="21">
        <f>'Nestle Data'!U13-SUM('Nestle Data'!U15:U17)</f>
        <v>1725.2199999999998</v>
      </c>
      <c r="J57" s="21">
        <f>'Nestle Data'!V13-SUM('Nestle Data'!V15:V17)</f>
        <v>1732.9300000000003</v>
      </c>
      <c r="K57" s="21">
        <f>'Nestle Data'!W13-SUM('Nestle Data'!W15:W17)</f>
        <v>1732.9300000000003</v>
      </c>
      <c r="L57" s="21">
        <f>'Nestle Data'!X13-SUM('Nestle Data'!X15:X17)</f>
        <v>1688.5599999999995</v>
      </c>
    </row>
    <row r="58" spans="2:12" outlineLevel="1" x14ac:dyDescent="0.3">
      <c r="B58" s="6" t="s">
        <v>77</v>
      </c>
      <c r="C58" s="28">
        <f>SUM(C54:C57)</f>
        <v>4687.5499999999993</v>
      </c>
      <c r="D58" s="28">
        <f t="shared" ref="D58:L58" si="18">SUM(D54:D57)</f>
        <v>4892.47</v>
      </c>
      <c r="E58" s="28">
        <f t="shared" si="18"/>
        <v>4913.7299999999996</v>
      </c>
      <c r="F58" s="28">
        <f t="shared" si="18"/>
        <v>5387.8799999999992</v>
      </c>
      <c r="G58" s="28">
        <f t="shared" si="18"/>
        <v>4457.49</v>
      </c>
      <c r="H58" s="28">
        <f t="shared" si="18"/>
        <v>4548.4500000000007</v>
      </c>
      <c r="I58" s="28">
        <f t="shared" si="18"/>
        <v>5740.1</v>
      </c>
      <c r="J58" s="28">
        <f t="shared" si="18"/>
        <v>5912.5300000000007</v>
      </c>
      <c r="K58" s="28">
        <f t="shared" si="18"/>
        <v>5912.5300000000007</v>
      </c>
      <c r="L58" s="28">
        <f t="shared" si="18"/>
        <v>7354.3899999999994</v>
      </c>
    </row>
    <row r="59" spans="2:12" outlineLevel="1" x14ac:dyDescent="0.3">
      <c r="B59" s="6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2:12" outlineLevel="1" x14ac:dyDescent="0.3">
      <c r="B60" s="10" t="s">
        <v>29</v>
      </c>
      <c r="C60" s="21">
        <f>'Nestle Data'!O15</f>
        <v>78.42</v>
      </c>
      <c r="D60" s="21">
        <f>'Nestle Data'!P15</f>
        <v>97.93</v>
      </c>
      <c r="E60" s="21">
        <f>'Nestle Data'!Q15</f>
        <v>88.97</v>
      </c>
      <c r="F60" s="21">
        <f>'Nestle Data'!R15</f>
        <v>124.59</v>
      </c>
      <c r="G60" s="21">
        <f>'Nestle Data'!S15</f>
        <v>124.33</v>
      </c>
      <c r="H60" s="21">
        <f>'Nestle Data'!T15</f>
        <v>164.93</v>
      </c>
      <c r="I60" s="21">
        <f>'Nestle Data'!U15</f>
        <v>165.97</v>
      </c>
      <c r="J60" s="21">
        <f>'Nestle Data'!V15</f>
        <v>191.89</v>
      </c>
      <c r="K60" s="21">
        <f>'Nestle Data'!W15</f>
        <v>191.89</v>
      </c>
      <c r="L60" s="21">
        <f>'Nestle Data'!X15</f>
        <v>300.45999999999998</v>
      </c>
    </row>
    <row r="61" spans="2:12" outlineLevel="1" x14ac:dyDescent="0.3">
      <c r="B61" s="10" t="s">
        <v>30</v>
      </c>
      <c r="C61" s="21">
        <f>'Nestle Data'!O16</f>
        <v>820.81</v>
      </c>
      <c r="D61" s="21">
        <f>'Nestle Data'!P16</f>
        <v>940.06</v>
      </c>
      <c r="E61" s="21">
        <f>'Nestle Data'!Q16</f>
        <v>902.47</v>
      </c>
      <c r="F61" s="21">
        <f>'Nestle Data'!R16</f>
        <v>965.55</v>
      </c>
      <c r="G61" s="21">
        <f>'Nestle Data'!S16</f>
        <v>1283.07</v>
      </c>
      <c r="H61" s="21">
        <f>'Nestle Data'!T16</f>
        <v>1416.48</v>
      </c>
      <c r="I61" s="21">
        <f>'Nestle Data'!U16</f>
        <v>1592.65</v>
      </c>
      <c r="J61" s="21">
        <f>'Nestle Data'!V16</f>
        <v>1928.77</v>
      </c>
      <c r="K61" s="21">
        <f>'Nestle Data'!W16</f>
        <v>1928.77</v>
      </c>
      <c r="L61" s="21">
        <f>'Nestle Data'!X16</f>
        <v>2089.36</v>
      </c>
    </row>
    <row r="62" spans="2:12" outlineLevel="1" x14ac:dyDescent="0.3">
      <c r="B62" s="7" t="s">
        <v>31</v>
      </c>
      <c r="C62" s="21">
        <f>'Nestle Data'!O17</f>
        <v>499.55</v>
      </c>
      <c r="D62" s="21">
        <f>'Nestle Data'!P17</f>
        <v>880</v>
      </c>
      <c r="E62" s="21">
        <f>'Nestle Data'!Q17</f>
        <v>1457.42</v>
      </c>
      <c r="F62" s="21">
        <f>'Nestle Data'!R17</f>
        <v>1610.06</v>
      </c>
      <c r="G62" s="21">
        <f>'Nestle Data'!S17</f>
        <v>1308.05</v>
      </c>
      <c r="H62" s="21">
        <f>'Nestle Data'!T17</f>
        <v>1769.87</v>
      </c>
      <c r="I62" s="21">
        <f>'Nestle Data'!U17</f>
        <v>735.41</v>
      </c>
      <c r="J62" s="21">
        <f>'Nestle Data'!V17</f>
        <v>945.55</v>
      </c>
      <c r="K62" s="21">
        <f>'Nestle Data'!W17</f>
        <v>945.55</v>
      </c>
      <c r="L62" s="21">
        <f>'Nestle Data'!X17</f>
        <v>778.85</v>
      </c>
    </row>
    <row r="63" spans="2:12" outlineLevel="1" x14ac:dyDescent="0.3">
      <c r="B63" s="23" t="s">
        <v>78</v>
      </c>
      <c r="C63" s="28">
        <f>SUM(C60:C62)</f>
        <v>1398.78</v>
      </c>
      <c r="D63" s="28">
        <f t="shared" ref="D63:L63" si="19">SUM(D60:D62)</f>
        <v>1917.99</v>
      </c>
      <c r="E63" s="28">
        <f t="shared" si="19"/>
        <v>2448.86</v>
      </c>
      <c r="F63" s="28">
        <f t="shared" si="19"/>
        <v>2700.2</v>
      </c>
      <c r="G63" s="28">
        <f t="shared" si="19"/>
        <v>2715.45</v>
      </c>
      <c r="H63" s="28">
        <f t="shared" si="19"/>
        <v>3351.2799999999997</v>
      </c>
      <c r="I63" s="28">
        <f t="shared" si="19"/>
        <v>2494.0300000000002</v>
      </c>
      <c r="J63" s="28">
        <f t="shared" si="19"/>
        <v>3066.21</v>
      </c>
      <c r="K63" s="28">
        <f t="shared" si="19"/>
        <v>3066.21</v>
      </c>
      <c r="L63" s="28">
        <f t="shared" si="19"/>
        <v>3168.67</v>
      </c>
    </row>
    <row r="64" spans="2:12" outlineLevel="1" x14ac:dyDescent="0.3">
      <c r="B64" s="23" t="s">
        <v>79</v>
      </c>
      <c r="C64" s="28">
        <f>SUM(C58+C63)</f>
        <v>6086.329999999999</v>
      </c>
      <c r="D64" s="28">
        <f t="shared" ref="D64:L64" si="20">SUM(D58+D63)</f>
        <v>6810.46</v>
      </c>
      <c r="E64" s="28">
        <f t="shared" si="20"/>
        <v>7362.59</v>
      </c>
      <c r="F64" s="28">
        <f t="shared" si="20"/>
        <v>8088.079999999999</v>
      </c>
      <c r="G64" s="28">
        <f t="shared" si="20"/>
        <v>7172.94</v>
      </c>
      <c r="H64" s="28">
        <f t="shared" si="20"/>
        <v>7899.7300000000005</v>
      </c>
      <c r="I64" s="28">
        <f t="shared" si="20"/>
        <v>8234.130000000001</v>
      </c>
      <c r="J64" s="28">
        <f t="shared" si="20"/>
        <v>8978.7400000000016</v>
      </c>
      <c r="K64" s="28">
        <f t="shared" si="20"/>
        <v>8978.7400000000016</v>
      </c>
      <c r="L64" s="28">
        <f t="shared" si="20"/>
        <v>10523.06</v>
      </c>
    </row>
    <row r="65" spans="1:13" outlineLevel="1" x14ac:dyDescent="0.3"/>
    <row r="66" spans="1:13" outlineLevel="1" x14ac:dyDescent="0.3">
      <c r="B66" s="24" t="s">
        <v>81</v>
      </c>
      <c r="C66" s="24" t="b">
        <f>IF(C52=C64,TRUE,FALSE)</f>
        <v>1</v>
      </c>
      <c r="D66" s="24" t="b">
        <f t="shared" ref="D66:L66" si="21">IF(D52=D64,TRUE,FALSE)</f>
        <v>1</v>
      </c>
      <c r="E66" s="24" t="b">
        <f t="shared" si="21"/>
        <v>1</v>
      </c>
      <c r="F66" s="24" t="b">
        <f t="shared" si="21"/>
        <v>1</v>
      </c>
      <c r="G66" s="24" t="b">
        <f t="shared" si="21"/>
        <v>1</v>
      </c>
      <c r="H66" s="24" t="b">
        <f t="shared" si="21"/>
        <v>1</v>
      </c>
      <c r="I66" s="24" t="b">
        <f t="shared" si="21"/>
        <v>1</v>
      </c>
      <c r="J66" s="24" t="b">
        <f t="shared" si="21"/>
        <v>1</v>
      </c>
      <c r="K66" s="24" t="b">
        <f t="shared" si="21"/>
        <v>1</v>
      </c>
      <c r="L66" s="24" t="b">
        <f t="shared" si="21"/>
        <v>1</v>
      </c>
    </row>
    <row r="67" spans="1:13" outlineLevel="1" x14ac:dyDescent="0.3"/>
    <row r="68" spans="1:13" x14ac:dyDescent="0.3">
      <c r="A68" t="s">
        <v>50</v>
      </c>
      <c r="B68" s="19" t="s">
        <v>82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ht="6.6" customHeight="1" x14ac:dyDescent="0.3"/>
    <row r="70" spans="1:13" outlineLevel="1" x14ac:dyDescent="0.3">
      <c r="B70" s="24" t="s">
        <v>109</v>
      </c>
    </row>
    <row r="71" spans="1:13" outlineLevel="1" x14ac:dyDescent="0.3">
      <c r="B71" t="s">
        <v>84</v>
      </c>
      <c r="C71" s="27">
        <f>IFERROR('Nestle Data'!Q42,0)</f>
        <v>1109</v>
      </c>
      <c r="D71" s="27">
        <f>IFERROR('Nestle Data'!R42,0)</f>
        <v>1765</v>
      </c>
      <c r="E71" s="27">
        <f>IFERROR('Nestle Data'!S42,0)</f>
        <v>2047</v>
      </c>
      <c r="F71" s="27">
        <f>IFERROR('Nestle Data'!T42,0)</f>
        <v>2521</v>
      </c>
      <c r="G71" s="27">
        <f>IFERROR('Nestle Data'!U42,0)</f>
        <v>2805</v>
      </c>
      <c r="H71" s="27">
        <f>IFERROR('Nestle Data'!V42,0)</f>
        <v>3061</v>
      </c>
      <c r="I71" s="27">
        <f>IFERROR('Nestle Data'!W42,0)</f>
        <v>3136</v>
      </c>
      <c r="J71" s="27">
        <f>IFERROR('Nestle Data'!X42,0)</f>
        <v>3609</v>
      </c>
      <c r="K71" s="27">
        <f>IFERROR('Nestle Data'!Y42,0)</f>
        <v>4388</v>
      </c>
      <c r="L71" s="27">
        <f>IFERROR('Nestle Data'!Z42,0)</f>
        <v>5722</v>
      </c>
    </row>
    <row r="72" spans="1:13" outlineLevel="1" x14ac:dyDescent="0.3">
      <c r="B72" t="s">
        <v>29</v>
      </c>
      <c r="C72" s="27">
        <f>IFERROR('Nestle Data'!Q43,0)</f>
        <v>21</v>
      </c>
      <c r="D72" s="27">
        <f>IFERROR('Nestle Data'!R43,0)</f>
        <v>-19</v>
      </c>
      <c r="E72" s="27">
        <f>IFERROR('Nestle Data'!S43,0)</f>
        <v>8</v>
      </c>
      <c r="F72" s="27">
        <f>IFERROR('Nestle Data'!T43,0)</f>
        <v>-36</v>
      </c>
      <c r="G72" s="27">
        <f>IFERROR('Nestle Data'!U43,0)</f>
        <v>0</v>
      </c>
      <c r="H72" s="27">
        <f>IFERROR('Nestle Data'!V43,0)</f>
        <v>-42</v>
      </c>
      <c r="I72" s="27">
        <f>IFERROR('Nestle Data'!W43,0)</f>
        <v>-2</v>
      </c>
      <c r="J72" s="27">
        <f>IFERROR('Nestle Data'!X43,0)</f>
        <v>-28</v>
      </c>
      <c r="K72" s="27">
        <f>IFERROR('Nestle Data'!Y43,0)</f>
        <v>-11</v>
      </c>
      <c r="L72" s="27">
        <f>IFERROR('Nestle Data'!Z43,0)</f>
        <v>-109</v>
      </c>
    </row>
    <row r="73" spans="1:13" outlineLevel="1" x14ac:dyDescent="0.3">
      <c r="B73" t="s">
        <v>30</v>
      </c>
      <c r="C73" s="27">
        <f>IFERROR('Nestle Data'!Q44,0)</f>
        <v>23</v>
      </c>
      <c r="D73" s="27">
        <f>IFERROR('Nestle Data'!R44,0)</f>
        <v>-119</v>
      </c>
      <c r="E73" s="27">
        <f>IFERROR('Nestle Data'!S44,0)</f>
        <v>38</v>
      </c>
      <c r="F73" s="27">
        <f>IFERROR('Nestle Data'!T44,0)</f>
        <v>-63</v>
      </c>
      <c r="G73" s="27">
        <f>IFERROR('Nestle Data'!U44,0)</f>
        <v>-318</v>
      </c>
      <c r="H73" s="27">
        <f>IFERROR('Nestle Data'!V44,0)</f>
        <v>-133</v>
      </c>
      <c r="I73" s="27">
        <f>IFERROR('Nestle Data'!W44,0)</f>
        <v>-169</v>
      </c>
      <c r="J73" s="27">
        <f>IFERROR('Nestle Data'!X44,0)</f>
        <v>-336</v>
      </c>
      <c r="K73" s="27">
        <f>IFERROR('Nestle Data'!Y44,0)</f>
        <v>56</v>
      </c>
      <c r="L73" s="27">
        <f>IFERROR('Nestle Data'!Z44,0)</f>
        <v>-161</v>
      </c>
    </row>
    <row r="74" spans="1:13" outlineLevel="1" x14ac:dyDescent="0.3">
      <c r="B74" t="s">
        <v>85</v>
      </c>
      <c r="C74" s="27">
        <f>IFERROR('Nestle Data'!Q45,0)</f>
        <v>79</v>
      </c>
      <c r="D74" s="27">
        <f>IFERROR('Nestle Data'!R45,0)</f>
        <v>50</v>
      </c>
      <c r="E74" s="27">
        <f>IFERROR('Nestle Data'!S45,0)</f>
        <v>185</v>
      </c>
      <c r="F74" s="27">
        <f>IFERROR('Nestle Data'!T45,0)</f>
        <v>257</v>
      </c>
      <c r="G74" s="27">
        <f>IFERROR('Nestle Data'!U45,0)</f>
        <v>253</v>
      </c>
      <c r="H74" s="27">
        <f>IFERROR('Nestle Data'!V45,0)</f>
        <v>23</v>
      </c>
      <c r="I74" s="27">
        <f>IFERROR('Nestle Data'!W45,0)</f>
        <v>217</v>
      </c>
      <c r="J74" s="27">
        <f>IFERROR('Nestle Data'!X45,0)</f>
        <v>178</v>
      </c>
      <c r="K74" s="27">
        <f>IFERROR('Nestle Data'!Y45,0)</f>
        <v>68</v>
      </c>
      <c r="L74" s="27">
        <f>IFERROR('Nestle Data'!Z45,0)</f>
        <v>310</v>
      </c>
    </row>
    <row r="75" spans="1:13" outlineLevel="1" x14ac:dyDescent="0.3">
      <c r="B75" t="s">
        <v>86</v>
      </c>
      <c r="C75" s="27">
        <f>IFERROR('Nestle Data'!Q46,0)</f>
        <v>-3</v>
      </c>
      <c r="D75" s="27">
        <f>IFERROR('Nestle Data'!R46,0)</f>
        <v>0</v>
      </c>
      <c r="E75" s="27">
        <f>IFERROR('Nestle Data'!S46,0)</f>
        <v>0</v>
      </c>
      <c r="F75" s="27">
        <f>IFERROR('Nestle Data'!T46,0)</f>
        <v>0</v>
      </c>
      <c r="G75" s="27">
        <f>IFERROR('Nestle Data'!U46,0)</f>
        <v>0</v>
      </c>
      <c r="H75" s="27">
        <f>IFERROR('Nestle Data'!V46,0)</f>
        <v>0</v>
      </c>
      <c r="I75" s="27">
        <f>IFERROR('Nestle Data'!W46,0)</f>
        <v>-40</v>
      </c>
      <c r="J75" s="27">
        <f>IFERROR('Nestle Data'!X46,0)</f>
        <v>-30</v>
      </c>
      <c r="K75" s="27">
        <f>IFERROR('Nestle Data'!Y46,0)</f>
        <v>-30</v>
      </c>
      <c r="L75" s="27">
        <f>IFERROR('Nestle Data'!Z46,0)</f>
        <v>-21</v>
      </c>
    </row>
    <row r="76" spans="1:13" outlineLevel="1" x14ac:dyDescent="0.3">
      <c r="B76" t="s">
        <v>88</v>
      </c>
      <c r="C76" s="27">
        <f>IFERROR('Nestle Data'!Q48,0)</f>
        <v>210</v>
      </c>
      <c r="D76" s="27">
        <f>IFERROR('Nestle Data'!R48,0)</f>
        <v>293</v>
      </c>
      <c r="E76" s="27">
        <f>IFERROR('Nestle Data'!S48,0)</f>
        <v>144</v>
      </c>
      <c r="F76" s="27">
        <f>IFERROR('Nestle Data'!T48,0)</f>
        <v>255</v>
      </c>
      <c r="G76" s="27">
        <f>IFERROR('Nestle Data'!U48,0)</f>
        <v>227</v>
      </c>
      <c r="H76" s="27">
        <f>IFERROR('Nestle Data'!V48,0)</f>
        <v>249</v>
      </c>
      <c r="I76" s="27">
        <f>IFERROR('Nestle Data'!W48,0)</f>
        <v>-179</v>
      </c>
      <c r="J76" s="27">
        <f>IFERROR('Nestle Data'!X48,0)</f>
        <v>185</v>
      </c>
      <c r="K76" s="27">
        <f>IFERROR('Nestle Data'!Y48,0)</f>
        <v>-19</v>
      </c>
      <c r="L76" s="27">
        <f>IFERROR('Nestle Data'!Z48,0)</f>
        <v>-268</v>
      </c>
    </row>
    <row r="77" spans="1:13" outlineLevel="1" x14ac:dyDescent="0.3">
      <c r="B77" t="s">
        <v>89</v>
      </c>
      <c r="C77" s="27">
        <f>IFERROR('Nestle Data'!Q49,0)</f>
        <v>332</v>
      </c>
      <c r="D77" s="27">
        <f>IFERROR('Nestle Data'!R49,0)</f>
        <v>204</v>
      </c>
      <c r="E77" s="27">
        <f>IFERROR('Nestle Data'!S49,0)</f>
        <v>375</v>
      </c>
      <c r="F77" s="27">
        <f>IFERROR('Nestle Data'!T49,0)</f>
        <v>413</v>
      </c>
      <c r="G77" s="27">
        <f>IFERROR('Nestle Data'!U49,0)</f>
        <v>163</v>
      </c>
      <c r="H77" s="27">
        <f>IFERROR('Nestle Data'!V49,0)</f>
        <v>97</v>
      </c>
      <c r="I77" s="27">
        <f>IFERROR('Nestle Data'!W49,0)</f>
        <v>-172</v>
      </c>
      <c r="J77" s="27">
        <f>IFERROR('Nestle Data'!X49,0)</f>
        <v>-30</v>
      </c>
      <c r="K77" s="27">
        <f>IFERROR('Nestle Data'!Y49,0)</f>
        <v>63</v>
      </c>
      <c r="L77" s="27">
        <f>IFERROR('Nestle Data'!Z49,0)</f>
        <v>-249</v>
      </c>
    </row>
    <row r="78" spans="1:13" outlineLevel="1" x14ac:dyDescent="0.3">
      <c r="B78" t="s">
        <v>90</v>
      </c>
      <c r="C78" s="27">
        <f>IFERROR('Nestle Data'!Q50,0)</f>
        <v>-342</v>
      </c>
      <c r="D78" s="27">
        <f>IFERROR('Nestle Data'!R50,0)</f>
        <v>-503</v>
      </c>
      <c r="E78" s="27">
        <f>IFERROR('Nestle Data'!S50,0)</f>
        <v>-604</v>
      </c>
      <c r="F78" s="27">
        <f>IFERROR('Nestle Data'!T50,0)</f>
        <v>-881</v>
      </c>
      <c r="G78" s="27">
        <f>IFERROR('Nestle Data'!U50,0)</f>
        <v>-673</v>
      </c>
      <c r="H78" s="27">
        <f>IFERROR('Nestle Data'!V50,0)</f>
        <v>-703</v>
      </c>
      <c r="I78" s="27">
        <f>IFERROR('Nestle Data'!W50,0)</f>
        <v>-729</v>
      </c>
      <c r="J78" s="27">
        <f>IFERROR('Nestle Data'!X50,0)</f>
        <v>-841</v>
      </c>
      <c r="K78" s="27">
        <f>IFERROR('Nestle Data'!Y50,0)</f>
        <v>-1059</v>
      </c>
      <c r="L78" s="27">
        <f>IFERROR('Nestle Data'!Z50,0)</f>
        <v>-1299</v>
      </c>
    </row>
    <row r="79" spans="1:13" outlineLevel="1" x14ac:dyDescent="0.3">
      <c r="B79" s="24" t="s">
        <v>107</v>
      </c>
      <c r="C79" s="29">
        <f>SUM(C71:C78)</f>
        <v>1429</v>
      </c>
      <c r="D79" s="29">
        <f t="shared" ref="D79:L79" si="22">SUM(D71:D78)</f>
        <v>1671</v>
      </c>
      <c r="E79" s="29">
        <f t="shared" si="22"/>
        <v>2193</v>
      </c>
      <c r="F79" s="29">
        <f t="shared" si="22"/>
        <v>2466</v>
      </c>
      <c r="G79" s="29">
        <f t="shared" si="22"/>
        <v>2457</v>
      </c>
      <c r="H79" s="29">
        <f t="shared" si="22"/>
        <v>2552</v>
      </c>
      <c r="I79" s="29">
        <f t="shared" si="22"/>
        <v>2062</v>
      </c>
      <c r="J79" s="29">
        <f t="shared" si="22"/>
        <v>2707</v>
      </c>
      <c r="K79" s="29">
        <f t="shared" si="22"/>
        <v>3456</v>
      </c>
      <c r="L79" s="29">
        <f t="shared" si="22"/>
        <v>3925</v>
      </c>
    </row>
    <row r="80" spans="1:13" outlineLevel="1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 spans="2:12" outlineLevel="1" x14ac:dyDescent="0.3">
      <c r="B81" s="24" t="s">
        <v>110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</row>
    <row r="82" spans="2:12" outlineLevel="1" x14ac:dyDescent="0.3">
      <c r="B82" t="s">
        <v>92</v>
      </c>
      <c r="C82" s="27">
        <f>IFERROR('Nestle Data'!Q52,0)</f>
        <v>-151</v>
      </c>
      <c r="D82" s="27">
        <f>IFERROR('Nestle Data'!R52,0)</f>
        <v>-207</v>
      </c>
      <c r="E82" s="27">
        <f>IFERROR('Nestle Data'!S52,0)</f>
        <v>-199</v>
      </c>
      <c r="F82" s="27">
        <f>IFERROR('Nestle Data'!T52,0)</f>
        <v>-166</v>
      </c>
      <c r="G82" s="27">
        <f>IFERROR('Nestle Data'!U52,0)</f>
        <v>-155</v>
      </c>
      <c r="H82" s="27">
        <f>IFERROR('Nestle Data'!V52,0)</f>
        <v>-478</v>
      </c>
      <c r="I82" s="27">
        <f>IFERROR('Nestle Data'!W52,0)</f>
        <v>-735</v>
      </c>
      <c r="J82" s="27">
        <f>IFERROR('Nestle Data'!X52,0)</f>
        <v>-550</v>
      </c>
      <c r="K82" s="27">
        <f>IFERROR('Nestle Data'!Y52,0)</f>
        <v>-1371</v>
      </c>
      <c r="L82" s="27">
        <f>IFERROR('Nestle Data'!Z52,0)</f>
        <v>-1883</v>
      </c>
    </row>
    <row r="83" spans="2:12" outlineLevel="1" x14ac:dyDescent="0.3">
      <c r="B83" t="s">
        <v>93</v>
      </c>
      <c r="C83" s="27">
        <f>IFERROR('Nestle Data'!Q53,0)</f>
        <v>1</v>
      </c>
      <c r="D83" s="27">
        <f>IFERROR('Nestle Data'!R53,0)</f>
        <v>94</v>
      </c>
      <c r="E83" s="27">
        <f>IFERROR('Nestle Data'!S53,0)</f>
        <v>3</v>
      </c>
      <c r="F83" s="27">
        <f>IFERROR('Nestle Data'!T53,0)</f>
        <v>3</v>
      </c>
      <c r="G83" s="27">
        <f>IFERROR('Nestle Data'!U53,0)</f>
        <v>2</v>
      </c>
      <c r="H83" s="27">
        <f>IFERROR('Nestle Data'!V53,0)</f>
        <v>4</v>
      </c>
      <c r="I83" s="27">
        <f>IFERROR('Nestle Data'!W53,0)</f>
        <v>4</v>
      </c>
      <c r="J83" s="27">
        <f>IFERROR('Nestle Data'!X53,0)</f>
        <v>9</v>
      </c>
      <c r="K83" s="27">
        <f>IFERROR('Nestle Data'!Y53,0)</f>
        <v>7</v>
      </c>
      <c r="L83" s="27">
        <f>IFERROR('Nestle Data'!Z53,0)</f>
        <v>4</v>
      </c>
    </row>
    <row r="84" spans="2:12" outlineLevel="1" x14ac:dyDescent="0.3">
      <c r="B84" t="s">
        <v>94</v>
      </c>
      <c r="C84" s="27">
        <f>IFERROR('Nestle Data'!Q54,0)</f>
        <v>-37</v>
      </c>
      <c r="D84" s="27">
        <f>IFERROR('Nestle Data'!R54,0)</f>
        <v>-153</v>
      </c>
      <c r="E84" s="27">
        <f>IFERROR('Nestle Data'!S54,0)</f>
        <v>-112</v>
      </c>
      <c r="F84" s="27">
        <f>IFERROR('Nestle Data'!T54,0)</f>
        <v>-160</v>
      </c>
      <c r="G84" s="27">
        <f>IFERROR('Nestle Data'!U54,0)</f>
        <v>-16</v>
      </c>
      <c r="H84" s="27">
        <f>IFERROR('Nestle Data'!V54,0)</f>
        <v>0</v>
      </c>
      <c r="I84" s="27">
        <f>IFERROR('Nestle Data'!W54,0)</f>
        <v>0</v>
      </c>
      <c r="J84" s="27">
        <f>IFERROR('Nestle Data'!X54,0)</f>
        <v>0</v>
      </c>
      <c r="K84" s="27">
        <f>IFERROR('Nestle Data'!Y54,0)</f>
        <v>0</v>
      </c>
      <c r="L84" s="27">
        <f>IFERROR('Nestle Data'!Z54,0)</f>
        <v>0</v>
      </c>
    </row>
    <row r="85" spans="2:12" outlineLevel="1" x14ac:dyDescent="0.3">
      <c r="B85" t="s">
        <v>95</v>
      </c>
      <c r="C85" s="27">
        <f>IFERROR('Nestle Data'!Q55,0)</f>
        <v>0</v>
      </c>
      <c r="D85" s="27">
        <f>IFERROR('Nestle Data'!R55,0)</f>
        <v>0</v>
      </c>
      <c r="E85" s="27">
        <f>IFERROR('Nestle Data'!S55,0)</f>
        <v>0</v>
      </c>
      <c r="F85" s="27">
        <f>IFERROR('Nestle Data'!T55,0)</f>
        <v>0</v>
      </c>
      <c r="G85" s="27">
        <f>IFERROR('Nestle Data'!U55,0)</f>
        <v>0</v>
      </c>
      <c r="H85" s="27">
        <f>IFERROR('Nestle Data'!V55,0)</f>
        <v>0</v>
      </c>
      <c r="I85" s="27">
        <f>IFERROR('Nestle Data'!W55,0)</f>
        <v>0</v>
      </c>
      <c r="J85" s="27">
        <f>IFERROR('Nestle Data'!X55,0)</f>
        <v>25</v>
      </c>
      <c r="K85" s="27">
        <f>IFERROR('Nestle Data'!Y55,0)</f>
        <v>312</v>
      </c>
      <c r="L85" s="27">
        <f>IFERROR('Nestle Data'!Z55,0)</f>
        <v>284</v>
      </c>
    </row>
    <row r="86" spans="2:12" outlineLevel="1" x14ac:dyDescent="0.3">
      <c r="B86" t="s">
        <v>96</v>
      </c>
      <c r="C86" s="27">
        <f>IFERROR('Nestle Data'!Q56,0)</f>
        <v>99</v>
      </c>
      <c r="D86" s="27">
        <f>IFERROR('Nestle Data'!R56,0)</f>
        <v>126</v>
      </c>
      <c r="E86" s="27">
        <f>IFERROR('Nestle Data'!S56,0)</f>
        <v>154</v>
      </c>
      <c r="F86" s="27">
        <f>IFERROR('Nestle Data'!T56,0)</f>
        <v>237</v>
      </c>
      <c r="G86" s="27">
        <f>IFERROR('Nestle Data'!U56,0)</f>
        <v>238</v>
      </c>
      <c r="H86" s="27">
        <f>IFERROR('Nestle Data'!V56,0)</f>
        <v>148</v>
      </c>
      <c r="I86" s="27">
        <f>IFERROR('Nestle Data'!W56,0)</f>
        <v>125</v>
      </c>
      <c r="J86" s="27">
        <f>IFERROR('Nestle Data'!X56,0)</f>
        <v>103</v>
      </c>
      <c r="K86" s="27">
        <f>IFERROR('Nestle Data'!Y56,0)</f>
        <v>0</v>
      </c>
      <c r="L86" s="27">
        <f>IFERROR('Nestle Data'!Z56,0)</f>
        <v>167</v>
      </c>
    </row>
    <row r="87" spans="2:12" outlineLevel="1" x14ac:dyDescent="0.3">
      <c r="B87" t="s">
        <v>97</v>
      </c>
      <c r="C87" s="27">
        <f>IFERROR('Nestle Data'!Q57,0)</f>
        <v>12</v>
      </c>
      <c r="D87" s="27">
        <f>IFERROR('Nestle Data'!R57,0)</f>
        <v>13</v>
      </c>
      <c r="E87" s="27">
        <f>IFERROR('Nestle Data'!S57,0)</f>
        <v>16</v>
      </c>
      <c r="F87" s="27">
        <f>IFERROR('Nestle Data'!T57,0)</f>
        <v>19</v>
      </c>
      <c r="G87" s="27">
        <f>IFERROR('Nestle Data'!U57,0)</f>
        <v>13</v>
      </c>
      <c r="H87" s="27">
        <f>IFERROR('Nestle Data'!V57,0)</f>
        <v>2</v>
      </c>
      <c r="I87" s="27">
        <f>IFERROR('Nestle Data'!W57,0)</f>
        <v>0</v>
      </c>
      <c r="J87" s="27">
        <f>IFERROR('Nestle Data'!X57,0)</f>
        <v>0</v>
      </c>
      <c r="K87" s="27">
        <f>IFERROR('Nestle Data'!Y57,0)</f>
        <v>0</v>
      </c>
      <c r="L87" s="27">
        <f>IFERROR('Nestle Data'!Z57,0)</f>
        <v>0</v>
      </c>
    </row>
    <row r="88" spans="2:12" outlineLevel="1" x14ac:dyDescent="0.3">
      <c r="B88" t="s">
        <v>98</v>
      </c>
      <c r="C88" s="27">
        <f>IFERROR('Nestle Data'!Q58,0)</f>
        <v>6</v>
      </c>
      <c r="D88" s="27">
        <f>IFERROR('Nestle Data'!R58,0)</f>
        <v>1</v>
      </c>
      <c r="E88" s="27">
        <f>IFERROR('Nestle Data'!S58,0)</f>
        <v>7</v>
      </c>
      <c r="F88" s="27">
        <f>IFERROR('Nestle Data'!T58,0)</f>
        <v>15</v>
      </c>
      <c r="G88" s="27">
        <f>IFERROR('Nestle Data'!U58,0)</f>
        <v>0</v>
      </c>
      <c r="H88" s="27">
        <f>IFERROR('Nestle Data'!V58,0)</f>
        <v>3</v>
      </c>
      <c r="I88" s="27">
        <f>IFERROR('Nestle Data'!W58,0)</f>
        <v>-1314</v>
      </c>
      <c r="J88" s="27">
        <f>IFERROR('Nestle Data'!X58,0)</f>
        <v>20</v>
      </c>
      <c r="K88" s="27">
        <f>IFERROR('Nestle Data'!Y58,0)</f>
        <v>126</v>
      </c>
      <c r="L88" s="27">
        <f>IFERROR('Nestle Data'!Z58,0)</f>
        <v>190</v>
      </c>
    </row>
    <row r="89" spans="2:12" outlineLevel="1" x14ac:dyDescent="0.3">
      <c r="B89" s="24" t="s">
        <v>108</v>
      </c>
      <c r="C89" s="29">
        <f>SUM(C82:C88)</f>
        <v>-70</v>
      </c>
      <c r="D89" s="29">
        <f t="shared" ref="D89:L89" si="23">SUM(D82:D88)</f>
        <v>-126</v>
      </c>
      <c r="E89" s="29">
        <f t="shared" si="23"/>
        <v>-131</v>
      </c>
      <c r="F89" s="29">
        <f t="shared" si="23"/>
        <v>-52</v>
      </c>
      <c r="G89" s="29">
        <f t="shared" si="23"/>
        <v>82</v>
      </c>
      <c r="H89" s="29">
        <f t="shared" si="23"/>
        <v>-321</v>
      </c>
      <c r="I89" s="29">
        <f t="shared" si="23"/>
        <v>-1920</v>
      </c>
      <c r="J89" s="29">
        <f t="shared" si="23"/>
        <v>-393</v>
      </c>
      <c r="K89" s="29">
        <f t="shared" si="23"/>
        <v>-926</v>
      </c>
      <c r="L89" s="29">
        <f t="shared" si="23"/>
        <v>-1238</v>
      </c>
    </row>
    <row r="90" spans="2:12" outlineLevel="1" x14ac:dyDescent="0.3"/>
    <row r="91" spans="2:12" outlineLevel="1" x14ac:dyDescent="0.3">
      <c r="B91" s="24" t="s">
        <v>111</v>
      </c>
    </row>
    <row r="92" spans="2:12" outlineLevel="1" x14ac:dyDescent="0.3">
      <c r="B92" t="s">
        <v>100</v>
      </c>
      <c r="C92" s="27">
        <f>IFERROR('Nestle Data'!Q60,0)</f>
        <v>0</v>
      </c>
      <c r="D92" s="27">
        <f>IFERROR('Nestle Data'!R60,0)</f>
        <v>0</v>
      </c>
      <c r="E92" s="27">
        <f>IFERROR('Nestle Data'!S60,0)</f>
        <v>0</v>
      </c>
      <c r="F92" s="27">
        <f>IFERROR('Nestle Data'!T60,0)</f>
        <v>0</v>
      </c>
      <c r="G92" s="27">
        <f>IFERROR('Nestle Data'!U60,0)</f>
        <v>0</v>
      </c>
      <c r="H92" s="27">
        <f>IFERROR('Nestle Data'!V60,0)</f>
        <v>0</v>
      </c>
      <c r="I92" s="27">
        <f>IFERROR('Nestle Data'!W60,0)</f>
        <v>24</v>
      </c>
      <c r="J92" s="27">
        <f>IFERROR('Nestle Data'!X60,0)</f>
        <v>0</v>
      </c>
      <c r="K92" s="27">
        <f>IFERROR('Nestle Data'!Y60,0)</f>
        <v>0</v>
      </c>
      <c r="L92" s="27">
        <f>IFERROR('Nestle Data'!Z60,0)</f>
        <v>0</v>
      </c>
    </row>
    <row r="93" spans="2:12" outlineLevel="1" x14ac:dyDescent="0.3">
      <c r="B93" t="s">
        <v>101</v>
      </c>
      <c r="C93" s="27">
        <f>IFERROR('Nestle Data'!Q61,0)</f>
        <v>-3</v>
      </c>
      <c r="D93" s="27">
        <f>IFERROR('Nestle Data'!R61,0)</f>
        <v>0</v>
      </c>
      <c r="E93" s="27">
        <f>IFERROR('Nestle Data'!S61,0)</f>
        <v>0</v>
      </c>
      <c r="F93" s="27">
        <f>IFERROR('Nestle Data'!T61,0)</f>
        <v>0</v>
      </c>
      <c r="G93" s="27">
        <f>IFERROR('Nestle Data'!U61,0)</f>
        <v>0</v>
      </c>
      <c r="H93" s="27">
        <f>IFERROR('Nestle Data'!V61,0)</f>
        <v>0</v>
      </c>
      <c r="I93" s="27">
        <f>IFERROR('Nestle Data'!W61,0)</f>
        <v>-24</v>
      </c>
      <c r="J93" s="27">
        <f>IFERROR('Nestle Data'!X61,0)</f>
        <v>0</v>
      </c>
      <c r="K93" s="27">
        <f>IFERROR('Nestle Data'!Y61,0)</f>
        <v>0</v>
      </c>
      <c r="L93" s="27">
        <f>IFERROR('Nestle Data'!Z61,0)</f>
        <v>0</v>
      </c>
    </row>
    <row r="94" spans="2:12" outlineLevel="1" x14ac:dyDescent="0.3">
      <c r="B94" t="s">
        <v>102</v>
      </c>
      <c r="C94" s="27">
        <f>IFERROR('Nestle Data'!Q62,0)</f>
        <v>0</v>
      </c>
      <c r="D94" s="27">
        <f>IFERROR('Nestle Data'!R62,0)</f>
        <v>0</v>
      </c>
      <c r="E94" s="27">
        <f>IFERROR('Nestle Data'!S62,0)</f>
        <v>0</v>
      </c>
      <c r="F94" s="27">
        <f>IFERROR('Nestle Data'!T62,0)</f>
        <v>0</v>
      </c>
      <c r="G94" s="27">
        <f>IFERROR('Nestle Data'!U62,0)</f>
        <v>0</v>
      </c>
      <c r="H94" s="27">
        <f>IFERROR('Nestle Data'!V62,0)</f>
        <v>0</v>
      </c>
      <c r="I94" s="27">
        <f>IFERROR('Nestle Data'!W62,0)</f>
        <v>0</v>
      </c>
      <c r="J94" s="27">
        <f>IFERROR('Nestle Data'!X62,0)</f>
        <v>0</v>
      </c>
      <c r="K94" s="27">
        <f>IFERROR('Nestle Data'!Y62,0)</f>
        <v>0</v>
      </c>
      <c r="L94" s="27">
        <f>IFERROR('Nestle Data'!Z62,0)</f>
        <v>0</v>
      </c>
    </row>
    <row r="95" spans="2:12" outlineLevel="1" x14ac:dyDescent="0.3">
      <c r="B95" t="s">
        <v>103</v>
      </c>
      <c r="C95" s="27">
        <f>IFERROR('Nestle Data'!Q63,0)</f>
        <v>-3</v>
      </c>
      <c r="D95" s="27">
        <f>IFERROR('Nestle Data'!R63,0)</f>
        <v>-4</v>
      </c>
      <c r="E95" s="27">
        <f>IFERROR('Nestle Data'!S63,0)</f>
        <v>-1</v>
      </c>
      <c r="F95" s="27">
        <f>IFERROR('Nestle Data'!T63,0)</f>
        <v>-4</v>
      </c>
      <c r="G95" s="27">
        <f>IFERROR('Nestle Data'!U63,0)</f>
        <v>-63</v>
      </c>
      <c r="H95" s="27">
        <f>IFERROR('Nestle Data'!V63,0)</f>
        <v>-69</v>
      </c>
      <c r="I95" s="27">
        <f>IFERROR('Nestle Data'!W63,0)</f>
        <v>-9</v>
      </c>
      <c r="J95" s="27">
        <f>IFERROR('Nestle Data'!X63,0)</f>
        <v>-18</v>
      </c>
      <c r="K95" s="27">
        <f>IFERROR('Nestle Data'!Y63,0)</f>
        <v>-20</v>
      </c>
      <c r="L95" s="27">
        <f>IFERROR('Nestle Data'!Z63,0)</f>
        <v>-26</v>
      </c>
    </row>
    <row r="96" spans="2:12" outlineLevel="1" x14ac:dyDescent="0.3">
      <c r="B96" t="s">
        <v>104</v>
      </c>
      <c r="C96" s="27">
        <f>IFERROR('Nestle Data'!Q64,0)</f>
        <v>-410</v>
      </c>
      <c r="D96" s="27">
        <f>IFERROR('Nestle Data'!R64,0)</f>
        <v>-564</v>
      </c>
      <c r="E96" s="27">
        <f>IFERROR('Nestle Data'!S64,0)</f>
        <v>-829</v>
      </c>
      <c r="F96" s="27">
        <f>IFERROR('Nestle Data'!T64,0)</f>
        <v>-1090</v>
      </c>
      <c r="G96" s="27">
        <f>IFERROR('Nestle Data'!U64,0)</f>
        <v>-2950</v>
      </c>
      <c r="H96" s="27">
        <f>IFERROR('Nestle Data'!V64,0)</f>
        <v>-1890</v>
      </c>
      <c r="I96" s="27">
        <f>IFERROR('Nestle Data'!W64,0)</f>
        <v>-1928</v>
      </c>
      <c r="J96" s="27">
        <f>IFERROR('Nestle Data'!X64,0)</f>
        <v>-2025</v>
      </c>
      <c r="K96" s="27">
        <f>IFERROR('Nestle Data'!Y64,0)</f>
        <v>-2333</v>
      </c>
      <c r="L96" s="27">
        <f>IFERROR('Nestle Data'!Z64,0)</f>
        <v>-3008</v>
      </c>
    </row>
    <row r="97" spans="2:12" outlineLevel="1" x14ac:dyDescent="0.3">
      <c r="B97" t="s">
        <v>105</v>
      </c>
      <c r="C97" s="27">
        <f>IFERROR('Nestle Data'!Q65,0)</f>
        <v>0</v>
      </c>
      <c r="D97" s="27">
        <f>IFERROR('Nestle Data'!R65,0)</f>
        <v>0</v>
      </c>
      <c r="E97" s="27">
        <f>IFERROR('Nestle Data'!S65,0)</f>
        <v>0</v>
      </c>
      <c r="F97" s="27">
        <f>IFERROR('Nestle Data'!T65,0)</f>
        <v>0</v>
      </c>
      <c r="G97" s="27">
        <f>IFERROR('Nestle Data'!U65,0)</f>
        <v>0</v>
      </c>
      <c r="H97" s="27">
        <f>IFERROR('Nestle Data'!V65,0)</f>
        <v>0</v>
      </c>
      <c r="I97" s="27">
        <f>IFERROR('Nestle Data'!W65,0)</f>
        <v>-79</v>
      </c>
      <c r="J97" s="27">
        <f>IFERROR('Nestle Data'!X65,0)</f>
        <v>-73</v>
      </c>
      <c r="K97" s="27">
        <f>IFERROR('Nestle Data'!Y65,0)</f>
        <v>-166</v>
      </c>
      <c r="L97" s="27">
        <f>IFERROR('Nestle Data'!Z65,0)</f>
        <v>-100</v>
      </c>
    </row>
    <row r="98" spans="2:12" outlineLevel="1" x14ac:dyDescent="0.3">
      <c r="B98" t="s">
        <v>106</v>
      </c>
      <c r="C98" s="27">
        <f>IFERROR('Nestle Data'!Q66,0)</f>
        <v>-82</v>
      </c>
      <c r="D98" s="27">
        <f>IFERROR('Nestle Data'!R66,0)</f>
        <v>-98</v>
      </c>
      <c r="E98" s="27">
        <f>IFERROR('Nestle Data'!S66,0)</f>
        <v>-167</v>
      </c>
      <c r="F98" s="27">
        <f>IFERROR('Nestle Data'!T66,0)</f>
        <v>-224</v>
      </c>
      <c r="G98" s="27">
        <f>IFERROR('Nestle Data'!U66,0)</f>
        <v>-588</v>
      </c>
      <c r="H98" s="27">
        <f>IFERROR('Nestle Data'!V66,0)</f>
        <v>3</v>
      </c>
      <c r="I98" s="27">
        <f>IFERROR('Nestle Data'!W66,0)</f>
        <v>-3</v>
      </c>
      <c r="J98" s="27">
        <f>IFERROR('Nestle Data'!X66,0)</f>
        <v>-7</v>
      </c>
      <c r="K98" s="27">
        <f>IFERROR('Nestle Data'!Y66,0)</f>
        <v>83</v>
      </c>
      <c r="L98" s="27">
        <f>IFERROR('Nestle Data'!Z66,0)</f>
        <v>-1</v>
      </c>
    </row>
    <row r="99" spans="2:12" outlineLevel="1" x14ac:dyDescent="0.3">
      <c r="B99" s="24" t="s">
        <v>112</v>
      </c>
      <c r="C99" s="29">
        <f>SUM(C92:C98)</f>
        <v>-498</v>
      </c>
      <c r="D99" s="29">
        <f t="shared" ref="D99:L99" si="24">SUM(D92:D98)</f>
        <v>-666</v>
      </c>
      <c r="E99" s="29">
        <f t="shared" si="24"/>
        <v>-997</v>
      </c>
      <c r="F99" s="29">
        <f t="shared" si="24"/>
        <v>-1318</v>
      </c>
      <c r="G99" s="29">
        <f t="shared" si="24"/>
        <v>-3601</v>
      </c>
      <c r="H99" s="29">
        <f t="shared" si="24"/>
        <v>-1956</v>
      </c>
      <c r="I99" s="29">
        <f t="shared" si="24"/>
        <v>-2019</v>
      </c>
      <c r="J99" s="29">
        <f t="shared" si="24"/>
        <v>-2123</v>
      </c>
      <c r="K99" s="29">
        <f t="shared" si="24"/>
        <v>-2436</v>
      </c>
      <c r="L99" s="29">
        <f t="shared" si="24"/>
        <v>-3135</v>
      </c>
    </row>
    <row r="100" spans="2:12" outlineLevel="1" x14ac:dyDescent="0.3"/>
    <row r="101" spans="2:12" outlineLevel="1" x14ac:dyDescent="0.3">
      <c r="B101" s="24" t="s">
        <v>39</v>
      </c>
      <c r="C101" s="29">
        <f>SUM(C79,C89,C99)</f>
        <v>861</v>
      </c>
      <c r="D101" s="29">
        <f t="shared" ref="D101:L101" si="25">SUM(D79,D89,D99)</f>
        <v>879</v>
      </c>
      <c r="E101" s="29">
        <f t="shared" si="25"/>
        <v>1065</v>
      </c>
      <c r="F101" s="29">
        <f t="shared" si="25"/>
        <v>1096</v>
      </c>
      <c r="G101" s="29">
        <f t="shared" si="25"/>
        <v>-1062</v>
      </c>
      <c r="H101" s="29">
        <f t="shared" si="25"/>
        <v>275</v>
      </c>
      <c r="I101" s="29">
        <f t="shared" si="25"/>
        <v>-1877</v>
      </c>
      <c r="J101" s="29">
        <f t="shared" si="25"/>
        <v>191</v>
      </c>
      <c r="K101" s="29">
        <f t="shared" si="25"/>
        <v>94</v>
      </c>
      <c r="L101" s="29">
        <f t="shared" si="25"/>
        <v>-448</v>
      </c>
    </row>
    <row r="102" spans="2:12" outlineLevel="1" x14ac:dyDescent="0.3"/>
  </sheetData>
  <mergeCells count="1">
    <mergeCell ref="B2:M2"/>
  </mergeCells>
  <pageMargins left="0.7" right="0.7" top="0.75" bottom="0.75" header="0.3" footer="0.3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424E-02BB-42A5-8A85-067743C1EEFA}">
  <dimension ref="B2:M40"/>
  <sheetViews>
    <sheetView showGridLines="0" workbookViewId="0">
      <selection activeCell="M42" sqref="M42"/>
    </sheetView>
  </sheetViews>
  <sheetFormatPr defaultRowHeight="14.4" x14ac:dyDescent="0.3"/>
  <cols>
    <col min="1" max="1" width="1.88671875" customWidth="1"/>
    <col min="2" max="2" width="27.88671875" customWidth="1"/>
    <col min="3" max="3" width="11" bestFit="1" customWidth="1"/>
    <col min="4" max="4" width="13" customWidth="1"/>
    <col min="5" max="5" width="11.109375" customWidth="1"/>
    <col min="6" max="6" width="11.33203125" customWidth="1"/>
    <col min="7" max="7" width="11.6640625" customWidth="1"/>
    <col min="8" max="8" width="11.44140625" customWidth="1"/>
    <col min="9" max="9" width="11.88671875" customWidth="1"/>
    <col min="10" max="10" width="11.5546875" customWidth="1"/>
    <col min="11" max="11" width="12.21875" customWidth="1"/>
    <col min="12" max="12" width="11.33203125" customWidth="1"/>
  </cols>
  <sheetData>
    <row r="2" spans="2:13" x14ac:dyDescent="0.3">
      <c r="B2" s="127" t="str">
        <f>"Ratio Analysis - "&amp;'Nestle Data'!B1</f>
        <v>Ratio Analysis - Nestle India Ltd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2:13" x14ac:dyDescent="0.3">
      <c r="B3" s="12" t="s">
        <v>48</v>
      </c>
      <c r="C3" s="13">
        <f>'Nestle Data'!C4</f>
        <v>42369</v>
      </c>
      <c r="D3" s="13">
        <f>'Nestle Data'!D4</f>
        <v>42735</v>
      </c>
      <c r="E3" s="13">
        <f>'Nestle Data'!E4</f>
        <v>43100</v>
      </c>
      <c r="F3" s="13">
        <f>'Nestle Data'!F4</f>
        <v>43465</v>
      </c>
      <c r="G3" s="13">
        <f>'Nestle Data'!G4</f>
        <v>43830</v>
      </c>
      <c r="H3" s="13">
        <f>'Nestle Data'!H4</f>
        <v>44196</v>
      </c>
      <c r="I3" s="13">
        <f>'Nestle Data'!I4</f>
        <v>44561</v>
      </c>
      <c r="J3" s="13">
        <f>'Nestle Data'!J4</f>
        <v>44926</v>
      </c>
      <c r="K3" s="13">
        <f>'Nestle Data'!K4</f>
        <v>45291</v>
      </c>
      <c r="L3" s="13">
        <f>'Nestle Data'!L4</f>
        <v>45382</v>
      </c>
    </row>
    <row r="5" spans="2:13" x14ac:dyDescent="0.3">
      <c r="B5" t="s">
        <v>52</v>
      </c>
      <c r="C5" s="31" t="s">
        <v>141</v>
      </c>
      <c r="D5" s="22">
        <f>IFERROR('3 Statements'!D7,0)</f>
        <v>0.11816432649037156</v>
      </c>
      <c r="E5" s="22">
        <f>IFERROR('3 Statements'!E7,0)</f>
        <v>9.4981698525599123E-2</v>
      </c>
      <c r="F5" s="22">
        <f>IFERROR('3 Statements'!F7,0)</f>
        <v>0.12814398177749364</v>
      </c>
      <c r="G5" s="22">
        <f>IFERROR('3 Statements'!G7,0)</f>
        <v>9.5342211973323376E-2</v>
      </c>
      <c r="H5" s="22">
        <f>IFERROR('3 Statements'!H7,0)</f>
        <v>7.932233262456645E-2</v>
      </c>
      <c r="I5" s="22">
        <f>IFERROR('3 Statements'!I7,0)</f>
        <v>0.10416156368187934</v>
      </c>
      <c r="J5" s="22">
        <f>IFERROR('3 Statements'!J7,0)</f>
        <v>0.14628790299438488</v>
      </c>
      <c r="K5" s="22">
        <f>IFERROR('3 Statements'!K7,0)</f>
        <v>0.13193734257523237</v>
      </c>
      <c r="L5" s="22">
        <f>IFERROR('3 Statements'!L7,0)</f>
        <v>0.27541082174806419</v>
      </c>
    </row>
    <row r="6" spans="2:13" x14ac:dyDescent="0.3">
      <c r="B6" t="s">
        <v>113</v>
      </c>
      <c r="C6" s="22">
        <f>IFERROR('3 Statements'!D18/'3 Statements'!C18-1,0)</f>
        <v>0.16191960072710176</v>
      </c>
      <c r="D6" s="22">
        <f>IFERROR('3 Statements'!E18/'3 Statements'!D18-1,0)</f>
        <v>5.6085515557203314E-2</v>
      </c>
      <c r="E6" s="22">
        <f>IFERROR('3 Statements'!F18/'3 Statements'!E18-1,0)</f>
        <v>0.34490376327158367</v>
      </c>
      <c r="F6" s="22">
        <f>IFERROR('3 Statements'!G18/'3 Statements'!F18-1,0)</f>
        <v>1.2231207040140024E-2</v>
      </c>
      <c r="G6" s="22">
        <f>IFERROR('3 Statements'!H18/'3 Statements'!G18-1,0)</f>
        <v>0.1612663507109009</v>
      </c>
      <c r="H6" s="22">
        <f>IFERROR('3 Statements'!I18/'3 Statements'!H18-1,0)</f>
        <v>0.11896801661203238</v>
      </c>
      <c r="I6" s="22">
        <f>IFERROR('3 Statements'!J18/'3 Statements'!I18-1,0)</f>
        <v>-6.4620888066713289E-2</v>
      </c>
      <c r="J6" s="22">
        <f>IFERROR('3 Statements'!K18/'3 Statements'!J18-1,0)</f>
        <v>0.36971691491850667</v>
      </c>
      <c r="K6" s="22">
        <f>IFERROR('3 Statements'!L18/'3 Statements'!K18-1,0)</f>
        <v>0.30308109597651556</v>
      </c>
      <c r="L6" s="22">
        <f>IFERROR('3 Statements'!M18/'3 Statements'!L18-1,0)</f>
        <v>-0.10974013376932745</v>
      </c>
    </row>
    <row r="7" spans="2:13" x14ac:dyDescent="0.3">
      <c r="B7" t="s">
        <v>114</v>
      </c>
      <c r="C7" s="22">
        <f>IFERROR('3 Statements'!D27/'3 Statements'!C27-1,0)</f>
        <v>0.13157809039989532</v>
      </c>
      <c r="D7" s="22">
        <f>IFERROR('3 Statements'!E27/'3 Statements'!D27-1,0)</f>
        <v>8.1528699080536393E-2</v>
      </c>
      <c r="E7" s="22">
        <f>IFERROR('3 Statements'!F27/'3 Statements'!E27-1,0)</f>
        <v>0.43555339728323728</v>
      </c>
      <c r="F7" s="22">
        <f>IFERROR('3 Statements'!G27/'3 Statements'!F27-1,0)</f>
        <v>-9.1658518727902871E-3</v>
      </c>
      <c r="G7" s="22">
        <f>IFERROR('3 Statements'!H27/'3 Statements'!G27-1,0)</f>
        <v>0.18241723294500645</v>
      </c>
      <c r="H7" s="22">
        <f>IFERROR('3 Statements'!I27/'3 Statements'!H27-1,0)</f>
        <v>0.12112582467131694</v>
      </c>
      <c r="I7" s="22">
        <f>IFERROR('3 Statements'!J27/'3 Statements'!I27-1,0)</f>
        <v>-6.5743053497594461E-2</v>
      </c>
      <c r="J7" s="22">
        <f>IFERROR('3 Statements'!K27/'3 Statements'!J27-1,0)</f>
        <v>0.45110396991129842</v>
      </c>
      <c r="K7" s="22">
        <f>IFERROR('3 Statements'!L27/'3 Statements'!K27-1,0)</f>
        <v>0.31116876628057399</v>
      </c>
      <c r="L7" s="22">
        <f>IFERROR('3 Statements'!M27/'3 Statements'!L27-1,0)</f>
        <v>-0.10817263799687227</v>
      </c>
    </row>
    <row r="8" spans="2:13" x14ac:dyDescent="0.3">
      <c r="B8" t="s">
        <v>115</v>
      </c>
      <c r="C8" s="22">
        <f>IFERROR('3 Statements'!D33/'3 Statements'!C33-1,0)</f>
        <v>-0.13501574706532016</v>
      </c>
      <c r="D8" s="22">
        <f>IFERROR('3 Statements'!E33/'3 Statements'!D33-1,0)</f>
        <v>5.1104123321354944E-2</v>
      </c>
      <c r="E8" s="22">
        <f>IFERROR('3 Statements'!F33/'3 Statements'!E33-1,0)</f>
        <v>0.50254737670809124</v>
      </c>
      <c r="F8" s="22">
        <f>IFERROR('3 Statements'!G33/'3 Statements'!F33-1,0)</f>
        <v>7.2747550505617431E-2</v>
      </c>
      <c r="G8" s="22">
        <f>IFERROR('3 Statements'!H33/'3 Statements'!G33-1,0)</f>
        <v>0.25449699270154547</v>
      </c>
      <c r="H8" s="22">
        <f>IFERROR('3 Statements'!I33/'3 Statements'!H33-1,0)</f>
        <v>0.16557466405624144</v>
      </c>
      <c r="I8" s="22">
        <f>IFERROR('3 Statements'!J33/'3 Statements'!I33-1,0)</f>
        <v>-0.14930736157968405</v>
      </c>
      <c r="J8" s="22">
        <f>IFERROR('3 Statements'!K33/'3 Statements'!J33-1,0)</f>
        <v>0.57240060132830939</v>
      </c>
      <c r="K8" s="22">
        <f>IFERROR('3 Statements'!L33/'3 Statements'!K33-1,0)</f>
        <v>0.31369709077288088</v>
      </c>
      <c r="L8" s="22">
        <f>IFERROR('3 Statements'!M33/'3 Statements'!L33-1,0)</f>
        <v>-8.6688626445693195E-2</v>
      </c>
    </row>
    <row r="9" spans="2:13" x14ac:dyDescent="0.3">
      <c r="B9" t="s">
        <v>116</v>
      </c>
      <c r="C9" s="22">
        <f>IFERROR('3 Statements'!D41/'3 Statements'!C41-1,0)</f>
        <v>0.29896929261825367</v>
      </c>
      <c r="D9" s="22">
        <f>IFERROR('3 Statements'!E41/'3 Statements'!D41-1,0)</f>
        <v>0.36506708371059338</v>
      </c>
      <c r="E9" s="22">
        <f>IFERROR('3 Statements'!F41/'3 Statements'!E41-1,0)</f>
        <v>0.33721252758649767</v>
      </c>
      <c r="F9" s="22">
        <f>IFERROR('3 Statements'!G41/'3 Statements'!F41-1,0)</f>
        <v>1.9739094360722569</v>
      </c>
      <c r="G9" s="22">
        <f>IFERROR('3 Statements'!H41/'3 Statements'!G41-1,0)</f>
        <v>-0.41520396899525702</v>
      </c>
      <c r="H9" s="22">
        <f>IFERROR('3 Statements'!I41/'3 Statements'!H41-1,0)</f>
        <v>0</v>
      </c>
      <c r="I9" s="22">
        <f>IFERROR('3 Statements'!J41/'3 Statements'!I41-1,0)</f>
        <v>9.9999999999999867E-2</v>
      </c>
      <c r="J9" s="22">
        <f>IFERROR('3 Statements'!K41/'3 Statements'!J41-1,0)</f>
        <v>-0.20908996624615772</v>
      </c>
      <c r="K9" s="22">
        <f>IFERROR('3 Statements'!L41/'3 Statements'!K41-1,0)</f>
        <v>0.85057012236918172</v>
      </c>
      <c r="L9" s="22">
        <f>IFERROR('3 Statements'!M41/'3 Statements'!L41-1,0)</f>
        <v>-1</v>
      </c>
    </row>
    <row r="11" spans="2:13" x14ac:dyDescent="0.3">
      <c r="B11" t="s">
        <v>117</v>
      </c>
      <c r="C11" s="32">
        <f>IFERROR('3 Statements'!C13,0)</f>
        <v>0.41894313487806584</v>
      </c>
      <c r="D11" s="32">
        <f>IFERROR('3 Statements'!D13,0)</f>
        <v>0.4289535232252602</v>
      </c>
      <c r="E11" s="32">
        <f>IFERROR('3 Statements'!E13,0)</f>
        <v>0.40254555626598471</v>
      </c>
      <c r="F11" s="32">
        <f>IFERROR('3 Statements'!F13,0)</f>
        <v>0.44622117607885747</v>
      </c>
      <c r="G11" s="32">
        <f>IFERROR('3 Statements'!G13,0)</f>
        <v>0.41042857489348289</v>
      </c>
      <c r="H11" s="32">
        <f>IFERROR('3 Statements'!H13,0)</f>
        <v>0.41377959450278395</v>
      </c>
      <c r="I11" s="32">
        <f>IFERROR('3 Statements'!I13,0)</f>
        <v>0.41275552742461452</v>
      </c>
      <c r="J11" s="32">
        <f>IFERROR('3 Statements'!J13,0)</f>
        <v>0.36543378217146738</v>
      </c>
      <c r="K11" s="32">
        <f>IFERROR('3 Statements'!K13,0)</f>
        <v>0.45823760999252339</v>
      </c>
      <c r="L11" s="32">
        <f>IFERROR('3 Statements'!L13,0)</f>
        <v>0.41817069766240644</v>
      </c>
    </row>
    <row r="12" spans="2:13" x14ac:dyDescent="0.3">
      <c r="B12" t="s">
        <v>118</v>
      </c>
      <c r="C12" s="22">
        <f>IFERROR('3 Statements'!C19,0)</f>
        <v>0.19312662149814508</v>
      </c>
      <c r="D12" s="22">
        <f>IFERROR('3 Statements'!D19,0)</f>
        <v>0.20068392598896878</v>
      </c>
      <c r="E12" s="22">
        <f>IFERROR('3 Statements'!E19,0)</f>
        <v>0.19355518702046043</v>
      </c>
      <c r="F12" s="22">
        <f>IFERROR('3 Statements'!F19,0)</f>
        <v>0.23074457128637554</v>
      </c>
      <c r="G12" s="22">
        <f>IFERROR('3 Statements'!G19,0)</f>
        <v>0.21323642361083039</v>
      </c>
      <c r="H12" s="22">
        <f>IFERROR('3 Statements'!H19,0)</f>
        <v>0.22942570166508996</v>
      </c>
      <c r="I12" s="22">
        <f>IFERROR('3 Statements'!I19,0)</f>
        <v>0.23250222684437993</v>
      </c>
      <c r="J12" s="22">
        <f>IFERROR('3 Statements'!J19,0)</f>
        <v>0.18972347688578287</v>
      </c>
      <c r="K12" s="22">
        <f>IFERROR('3 Statements'!K19,0)</f>
        <v>0.22957759733978864</v>
      </c>
      <c r="L12" s="22">
        <f>IFERROR('3 Statements'!L19,0)</f>
        <v>0.23455832587586481</v>
      </c>
    </row>
    <row r="13" spans="2:13" x14ac:dyDescent="0.3">
      <c r="B13" t="s">
        <v>119</v>
      </c>
      <c r="C13" s="22">
        <f>IFERROR('3 Statements'!C18-'3 Statements'!C24/'3 Statements'!C6,0)</f>
        <v>1578.8275233232753</v>
      </c>
      <c r="D13" s="22">
        <f>IFERROR('3 Statements'!D18-'3 Statements'!D24/'3 Statements'!D6,0)</f>
        <v>1834.4813109237814</v>
      </c>
      <c r="E13" s="22">
        <f>IFERROR('3 Statements'!E18-'3 Statements'!E24/'3 Statements'!E6,0)</f>
        <v>1937.3758078244894</v>
      </c>
      <c r="F13" s="22">
        <f>IFERROR('3 Statements'!F18-'3 Statements'!F24/'3 Statements'!F6,0)</f>
        <v>2605.6002743558206</v>
      </c>
      <c r="G13" s="22">
        <f>IFERROR('3 Statements'!G18-'3 Statements'!G24/'3 Statements'!G6,0)</f>
        <v>2637.4700741375545</v>
      </c>
      <c r="H13" s="22">
        <f>IFERROR('3 Statements'!H18-'3 Statements'!H24/'3 Statements'!H6,0)</f>
        <v>3062.8122562421217</v>
      </c>
      <c r="I13" s="22">
        <f>IFERROR('3 Statements'!I18-'3 Statements'!I24/'3 Statements'!I6,0)</f>
        <v>3427.1934732463205</v>
      </c>
      <c r="J13" s="22">
        <f>IFERROR('3 Statements'!J18-'3 Statements'!J24/'3 Statements'!J6,0)</f>
        <v>3205.7261489640714</v>
      </c>
      <c r="K13" s="22">
        <f>IFERROR('3 Statements'!K18-'3 Statements'!K24/'3 Statements'!K6,0)</f>
        <v>4390.947574857656</v>
      </c>
      <c r="L13" s="22">
        <f>IFERROR('3 Statements'!L18-'3 Statements'!L24/'3 Statements'!L6,0)</f>
        <v>5721.7679543156091</v>
      </c>
      <c r="M13" s="24" t="s">
        <v>142</v>
      </c>
    </row>
    <row r="14" spans="2:13" x14ac:dyDescent="0.3">
      <c r="B14" t="s">
        <v>120</v>
      </c>
      <c r="C14" s="22">
        <f>IFERROR('3 Statements'!C28,0)</f>
        <v>0.15024751354994495</v>
      </c>
      <c r="D14" s="22">
        <f>IFERROR('3 Statements'!D28,0)</f>
        <v>0.15204991828331513</v>
      </c>
      <c r="E14" s="22">
        <f>IFERROR('3 Statements'!E28,0)</f>
        <v>0.15018182544757039</v>
      </c>
      <c r="F14" s="22">
        <f>IFERROR('3 Statements'!F28,0)</f>
        <v>0.19110506567767155</v>
      </c>
      <c r="G14" s="22">
        <f>IFERROR('3 Statements'!G28,0)</f>
        <v>0.17287147604071504</v>
      </c>
      <c r="H14" s="22">
        <f>IFERROR('3 Statements'!H28,0)</f>
        <v>0.18938384408124934</v>
      </c>
      <c r="I14" s="22">
        <f>IFERROR('3 Statements'!I28,0)</f>
        <v>0.19229352420764695</v>
      </c>
      <c r="J14" s="22">
        <f>IFERROR('3 Statements'!J28,0)</f>
        <v>0.15672464159233362</v>
      </c>
      <c r="K14" s="22">
        <f>IFERROR('3 Statements'!K28,0)</f>
        <v>0.20091549332594383</v>
      </c>
      <c r="L14" s="22">
        <f>IFERROR('3 Statements'!L28,0)</f>
        <v>0.20654844307324499</v>
      </c>
    </row>
    <row r="15" spans="2:13" x14ac:dyDescent="0.3">
      <c r="B15" t="s">
        <v>121</v>
      </c>
      <c r="C15" s="22">
        <f>IFERROR('3 Statements'!C34,0)</f>
        <v>0.11962359837119334</v>
      </c>
      <c r="D15" s="22">
        <f>IFERROR('3 Statements'!D34,0)</f>
        <v>9.2537855500397101E-2</v>
      </c>
      <c r="E15" s="22">
        <f>IFERROR('3 Statements'!E34,0)</f>
        <v>8.8829723465473215E-2</v>
      </c>
      <c r="F15" s="22">
        <f>IFERROR('3 Statements'!F34,0)</f>
        <v>0.11831013604881925</v>
      </c>
      <c r="G15" s="22">
        <f>IFERROR('3 Statements'!G34,0)</f>
        <v>0.11586964079263315</v>
      </c>
      <c r="H15" s="22">
        <f>IFERROR('3 Statements'!H34,0)</f>
        <v>0.13467535278946946</v>
      </c>
      <c r="I15" s="22">
        <f>IFERROR('3 Statements'!I34,0)</f>
        <v>0.14216595129502949</v>
      </c>
      <c r="J15" s="22">
        <f>IFERROR('3 Statements'!J34,0)</f>
        <v>0.1055053690131241</v>
      </c>
      <c r="K15" s="22">
        <f>IFERROR('3 Statements'!K34,0)</f>
        <v>0.14655997239403334</v>
      </c>
      <c r="L15" s="22">
        <f>IFERROR('3 Statements'!L34,0)</f>
        <v>0.15095952306089766</v>
      </c>
    </row>
    <row r="17" spans="2:13" x14ac:dyDescent="0.3">
      <c r="B17" t="s">
        <v>122</v>
      </c>
      <c r="C17" s="22">
        <f>IFERROR('3 Statements'!C16,0)</f>
        <v>0.22581651337992076</v>
      </c>
      <c r="D17" s="22">
        <f>IFERROR('3 Statements'!D16,0)</f>
        <v>0.22826959723629139</v>
      </c>
      <c r="E17" s="22">
        <f>IFERROR('3 Statements'!E16,0)</f>
        <v>0.20899036924552428</v>
      </c>
      <c r="F17" s="22">
        <f>IFERROR('3 Statements'!F16,0)</f>
        <v>0.21547660479248196</v>
      </c>
      <c r="G17" s="22">
        <f>IFERROR('3 Statements'!G16,0)</f>
        <v>0.19719215128265247</v>
      </c>
      <c r="H17" s="22">
        <f>IFERROR('3 Statements'!H16,0)</f>
        <v>0.18435389283769399</v>
      </c>
      <c r="I17" s="22">
        <f>IFERROR('3 Statements'!I16,0)</f>
        <v>0.18025330058023456</v>
      </c>
      <c r="J17" s="22">
        <f>IFERROR('3 Statements'!J16,0)</f>
        <v>0.17571030528568454</v>
      </c>
      <c r="K17" s="22">
        <f>IFERROR('3 Statements'!K16,0)</f>
        <v>0.22866001265273472</v>
      </c>
      <c r="L17" s="22">
        <f>IFERROR('3 Statements'!L16,0)</f>
        <v>0.18361237178654161</v>
      </c>
    </row>
    <row r="18" spans="2:13" x14ac:dyDescent="0.3">
      <c r="B18" t="s">
        <v>63</v>
      </c>
      <c r="C18" s="22">
        <f>IFERROR('3 Statements'!C25,0)</f>
        <v>4.2476676725408571E-2</v>
      </c>
      <c r="D18" s="22">
        <f>IFERROR('3 Statements'!D25,0)</f>
        <v>3.8689076218585021E-2</v>
      </c>
      <c r="E18" s="22">
        <f>IFERROR('3 Statements'!E25,0)</f>
        <v>3.4192175511508952E-2</v>
      </c>
      <c r="F18" s="22">
        <f>IFERROR('3 Statements'!F25,0)</f>
        <v>2.9725644179602505E-2</v>
      </c>
      <c r="G18" s="22">
        <f>IFERROR('3 Statements'!G25,0)</f>
        <v>2.9925862445326586E-2</v>
      </c>
      <c r="H18" s="22">
        <f>IFERROR('3 Statements'!H25,0)</f>
        <v>2.7743757879195776E-2</v>
      </c>
      <c r="I18" s="22">
        <f>IFERROR('3 Statements'!I25,0)</f>
        <v>2.6526753678109218E-2</v>
      </c>
      <c r="J18" s="22">
        <f>IFERROR('3 Statements'!J25,0)</f>
        <v>2.3851035925989056E-2</v>
      </c>
      <c r="K18" s="22">
        <f>IFERROR('3 Statements'!K25,0)</f>
        <v>2.2425142343265557E-2</v>
      </c>
      <c r="L18" s="22">
        <f>IFERROR('3 Statements'!L25,0)</f>
        <v>2.2045684390640443E-2</v>
      </c>
    </row>
    <row r="19" spans="2:13" x14ac:dyDescent="0.3">
      <c r="B19" t="s">
        <v>123</v>
      </c>
      <c r="C19" s="22">
        <f>IFERROR(C13,0)</f>
        <v>1578.8275233232753</v>
      </c>
      <c r="D19" s="22">
        <f t="shared" ref="D19:L19" si="0">IFERROR(D13,0)</f>
        <v>1834.4813109237814</v>
      </c>
      <c r="E19" s="22">
        <f t="shared" si="0"/>
        <v>1937.3758078244894</v>
      </c>
      <c r="F19" s="22">
        <f t="shared" si="0"/>
        <v>2605.6002743558206</v>
      </c>
      <c r="G19" s="22">
        <f t="shared" si="0"/>
        <v>2637.4700741375545</v>
      </c>
      <c r="H19" s="22">
        <f t="shared" si="0"/>
        <v>3062.8122562421217</v>
      </c>
      <c r="I19" s="22">
        <f t="shared" si="0"/>
        <v>3427.1934732463205</v>
      </c>
      <c r="J19" s="22">
        <f t="shared" si="0"/>
        <v>3205.7261489640714</v>
      </c>
      <c r="K19" s="22">
        <f t="shared" si="0"/>
        <v>4390.947574857656</v>
      </c>
      <c r="L19" s="22">
        <f t="shared" si="0"/>
        <v>5721.7679543156091</v>
      </c>
      <c r="M19" s="24" t="s">
        <v>142</v>
      </c>
    </row>
    <row r="21" spans="2:13" x14ac:dyDescent="0.3">
      <c r="B21" t="s">
        <v>124</v>
      </c>
      <c r="C21" s="22">
        <f>IFERROR('3 Statements'!C18-'3 Statements'!C24/SUM('3 Statements'!C48:C50),0)</f>
        <v>1578.7475343229057</v>
      </c>
      <c r="D21" s="22">
        <f>IFERROR('3 Statements'!D18-'3 Statements'!D24/SUM('3 Statements'!D48:D50),0)</f>
        <v>1834.4133276629627</v>
      </c>
      <c r="E21" s="22">
        <f>IFERROR('3 Statements'!E18-'3 Statements'!E24/SUM('3 Statements'!E48:E50),0)</f>
        <v>1937.3109615913288</v>
      </c>
      <c r="F21" s="22">
        <f>IFERROR('3 Statements'!F18-'3 Statements'!F24/SUM('3 Statements'!F48:F50),0)</f>
        <v>2605.5394955889651</v>
      </c>
      <c r="G21" s="22">
        <f>IFERROR('3 Statements'!G18-'3 Statements'!G24/SUM('3 Statements'!G48:G50),0)</f>
        <v>2637.3243911927548</v>
      </c>
      <c r="H21" s="22">
        <f>IFERROR('3 Statements'!H18-'3 Statements'!H24/SUM('3 Statements'!H48:H50),0)</f>
        <v>3062.6690682702392</v>
      </c>
      <c r="I21" s="22">
        <f>IFERROR('3 Statements'!I18-'3 Statements'!I24/SUM('3 Statements'!I48:I50),0)</f>
        <v>3427.0432949512829</v>
      </c>
      <c r="J21" s="22">
        <f>IFERROR('3 Statements'!J18-'3 Statements'!J24/SUM('3 Statements'!J48:J50),0)</f>
        <v>3205.6023605244523</v>
      </c>
      <c r="K21" s="22">
        <f>IFERROR('3 Statements'!K18-'3 Statements'!K24/SUM('3 Statements'!K48:K50),0)</f>
        <v>4390.8128722675465</v>
      </c>
      <c r="L21" s="22">
        <f>IFERROR('3 Statements'!L18-'3 Statements'!L24/SUM('3 Statements'!L48:L50),0)</f>
        <v>5721.6440790466213</v>
      </c>
      <c r="M21" s="24" t="s">
        <v>142</v>
      </c>
    </row>
    <row r="22" spans="2:13" x14ac:dyDescent="0.3">
      <c r="B22" t="s">
        <v>125</v>
      </c>
      <c r="C22" s="22">
        <f>IFERROR('3 Statements'!C44,0)</f>
        <v>0.99</v>
      </c>
      <c r="D22" s="22">
        <f>IFERROR('3 Statements'!D44,0)</f>
        <v>0.28190609041044068</v>
      </c>
      <c r="E22" s="22">
        <f>IFERROR('3 Statements'!E44,0)</f>
        <v>6.7412697520103926E-2</v>
      </c>
      <c r="F22" s="22">
        <f>IFERROR('3 Statements'!F44,0)</f>
        <v>0.17003121280847933</v>
      </c>
      <c r="G22" s="22">
        <f>IFERROR('3 Statements'!G44,0)</f>
        <v>-1.3008693953306629</v>
      </c>
      <c r="H22" s="22">
        <f>IFERROR('3 Statements'!H44,0)</f>
        <v>-7.2572750734181124E-2</v>
      </c>
      <c r="I22" s="22">
        <f>IFERROR('3 Statements'!I44,0)</f>
        <v>7.9790609894015985E-2</v>
      </c>
      <c r="J22" s="22">
        <f>IFERROR('3 Statements'!J44,0)</f>
        <v>-0.18988960689283951</v>
      </c>
      <c r="K22" s="22">
        <f>IFERROR('3 Statements'!K44,0)</f>
        <v>0.40149117956584546</v>
      </c>
      <c r="L22" s="22">
        <f>IFERROR('3 Statements'!L44,0)</f>
        <v>0.15689655640612754</v>
      </c>
    </row>
    <row r="23" spans="2:13" x14ac:dyDescent="0.3">
      <c r="B23" t="s">
        <v>140</v>
      </c>
      <c r="C23" s="22">
        <f>IFERROR('3 Statements'!C33/SUM('3 Statements'!C48:C49),0)</f>
        <v>0.34706015955483654</v>
      </c>
      <c r="D23" s="22">
        <f>IFERROR('3 Statements'!D33/SUM('3 Statements'!D48:D49),0)</f>
        <v>0.25771936398838635</v>
      </c>
      <c r="E23" s="22">
        <f>IFERROR('3 Statements'!E33/SUM('3 Statements'!E48:E49),0)</f>
        <v>0.25994053657409999</v>
      </c>
      <c r="F23" s="22">
        <f>IFERROR('3 Statements'!F33/SUM('3 Statements'!F48:F49),0)</f>
        <v>0.36365937709255425</v>
      </c>
      <c r="G23" s="22">
        <f>IFERROR('3 Statements'!G33/SUM('3 Statements'!G48:G49),0)</f>
        <v>0.74688749107547669</v>
      </c>
      <c r="H23" s="22">
        <f>IFERROR('3 Statements'!H33/SUM('3 Statements'!H48:H49),0)</f>
        <v>0.89035031247833496</v>
      </c>
      <c r="I23" s="22">
        <f>IFERROR('3 Statements'!I33/SUM('3 Statements'!I48:I49),0)</f>
        <v>1.0766705370996408</v>
      </c>
      <c r="J23" s="22">
        <f>IFERROR('3 Statements'!J33/SUM('3 Statements'!J48:J49),0)</f>
        <v>0.72492751619448725</v>
      </c>
      <c r="K23" s="22">
        <f>IFERROR('3 Statements'!K33/SUM('3 Statements'!K48:K49),0)</f>
        <v>1.1398764623836495</v>
      </c>
      <c r="L23" s="22">
        <f>IFERROR('3 Statements'!L33/SUM('3 Statements'!L48:L49),0)</f>
        <v>1.1022482033230669</v>
      </c>
    </row>
    <row r="24" spans="2:13" x14ac:dyDescent="0.3">
      <c r="B24" t="s">
        <v>126</v>
      </c>
      <c r="C24" s="22">
        <f>IFERROR('Ratio Analysis()'!C22*'Ratio Analysis()'!C23,0)</f>
        <v>0.34358955795928819</v>
      </c>
      <c r="D24" s="22">
        <f>IFERROR('Ratio Analysis()'!D22*'Ratio Analysis()'!D23,0)</f>
        <v>7.2652658325031316E-2</v>
      </c>
      <c r="E24" s="22">
        <f>IFERROR('Ratio Analysis()'!E22*'Ratio Analysis()'!E23,0)</f>
        <v>1.7523292765283315E-2</v>
      </c>
      <c r="F24" s="22">
        <f>IFERROR('Ratio Analysis()'!F22*'Ratio Analysis()'!F23,0)</f>
        <v>6.1833444936223121E-2</v>
      </c>
      <c r="G24" s="22">
        <f>IFERROR('Ratio Analysis()'!G22*'Ratio Analysis()'!G23,0)</f>
        <v>-0.97160307889539133</v>
      </c>
      <c r="H24" s="22">
        <f>IFERROR('Ratio Analysis()'!H22*'Ratio Analysis()'!H23,0)</f>
        <v>-6.461517129359047E-2</v>
      </c>
      <c r="I24" s="22">
        <f>IFERROR('Ratio Analysis()'!I22*'Ratio Analysis()'!I23,0)</f>
        <v>8.5908198810098105E-2</v>
      </c>
      <c r="J24" s="22">
        <f>IFERROR('Ratio Analysis()'!J22*'Ratio Analysis()'!J23,0)</f>
        <v>-0.13765620107597373</v>
      </c>
      <c r="K24" s="22">
        <f>IFERROR('Ratio Analysis()'!K22*'Ratio Analysis()'!K23,0)</f>
        <v>0.45765034544175448</v>
      </c>
      <c r="L24" s="22">
        <f>IFERROR('Ratio Analysis()'!L22*'Ratio Analysis()'!L23,0)</f>
        <v>0.17293894740623031</v>
      </c>
    </row>
    <row r="25" spans="2:13" x14ac:dyDescent="0.3">
      <c r="B25" t="s">
        <v>127</v>
      </c>
      <c r="C25" s="33">
        <f>'3 Statements'!C18-'3 Statements'!C24/'3 Statements'!C21</f>
        <v>1473.3198480243168</v>
      </c>
      <c r="D25" s="33">
        <f>'3 Statements'!D18-'3 Statements'!D24/'3 Statements'!D21</f>
        <v>1830.6296689033109</v>
      </c>
      <c r="E25" s="33">
        <f>'3 Statements'!E18-'3 Statements'!E24/'3 Statements'!E21</f>
        <v>1933.6858433079442</v>
      </c>
      <c r="F25" s="33">
        <f>'3 Statements'!F18-'3 Statements'!F24/'3 Statements'!F21</f>
        <v>2602.6316078606524</v>
      </c>
      <c r="G25" s="33">
        <f>'3 Statements'!G18-'3 Statements'!G24/'3 Statements'!G21</f>
        <v>2634.633286864932</v>
      </c>
      <c r="H25" s="33">
        <f>'3 Statements'!H18-'3 Statements'!H24/'3 Statements'!H21</f>
        <v>3060.5840613960299</v>
      </c>
      <c r="I25" s="33">
        <f>'3 Statements'!I18-'3 Statements'!I24/'3 Statements'!I21</f>
        <v>3425.2811860372854</v>
      </c>
      <c r="J25" s="33">
        <f>'3 Statements'!J18-'3 Statements'!J24/'3 Statements'!J21</f>
        <v>3203.1427023355086</v>
      </c>
      <c r="K25" s="33">
        <f>'3 Statements'!K18-'3 Statements'!K24/'3 Statements'!K21</f>
        <v>4387.3744764858739</v>
      </c>
      <c r="L25" s="33">
        <f>'3 Statements'!L18-'3 Statements'!L24/'3 Statements'!L21</f>
        <v>5718.0936634820264</v>
      </c>
      <c r="M25" s="24" t="s">
        <v>142</v>
      </c>
    </row>
    <row r="27" spans="2:13" x14ac:dyDescent="0.3">
      <c r="B27" t="s">
        <v>128</v>
      </c>
      <c r="C27" s="34">
        <f>'3 Statements'!C6/'3 Statements'!C60</f>
        <v>104.25031879622546</v>
      </c>
      <c r="D27" s="34">
        <f>'3 Statements'!D6/'3 Statements'!D60</f>
        <v>93.345655059736544</v>
      </c>
      <c r="E27" s="34">
        <f>'3 Statements'!E6/'3 Statements'!E60</f>
        <v>112.50533887827358</v>
      </c>
      <c r="F27" s="34">
        <f>'3 Statements'!F6/'3 Statements'!F60</f>
        <v>90.635444257163499</v>
      </c>
      <c r="G27" s="34">
        <f>'3 Statements'!G6/'3 Statements'!G60</f>
        <v>99.484436580069172</v>
      </c>
      <c r="H27" s="34">
        <f>'3 Statements'!H6/'3 Statements'!H60</f>
        <v>80.943612441641903</v>
      </c>
      <c r="I27" s="34">
        <f>'3 Statements'!I6/'3 Statements'!I60</f>
        <v>88.814785804663501</v>
      </c>
      <c r="J27" s="34">
        <f>'3 Statements'!J6/'3 Statements'!J60</f>
        <v>88.055448433998649</v>
      </c>
      <c r="K27" s="34">
        <f>'3 Statements'!K6/'3 Statements'!K60</f>
        <v>99.673250299650846</v>
      </c>
      <c r="L27" s="34">
        <f>'3 Statements'!L6/'3 Statements'!L60</f>
        <v>81.188477667576393</v>
      </c>
      <c r="M27" s="24" t="s">
        <v>142</v>
      </c>
    </row>
    <row r="28" spans="2:13" x14ac:dyDescent="0.3">
      <c r="B28" t="s">
        <v>129</v>
      </c>
      <c r="C28" s="34">
        <f>'3 Statements'!C6/'3 Statements'!C51</f>
        <v>2.5148919022013314</v>
      </c>
      <c r="D28" s="34">
        <f>'3 Statements'!D6/'3 Statements'!D51</f>
        <v>2.6155628930637658</v>
      </c>
      <c r="E28" s="34">
        <f>'3 Statements'!E6/'3 Statements'!E51</f>
        <v>2.5620575090993789</v>
      </c>
      <c r="F28" s="34">
        <f>'3 Statements'!F6/'3 Statements'!F51</f>
        <v>2.5786148154914144</v>
      </c>
      <c r="G28" s="34">
        <f>'3 Statements'!G6/'3 Statements'!G51</f>
        <v>2.4419708872230328</v>
      </c>
      <c r="H28" s="34">
        <f>'3 Statements'!H6/'3 Statements'!H51</f>
        <v>2.3286696087494989</v>
      </c>
      <c r="I28" s="34">
        <f>'3 Statements'!I6/'3 Statements'!I51</f>
        <v>2.4480784018042647</v>
      </c>
      <c r="J28" s="34">
        <f>'3 Statements'!J6/'3 Statements'!J51</f>
        <v>2.7039245965386738</v>
      </c>
      <c r="K28" s="34">
        <f>'3 Statements'!K6/'3 Statements'!K51</f>
        <v>3.0606732223297941</v>
      </c>
      <c r="L28" s="34">
        <f>'3 Statements'!L6/'3 Statements'!L51</f>
        <v>3.5675891096928178</v>
      </c>
    </row>
    <row r="29" spans="2:13" x14ac:dyDescent="0.3">
      <c r="B29" t="s">
        <v>130</v>
      </c>
      <c r="C29" s="34">
        <f>'3 Statements'!C6/'3 Statements'!C61</f>
        <v>9.9600516562907391</v>
      </c>
      <c r="D29" s="34">
        <f>'3 Statements'!D6/'3 Statements'!D61</f>
        <v>9.724209093036615</v>
      </c>
      <c r="E29" s="34">
        <f>'3 Statements'!E6/'3 Statements'!E61</f>
        <v>11.091338216228795</v>
      </c>
      <c r="F29" s="34">
        <f>'3 Statements'!F6/'3 Statements'!F61</f>
        <v>11.695168556781111</v>
      </c>
      <c r="G29" s="34">
        <f>'3 Statements'!G6/'3 Statements'!G61</f>
        <v>9.6400819908500708</v>
      </c>
      <c r="H29" s="34">
        <f>'3 Statements'!H6/'3 Statements'!H61</f>
        <v>9.4247924432395802</v>
      </c>
      <c r="I29" s="34">
        <f>'3 Statements'!I6/'3 Statements'!I61</f>
        <v>9.2553856779581203</v>
      </c>
      <c r="J29" s="34">
        <f>'3 Statements'!J6/'3 Statements'!J61</f>
        <v>8.760484661208956</v>
      </c>
      <c r="K29" s="34">
        <f>'3 Statements'!K6/'3 Statements'!K61</f>
        <v>9.9163197270799515</v>
      </c>
      <c r="L29" s="34">
        <f>'3 Statements'!L6/'3 Statements'!L61</f>
        <v>11.67529291266225</v>
      </c>
    </row>
    <row r="30" spans="2:13" x14ac:dyDescent="0.3">
      <c r="B30" t="s">
        <v>131</v>
      </c>
      <c r="C30" s="34">
        <f>'3 Statements'!C6/'3 Statements'!C54</f>
        <v>2.8211639663888746</v>
      </c>
      <c r="D30" s="34">
        <f>'3 Statements'!D6/'3 Statements'!D54</f>
        <v>3.3483044825540085</v>
      </c>
      <c r="E30" s="34">
        <f>'3 Statements'!E6/'3 Statements'!E54</f>
        <v>3.8260364348018872</v>
      </c>
      <c r="F30" s="34">
        <f>'3 Statements'!F6/'3 Statements'!F54</f>
        <v>4.7038973265239816</v>
      </c>
      <c r="G30" s="34">
        <f>'3 Statements'!G6/'3 Statements'!G54</f>
        <v>5.2825813064554019</v>
      </c>
      <c r="H30" s="34">
        <f>'3 Statements'!H6/'3 Statements'!H54</f>
        <v>6.125524797995789</v>
      </c>
      <c r="I30" s="34">
        <f>'3 Statements'!I6/'3 Statements'!I54</f>
        <v>4.9222752423472365</v>
      </c>
      <c r="J30" s="34">
        <f>'3 Statements'!J6/'3 Statements'!J54</f>
        <v>5.551453822650064</v>
      </c>
      <c r="K30" s="34">
        <f>'3 Statements'!K6/'3 Statements'!K54</f>
        <v>6.2838978874396298</v>
      </c>
      <c r="L30" s="34">
        <f>'3 Statements'!L6/'3 Statements'!L54</f>
        <v>7.0497478505888305</v>
      </c>
    </row>
    <row r="31" spans="2:13" x14ac:dyDescent="0.3">
      <c r="B31" t="s">
        <v>132</v>
      </c>
      <c r="C31" s="34">
        <f>'3 Statements'!C6/SUM('3 Statements'!C48:C49)</f>
        <v>2.901268347386651</v>
      </c>
      <c r="D31" s="34">
        <f>'3 Statements'!D6/SUM('3 Statements'!D48:D49)</f>
        <v>2.7850155225099247</v>
      </c>
      <c r="E31" s="34">
        <f>'3 Statements'!E6/SUM('3 Statements'!E48:E49)</f>
        <v>2.9262787998561652</v>
      </c>
      <c r="F31" s="34">
        <f>'3 Statements'!F6/SUM('3 Statements'!F48:F49)</f>
        <v>3.0737803981773344</v>
      </c>
      <c r="G31" s="34">
        <f>'3 Statements'!G6/SUM('3 Statements'!G48:G49)</f>
        <v>6.445929114530947</v>
      </c>
      <c r="H31" s="34">
        <f>'3 Statements'!H6/SUM('3 Statements'!H48:H49)</f>
        <v>6.6110858003109927</v>
      </c>
      <c r="I31" s="34">
        <f>'3 Statements'!I6/SUM('3 Statements'!I48:I49)</f>
        <v>7.5733361419661112</v>
      </c>
      <c r="J31" s="34">
        <f>'3 Statements'!J6/SUM('3 Statements'!J48:J49)</f>
        <v>6.8710011914589062</v>
      </c>
      <c r="K31" s="34">
        <f>'3 Statements'!K6/SUM('3 Statements'!K48:K49)</f>
        <v>7.7775428294912503</v>
      </c>
      <c r="L31" s="34">
        <f>'3 Statements'!L6/SUM('3 Statements'!L48:L49)</f>
        <v>7.3016142405167486</v>
      </c>
    </row>
    <row r="33" spans="2:13" x14ac:dyDescent="0.3">
      <c r="B33" t="s">
        <v>133</v>
      </c>
      <c r="C33" s="35">
        <f>365/C27</f>
        <v>3.5011883341426806</v>
      </c>
      <c r="D33" s="35">
        <f t="shared" ref="D33:L33" si="1">365/D27</f>
        <v>3.9101980672417831</v>
      </c>
      <c r="E33" s="35">
        <f t="shared" si="1"/>
        <v>3.2442904811381075</v>
      </c>
      <c r="F33" s="35">
        <f t="shared" si="1"/>
        <v>4.0271220932549436</v>
      </c>
      <c r="G33" s="35">
        <f t="shared" si="1"/>
        <v>3.6689155866730268</v>
      </c>
      <c r="H33" s="35">
        <f t="shared" si="1"/>
        <v>4.5093119640929649</v>
      </c>
      <c r="I33" s="35">
        <f t="shared" si="1"/>
        <v>4.1096760713105782</v>
      </c>
      <c r="J33" s="35">
        <f t="shared" si="1"/>
        <v>4.1451154527204892</v>
      </c>
      <c r="K33" s="35">
        <f t="shared" si="1"/>
        <v>3.6619654611712664</v>
      </c>
      <c r="L33" s="35">
        <f t="shared" si="1"/>
        <v>4.4957118360376302</v>
      </c>
    </row>
    <row r="34" spans="2:13" x14ac:dyDescent="0.3">
      <c r="B34" t="s">
        <v>134</v>
      </c>
      <c r="C34" s="35">
        <f>365/C28</f>
        <v>145.13546275309437</v>
      </c>
      <c r="D34" s="35">
        <f t="shared" ref="D34:L34" si="2">365/D28</f>
        <v>139.54931115131916</v>
      </c>
      <c r="E34" s="35">
        <f t="shared" si="2"/>
        <v>142.46362492007674</v>
      </c>
      <c r="F34" s="35">
        <f t="shared" si="2"/>
        <v>141.54886484294121</v>
      </c>
      <c r="G34" s="35">
        <f t="shared" si="2"/>
        <v>149.46943139648636</v>
      </c>
      <c r="H34" s="35">
        <f t="shared" si="2"/>
        <v>156.7418575089344</v>
      </c>
      <c r="I34" s="35">
        <f t="shared" si="2"/>
        <v>149.09653209267742</v>
      </c>
      <c r="J34" s="35">
        <f t="shared" si="2"/>
        <v>134.98897138893625</v>
      </c>
      <c r="K34" s="35">
        <f t="shared" si="2"/>
        <v>119.25480882345252</v>
      </c>
      <c r="L34" s="35">
        <f t="shared" si="2"/>
        <v>102.30998827985205</v>
      </c>
    </row>
    <row r="35" spans="2:13" x14ac:dyDescent="0.3">
      <c r="B35" t="s">
        <v>135</v>
      </c>
      <c r="C35" s="35">
        <f>365/C29</f>
        <v>36.646396283443678</v>
      </c>
      <c r="D35" s="35">
        <f t="shared" ref="D35:L35" si="3">365/D29</f>
        <v>37.535186307477893</v>
      </c>
      <c r="E35" s="35">
        <f t="shared" si="3"/>
        <v>32.908562779731454</v>
      </c>
      <c r="F35" s="35">
        <f t="shared" si="3"/>
        <v>31.209468955311905</v>
      </c>
      <c r="G35" s="35">
        <f t="shared" si="3"/>
        <v>37.862748506334434</v>
      </c>
      <c r="H35" s="35">
        <f t="shared" si="3"/>
        <v>38.727643308666721</v>
      </c>
      <c r="I35" s="35">
        <f t="shared" si="3"/>
        <v>39.436498132028639</v>
      </c>
      <c r="J35" s="35">
        <f t="shared" si="3"/>
        <v>41.664361518284949</v>
      </c>
      <c r="K35" s="35">
        <f t="shared" si="3"/>
        <v>36.808010435891944</v>
      </c>
      <c r="L35" s="35">
        <f t="shared" si="3"/>
        <v>31.262598954082353</v>
      </c>
    </row>
    <row r="36" spans="2:13" x14ac:dyDescent="0.3">
      <c r="B36" t="s">
        <v>136</v>
      </c>
      <c r="C36" s="35">
        <f>SUM(C33,C35-C34)</f>
        <v>-104.98787813550801</v>
      </c>
      <c r="D36" s="35">
        <f t="shared" ref="D36:L36" si="4">SUM(D33,D35-D34)</f>
        <v>-98.103926776599494</v>
      </c>
      <c r="E36" s="35">
        <f t="shared" si="4"/>
        <v>-106.31077165920718</v>
      </c>
      <c r="F36" s="35">
        <f t="shared" si="4"/>
        <v>-106.31227379437436</v>
      </c>
      <c r="G36" s="35">
        <f t="shared" si="4"/>
        <v>-107.93776730347889</v>
      </c>
      <c r="H36" s="35">
        <f t="shared" si="4"/>
        <v>-113.50490223617471</v>
      </c>
      <c r="I36" s="35">
        <f t="shared" si="4"/>
        <v>-105.5503578893382</v>
      </c>
      <c r="J36" s="35">
        <f t="shared" si="4"/>
        <v>-89.179494417930812</v>
      </c>
      <c r="K36" s="35">
        <f t="shared" si="4"/>
        <v>-78.784832926389313</v>
      </c>
      <c r="L36" s="35">
        <f t="shared" si="4"/>
        <v>-66.551677489732072</v>
      </c>
    </row>
    <row r="38" spans="2:13" x14ac:dyDescent="0.3">
      <c r="B38" t="s">
        <v>137</v>
      </c>
      <c r="C38" s="22">
        <f>'Nestle Data'!O26/'Nestle Data'!C5</f>
        <v>0.13431906557671816</v>
      </c>
      <c r="D38" s="22">
        <f>'Nestle Data'!P26/'Nestle Data'!D5</f>
        <v>0.16036051607313589</v>
      </c>
      <c r="E38" s="22">
        <f>'Nestle Data'!Q26/'Nestle Data'!E5</f>
        <v>0.1816046595268542</v>
      </c>
      <c r="F38" s="22">
        <f>'Nestle Data'!R26/'Nestle Data'!F5</f>
        <v>0.18175707807199082</v>
      </c>
      <c r="G38" s="22">
        <f>'Nestle Data'!S26/'Nestle Data'!G5</f>
        <v>0.18556621849962407</v>
      </c>
      <c r="H38" s="22">
        <f>'Nestle Data'!T26/'Nestle Data'!H5</f>
        <v>0.1838557666162548</v>
      </c>
      <c r="I38" s="22">
        <f>'Nestle Data'!U26/'Nestle Data'!I5</f>
        <v>0.15168999341274669</v>
      </c>
      <c r="J38" s="22">
        <f>'Nestle Data'!V26/'Nestle Data'!J5</f>
        <v>0.16200724864117569</v>
      </c>
      <c r="K38" s="22">
        <f>'Nestle Data'!W26/'Nestle Data'!K5</f>
        <v>0.17735735610128464</v>
      </c>
      <c r="L38" s="22">
        <f>'Nestle Data'!X26/'Nestle Data'!L5</f>
        <v>0.171140806160887</v>
      </c>
    </row>
    <row r="39" spans="2:13" x14ac:dyDescent="0.3">
      <c r="B39" t="s">
        <v>138</v>
      </c>
      <c r="C39" s="22">
        <f>'Nestle Data'!O26/'3 Statements'!C64</f>
        <v>0.18042071330341933</v>
      </c>
      <c r="D39" s="22">
        <f>'Nestle Data'!P26/'3 Statements'!D64</f>
        <v>0.21524390422967024</v>
      </c>
      <c r="E39" s="22">
        <f>'Nestle Data'!Q26/'3 Statements'!E64</f>
        <v>0.24689545390956172</v>
      </c>
      <c r="F39" s="22">
        <f>'Nestle Data'!R26/'3 Statements'!F64</f>
        <v>0.25376232678212879</v>
      </c>
      <c r="G39" s="22">
        <f>'Nestle Data'!S26/'3 Statements'!G64</f>
        <v>0.31998734131332485</v>
      </c>
      <c r="H39" s="22">
        <f>'Nestle Data'!T26/'3 Statements'!H64</f>
        <v>0.31070428989345206</v>
      </c>
      <c r="I39" s="22">
        <f>'Nestle Data'!U26/'3 Statements'!I64</f>
        <v>0.2715526716240817</v>
      </c>
      <c r="J39" s="22">
        <f>'Nestle Data'!V26/'3 Statements'!J64</f>
        <v>0.30487908102918665</v>
      </c>
      <c r="K39" s="22">
        <f>'Nestle Data'!W26/'3 Statements'!K64</f>
        <v>0.37780245335091556</v>
      </c>
      <c r="L39" s="22">
        <f>'Nestle Data'!X26/'3 Statements'!L64</f>
        <v>0.39672775789551712</v>
      </c>
    </row>
    <row r="40" spans="2:13" x14ac:dyDescent="0.3">
      <c r="B40" t="s">
        <v>139</v>
      </c>
      <c r="C40" s="22">
        <f>'Nestle Data'!O26/'3 Statements'!C50</f>
        <v>61.934574168076701</v>
      </c>
      <c r="D40" s="22">
        <f>'Nestle Data'!P26/'3 Statements'!D50</f>
        <v>44.220512820512823</v>
      </c>
      <c r="E40" s="22">
        <f>'Nestle Data'!Q26/'3 Statements'!E50</f>
        <v>51.729937393284004</v>
      </c>
      <c r="F40" s="22">
        <f>'Nestle Data'!R26/'3 Statements'!F50</f>
        <v>58.407797381900963</v>
      </c>
      <c r="G40" s="22">
        <f>'Nestle Data'!S26/'3 Statements'!G50</f>
        <v>12.1480364136763</v>
      </c>
      <c r="H40" s="22">
        <f>'Nestle Data'!T26/'3 Statements'!H50</f>
        <v>16.641670621737067</v>
      </c>
      <c r="I40" s="22">
        <f>'Nestle Data'!U26/'3 Statements'!I50</f>
        <v>8.3915034151467403</v>
      </c>
      <c r="J40" s="22">
        <f>'Nestle Data'!V26/'3 Statements'!J50</f>
        <v>10.119140913795652</v>
      </c>
      <c r="K40" s="22">
        <f>'Nestle Data'!W26/'3 Statements'!K50</f>
        <v>12.53951648676623</v>
      </c>
      <c r="L40" s="22">
        <f>'Nestle Data'!X26/'3 Statements'!L50</f>
        <v>12.117348271558356</v>
      </c>
      <c r="M40" s="24" t="s">
        <v>142</v>
      </c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3FCB-5CA4-4D11-AE93-2BDDF8FC8278}">
  <dimension ref="B2:P22"/>
  <sheetViews>
    <sheetView showGridLines="0" workbookViewId="0">
      <selection activeCell="E4" sqref="E4"/>
    </sheetView>
  </sheetViews>
  <sheetFormatPr defaultRowHeight="14.4" x14ac:dyDescent="0.3"/>
  <cols>
    <col min="1" max="1" width="1.88671875" customWidth="1"/>
    <col min="2" max="2" width="11.88671875" customWidth="1"/>
    <col min="3" max="3" width="11.109375" customWidth="1"/>
    <col min="4" max="4" width="10.21875" customWidth="1"/>
    <col min="5" max="5" width="9.44140625" customWidth="1"/>
    <col min="6" max="6" width="9.77734375" customWidth="1"/>
    <col min="8" max="8" width="16.5546875" customWidth="1"/>
    <col min="9" max="9" width="10.109375" customWidth="1"/>
    <col min="10" max="10" width="12.5546875" customWidth="1"/>
    <col min="11" max="11" width="12.6640625" customWidth="1"/>
    <col min="12" max="12" width="13.5546875" customWidth="1"/>
    <col min="13" max="13" width="12" customWidth="1"/>
    <col min="14" max="14" width="9.77734375" customWidth="1"/>
    <col min="15" max="15" width="11.109375" customWidth="1"/>
    <col min="16" max="16" width="11" customWidth="1"/>
  </cols>
  <sheetData>
    <row r="2" spans="2:13" x14ac:dyDescent="0.3">
      <c r="B2" s="43" t="s">
        <v>143</v>
      </c>
      <c r="C2" s="43" t="str" cm="1">
        <f t="array" ref="C2:D12">TRANSPOSE('Nestle Data'!B4:L5)</f>
        <v>Report Date</v>
      </c>
      <c r="D2" s="42" t="str">
        <v>Sales</v>
      </c>
      <c r="E2" s="43" t="s">
        <v>52</v>
      </c>
      <c r="F2" s="43"/>
    </row>
    <row r="3" spans="2:13" x14ac:dyDescent="0.3">
      <c r="B3" s="37">
        <v>1</v>
      </c>
      <c r="C3" s="25">
        <v>42369</v>
      </c>
      <c r="D3" s="38">
        <v>8175.31</v>
      </c>
    </row>
    <row r="4" spans="2:13" x14ac:dyDescent="0.3">
      <c r="B4" s="37">
        <v>2</v>
      </c>
      <c r="C4" s="25">
        <v>42735</v>
      </c>
      <c r="D4" s="38">
        <v>9141.34</v>
      </c>
      <c r="E4" s="22">
        <f>D4/D3-1</f>
        <v>0.11816432649037156</v>
      </c>
    </row>
    <row r="5" spans="2:13" x14ac:dyDescent="0.3">
      <c r="B5" s="37">
        <v>3</v>
      </c>
      <c r="C5" s="25">
        <v>43100</v>
      </c>
      <c r="D5" s="38">
        <v>10009.6</v>
      </c>
      <c r="E5" s="22">
        <f t="shared" ref="E5:E17" si="0">D5/D4-1</f>
        <v>9.4981698525599123E-2</v>
      </c>
      <c r="H5" t="s">
        <v>144</v>
      </c>
    </row>
    <row r="6" spans="2:13" ht="15" thickBot="1" x14ac:dyDescent="0.35">
      <c r="B6" s="37">
        <v>4</v>
      </c>
      <c r="C6" s="25">
        <v>43465</v>
      </c>
      <c r="D6" s="38">
        <v>11292.27</v>
      </c>
      <c r="E6" s="22">
        <f t="shared" si="0"/>
        <v>0.12814398177749364</v>
      </c>
    </row>
    <row r="7" spans="2:13" x14ac:dyDescent="0.3">
      <c r="B7" s="37">
        <v>5</v>
      </c>
      <c r="C7" s="25">
        <v>43830</v>
      </c>
      <c r="D7" s="38">
        <v>12368.9</v>
      </c>
      <c r="E7" s="22">
        <f t="shared" si="0"/>
        <v>9.5342211973323376E-2</v>
      </c>
      <c r="H7" s="41" t="s">
        <v>145</v>
      </c>
      <c r="I7" s="41"/>
    </row>
    <row r="8" spans="2:13" x14ac:dyDescent="0.3">
      <c r="B8" s="37">
        <v>6</v>
      </c>
      <c r="C8" s="25">
        <v>44196</v>
      </c>
      <c r="D8" s="38">
        <v>13350.03</v>
      </c>
      <c r="E8" s="22">
        <f t="shared" si="0"/>
        <v>7.932233262456645E-2</v>
      </c>
      <c r="H8" t="s">
        <v>146</v>
      </c>
      <c r="I8">
        <v>0.95568434679362246</v>
      </c>
    </row>
    <row r="9" spans="2:13" x14ac:dyDescent="0.3">
      <c r="B9" s="37">
        <v>7</v>
      </c>
      <c r="C9" s="25">
        <v>44561</v>
      </c>
      <c r="D9" s="38">
        <v>14740.59</v>
      </c>
      <c r="E9" s="22">
        <f t="shared" si="0"/>
        <v>0.10416156368187934</v>
      </c>
      <c r="H9" t="s">
        <v>147</v>
      </c>
      <c r="I9">
        <v>0.91333257070635288</v>
      </c>
    </row>
    <row r="10" spans="2:13" x14ac:dyDescent="0.3">
      <c r="B10" s="37">
        <v>8</v>
      </c>
      <c r="C10" s="25">
        <v>44926</v>
      </c>
      <c r="D10" s="38">
        <v>16896.96</v>
      </c>
      <c r="E10" s="22">
        <f t="shared" si="0"/>
        <v>0.14628790299438488</v>
      </c>
      <c r="H10" t="s">
        <v>148</v>
      </c>
      <c r="I10">
        <v>0.90249914204464687</v>
      </c>
    </row>
    <row r="11" spans="2:13" x14ac:dyDescent="0.3">
      <c r="B11" s="37">
        <v>9</v>
      </c>
      <c r="C11" s="25">
        <v>45291</v>
      </c>
      <c r="D11" s="38">
        <v>19126.3</v>
      </c>
      <c r="E11" s="22">
        <f t="shared" si="0"/>
        <v>0.13193734257523237</v>
      </c>
      <c r="H11" t="s">
        <v>149</v>
      </c>
      <c r="I11">
        <v>1568.5215157753821</v>
      </c>
    </row>
    <row r="12" spans="2:13" ht="15" thickBot="1" x14ac:dyDescent="0.35">
      <c r="B12" s="37">
        <v>10</v>
      </c>
      <c r="C12" s="25">
        <v>45382</v>
      </c>
      <c r="D12" s="38">
        <v>24393.89</v>
      </c>
      <c r="E12" s="22">
        <f t="shared" si="0"/>
        <v>0.27541082174806419</v>
      </c>
      <c r="H12" s="39" t="s">
        <v>150</v>
      </c>
      <c r="I12" s="39">
        <v>10</v>
      </c>
    </row>
    <row r="13" spans="2:13" x14ac:dyDescent="0.3">
      <c r="B13" s="37">
        <v>11</v>
      </c>
      <c r="C13" s="36">
        <f>C12+365</f>
        <v>45747</v>
      </c>
      <c r="D13">
        <f>FORECAST(B13,$D$3:$D$12,$B$3:$B$12)</f>
        <v>22670.346666666665</v>
      </c>
      <c r="E13" s="22">
        <f t="shared" si="0"/>
        <v>-7.0654714493397108E-2</v>
      </c>
    </row>
    <row r="14" spans="2:13" ht="15" thickBot="1" x14ac:dyDescent="0.35">
      <c r="B14" s="37">
        <v>12</v>
      </c>
      <c r="C14" s="36">
        <f t="shared" ref="C14:C17" si="1">C13+365</f>
        <v>46112</v>
      </c>
      <c r="D14">
        <f t="shared" ref="D14:D17" si="2">FORECAST(B14,$D$3:$D$12,$B$3:$B$12)</f>
        <v>24255.9516969697</v>
      </c>
      <c r="E14" s="22">
        <f t="shared" si="0"/>
        <v>6.9941807843389991E-2</v>
      </c>
      <c r="H14" t="s">
        <v>151</v>
      </c>
    </row>
    <row r="15" spans="2:13" x14ac:dyDescent="0.3">
      <c r="B15" s="37">
        <v>13</v>
      </c>
      <c r="C15" s="36">
        <f t="shared" si="1"/>
        <v>46477</v>
      </c>
      <c r="D15">
        <f t="shared" si="2"/>
        <v>25841.556727272728</v>
      </c>
      <c r="E15" s="22">
        <f t="shared" si="0"/>
        <v>6.5369730699996298E-2</v>
      </c>
      <c r="H15" s="40"/>
      <c r="I15" s="40" t="s">
        <v>155</v>
      </c>
      <c r="J15" s="40" t="s">
        <v>156</v>
      </c>
      <c r="K15" s="40" t="s">
        <v>157</v>
      </c>
      <c r="L15" s="40" t="s">
        <v>158</v>
      </c>
      <c r="M15" s="40" t="s">
        <v>159</v>
      </c>
    </row>
    <row r="16" spans="2:13" x14ac:dyDescent="0.3">
      <c r="B16" s="37">
        <v>14</v>
      </c>
      <c r="C16" s="36">
        <f t="shared" si="1"/>
        <v>46842</v>
      </c>
      <c r="D16">
        <f t="shared" si="2"/>
        <v>27427.161757575755</v>
      </c>
      <c r="E16" s="22">
        <f t="shared" si="0"/>
        <v>6.1358727225190979E-2</v>
      </c>
      <c r="H16" t="s">
        <v>152</v>
      </c>
      <c r="I16">
        <v>1</v>
      </c>
      <c r="J16">
        <v>207416823.25008753</v>
      </c>
      <c r="K16">
        <v>207416823.25008753</v>
      </c>
      <c r="L16">
        <v>84.306880049416861</v>
      </c>
      <c r="M16">
        <v>1.5992706948992475E-5</v>
      </c>
    </row>
    <row r="17" spans="2:16" x14ac:dyDescent="0.3">
      <c r="B17" s="37">
        <v>15</v>
      </c>
      <c r="C17" s="36">
        <f t="shared" si="1"/>
        <v>47207</v>
      </c>
      <c r="D17">
        <f t="shared" si="2"/>
        <v>29012.766787878783</v>
      </c>
      <c r="E17" s="22">
        <f t="shared" si="0"/>
        <v>5.7811487908152381E-2</v>
      </c>
      <c r="H17" t="s">
        <v>153</v>
      </c>
      <c r="I17">
        <v>8</v>
      </c>
      <c r="J17">
        <v>19682077.96360242</v>
      </c>
      <c r="K17">
        <v>2460259.7454503025</v>
      </c>
    </row>
    <row r="18" spans="2:16" ht="15" thickBot="1" x14ac:dyDescent="0.35">
      <c r="B18" s="37"/>
      <c r="C18" s="25"/>
      <c r="H18" s="39" t="s">
        <v>24</v>
      </c>
      <c r="I18" s="39">
        <v>9</v>
      </c>
      <c r="J18" s="39">
        <v>227098901.21368995</v>
      </c>
      <c r="K18" s="39"/>
      <c r="L18" s="39"/>
      <c r="M18" s="39"/>
    </row>
    <row r="19" spans="2:16" ht="15" thickBot="1" x14ac:dyDescent="0.35"/>
    <row r="20" spans="2:16" x14ac:dyDescent="0.3">
      <c r="H20" s="40"/>
      <c r="I20" s="40" t="s">
        <v>160</v>
      </c>
      <c r="J20" s="40" t="s">
        <v>149</v>
      </c>
      <c r="K20" s="40" t="s">
        <v>161</v>
      </c>
      <c r="L20" s="40" t="s">
        <v>162</v>
      </c>
      <c r="M20" s="40" t="s">
        <v>163</v>
      </c>
      <c r="N20" s="40" t="s">
        <v>164</v>
      </c>
      <c r="O20" s="40" t="s">
        <v>165</v>
      </c>
      <c r="P20" s="40" t="s">
        <v>166</v>
      </c>
    </row>
    <row r="21" spans="2:16" x14ac:dyDescent="0.3">
      <c r="H21" t="s">
        <v>154</v>
      </c>
      <c r="I21">
        <v>5228.6913333333305</v>
      </c>
      <c r="J21">
        <v>1071.5041831665776</v>
      </c>
      <c r="K21">
        <v>4.8797675412532389</v>
      </c>
      <c r="L21">
        <v>1.2247189108008296E-3</v>
      </c>
      <c r="M21">
        <v>2757.7982560626392</v>
      </c>
      <c r="N21">
        <v>7699.5844106040222</v>
      </c>
      <c r="O21">
        <v>2757.7982560626392</v>
      </c>
      <c r="P21">
        <v>7699.5844106040222</v>
      </c>
    </row>
    <row r="22" spans="2:16" ht="15" thickBot="1" x14ac:dyDescent="0.35">
      <c r="H22" s="39" t="s">
        <v>143</v>
      </c>
      <c r="I22" s="39">
        <v>1585.6050303030308</v>
      </c>
      <c r="J22" s="39">
        <v>172.68853536897711</v>
      </c>
      <c r="K22" s="39">
        <v>9.1818778062778055</v>
      </c>
      <c r="L22" s="39">
        <v>1.5992706948992417E-5</v>
      </c>
      <c r="M22" s="39">
        <v>1187.3845536398185</v>
      </c>
      <c r="N22" s="39">
        <v>1983.8255069662432</v>
      </c>
      <c r="O22" s="39">
        <v>1187.3845536398185</v>
      </c>
      <c r="P22" s="39">
        <v>1983.8255069662432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B2DE-008E-4309-8FF2-C3DFE062F8DA}">
  <dimension ref="A2:S57"/>
  <sheetViews>
    <sheetView showGridLines="0" topLeftCell="A32" workbookViewId="0">
      <selection activeCell="S28" sqref="S28"/>
    </sheetView>
  </sheetViews>
  <sheetFormatPr defaultRowHeight="14.4" x14ac:dyDescent="0.3"/>
  <cols>
    <col min="1" max="1" width="1.88671875" customWidth="1"/>
    <col min="2" max="2" width="14.77734375" customWidth="1"/>
    <col min="3" max="3" width="11.33203125" customWidth="1"/>
    <col min="4" max="4" width="10.5546875" customWidth="1"/>
    <col min="5" max="5" width="10" customWidth="1"/>
    <col min="7" max="7" width="14" customWidth="1"/>
    <col min="8" max="8" width="11.5546875" customWidth="1"/>
    <col min="9" max="9" width="9.33203125" customWidth="1"/>
    <col min="12" max="12" width="12.109375" customWidth="1"/>
    <col min="13" max="13" width="12.88671875" customWidth="1"/>
    <col min="14" max="14" width="17.109375" customWidth="1"/>
    <col min="15" max="15" width="11" customWidth="1"/>
    <col min="16" max="16" width="11.109375" customWidth="1"/>
    <col min="17" max="17" width="10" customWidth="1"/>
    <col min="18" max="18" width="10.6640625" customWidth="1"/>
    <col min="19" max="19" width="11.44140625" customWidth="1"/>
  </cols>
  <sheetData>
    <row r="2" spans="1:16" x14ac:dyDescent="0.3">
      <c r="B2" s="127" t="s">
        <v>265</v>
      </c>
      <c r="C2" s="127"/>
      <c r="D2" s="127"/>
      <c r="E2" s="127"/>
      <c r="G2" s="127" t="s">
        <v>267</v>
      </c>
      <c r="H2" s="127"/>
      <c r="I2" s="127"/>
      <c r="J2" s="127"/>
      <c r="N2" s="12" t="s">
        <v>270</v>
      </c>
      <c r="O2" s="95"/>
    </row>
    <row r="3" spans="1:16" ht="6.6" customHeight="1" x14ac:dyDescent="0.3">
      <c r="B3" s="24"/>
      <c r="G3" s="24"/>
    </row>
    <row r="4" spans="1:16" ht="19.2" x14ac:dyDescent="0.45">
      <c r="B4" s="78" t="s">
        <v>208</v>
      </c>
      <c r="C4" s="78" t="s">
        <v>209</v>
      </c>
      <c r="D4" s="128" t="s">
        <v>266</v>
      </c>
      <c r="E4" s="128"/>
      <c r="G4" s="78" t="s">
        <v>208</v>
      </c>
      <c r="H4" s="78" t="s">
        <v>209</v>
      </c>
      <c r="I4" s="128" t="s">
        <v>266</v>
      </c>
      <c r="J4" s="128"/>
      <c r="N4" t="s">
        <v>271</v>
      </c>
      <c r="O4" s="51">
        <f>L25</f>
        <v>0.9039378084236962</v>
      </c>
    </row>
    <row r="5" spans="1:16" ht="14.4" customHeight="1" x14ac:dyDescent="0.3">
      <c r="B5" s="76" t="s">
        <v>264</v>
      </c>
      <c r="C5" s="75">
        <v>2317.1</v>
      </c>
      <c r="G5" s="74" t="s">
        <v>210</v>
      </c>
      <c r="H5" s="75">
        <v>23355.7</v>
      </c>
      <c r="N5" t="s">
        <v>272</v>
      </c>
      <c r="O5" s="32">
        <v>0.75</v>
      </c>
    </row>
    <row r="6" spans="1:16" ht="14.4" customHeight="1" x14ac:dyDescent="0.3">
      <c r="A6" s="76"/>
      <c r="B6" s="76" t="s">
        <v>263</v>
      </c>
      <c r="C6" s="75">
        <v>2313.1999999999998</v>
      </c>
      <c r="D6" s="22">
        <f>C6/C5-1</f>
        <v>-1.6831384057658383E-3</v>
      </c>
      <c r="G6" s="74" t="s">
        <v>211</v>
      </c>
      <c r="H6" s="75">
        <v>23508.400000000001</v>
      </c>
      <c r="I6" s="22">
        <f>H6/H5-1</f>
        <v>6.5380185564980486E-3</v>
      </c>
      <c r="K6" t="s">
        <v>144</v>
      </c>
      <c r="N6" t="s">
        <v>274</v>
      </c>
      <c r="O6">
        <v>1</v>
      </c>
    </row>
    <row r="7" spans="1:16" ht="17.399999999999999" thickBot="1" x14ac:dyDescent="0.35">
      <c r="A7" s="76"/>
      <c r="B7" s="76" t="s">
        <v>212</v>
      </c>
      <c r="C7" s="75">
        <v>2207.9</v>
      </c>
      <c r="D7" s="22">
        <f t="shared" ref="D7:D57" si="0">C7/C6-1</f>
        <v>-4.5521355697734633E-2</v>
      </c>
      <c r="G7" s="74" t="s">
        <v>212</v>
      </c>
      <c r="H7" s="75">
        <v>23092.2</v>
      </c>
      <c r="I7" s="22">
        <f t="shared" ref="I7:I57" si="1">H7/H6-1</f>
        <v>-1.7704309948784247E-2</v>
      </c>
      <c r="N7" t="s">
        <v>273</v>
      </c>
      <c r="O7" s="32">
        <v>0.25</v>
      </c>
    </row>
    <row r="8" spans="1:16" ht="16.8" x14ac:dyDescent="0.3">
      <c r="A8" s="76"/>
      <c r="B8" s="76" t="s">
        <v>213</v>
      </c>
      <c r="C8" s="75">
        <v>2217.1999999999998</v>
      </c>
      <c r="D8" s="22">
        <f t="shared" si="0"/>
        <v>4.2121472892793221E-3</v>
      </c>
      <c r="G8" s="74" t="s">
        <v>213</v>
      </c>
      <c r="H8" s="75">
        <v>23203.200000000001</v>
      </c>
      <c r="I8" s="22">
        <f t="shared" si="1"/>
        <v>4.8068178865590117E-3</v>
      </c>
      <c r="K8" s="41" t="s">
        <v>145</v>
      </c>
      <c r="L8" s="41"/>
    </row>
    <row r="9" spans="1:16" ht="16.8" x14ac:dyDescent="0.3">
      <c r="A9" s="76"/>
      <c r="B9" s="76" t="s">
        <v>214</v>
      </c>
      <c r="C9" s="75">
        <v>2247.9</v>
      </c>
      <c r="D9" s="22">
        <f t="shared" si="0"/>
        <v>1.3846292621324308E-2</v>
      </c>
      <c r="G9" s="74" t="s">
        <v>214</v>
      </c>
      <c r="H9" s="75">
        <v>23431.5</v>
      </c>
      <c r="I9" s="22">
        <f t="shared" si="1"/>
        <v>9.8391601158460684E-3</v>
      </c>
      <c r="K9" t="s">
        <v>146</v>
      </c>
      <c r="L9">
        <v>0.5405488029743547</v>
      </c>
      <c r="N9" s="79" t="s">
        <v>275</v>
      </c>
      <c r="O9" s="80">
        <f>(O4*O5)+(O6*O7)</f>
        <v>0.9279533563177722</v>
      </c>
    </row>
    <row r="10" spans="1:16" ht="16.8" x14ac:dyDescent="0.3">
      <c r="A10" s="76"/>
      <c r="B10" s="76" t="s">
        <v>215</v>
      </c>
      <c r="C10" s="75">
        <v>2232.6999999999998</v>
      </c>
      <c r="D10" s="22">
        <f t="shared" si="0"/>
        <v>-6.7618666310780284E-3</v>
      </c>
      <c r="G10" s="74" t="s">
        <v>215</v>
      </c>
      <c r="H10" s="75">
        <v>24004.75</v>
      </c>
      <c r="I10" s="22">
        <f t="shared" si="1"/>
        <v>2.4464929688666981E-2</v>
      </c>
      <c r="K10" t="s">
        <v>147</v>
      </c>
      <c r="L10">
        <v>0.29219300839700768</v>
      </c>
    </row>
    <row r="11" spans="1:16" ht="16.8" x14ac:dyDescent="0.3">
      <c r="A11" s="76"/>
      <c r="B11" s="76" t="s">
        <v>216</v>
      </c>
      <c r="C11" s="75">
        <v>2165.6</v>
      </c>
      <c r="D11" s="22">
        <f t="shared" si="0"/>
        <v>-3.0053298696645303E-2</v>
      </c>
      <c r="G11" s="74" t="s">
        <v>216</v>
      </c>
      <c r="H11" s="75">
        <v>23813.4</v>
      </c>
      <c r="I11" s="22">
        <f t="shared" si="1"/>
        <v>-7.9713390058216982E-3</v>
      </c>
      <c r="K11" t="s">
        <v>148</v>
      </c>
      <c r="L11">
        <v>0.27803686856494786</v>
      </c>
    </row>
    <row r="12" spans="1:16" ht="16.8" x14ac:dyDescent="0.3">
      <c r="A12" s="76"/>
      <c r="B12" s="76" t="s">
        <v>217</v>
      </c>
      <c r="C12" s="75">
        <v>2163.5</v>
      </c>
      <c r="D12" s="22">
        <f t="shared" si="0"/>
        <v>-9.6970816401920068E-4</v>
      </c>
      <c r="G12" s="74" t="s">
        <v>217</v>
      </c>
      <c r="H12" s="75">
        <v>23587.5</v>
      </c>
      <c r="I12" s="22">
        <f t="shared" si="1"/>
        <v>-9.4862556375822082E-3</v>
      </c>
      <c r="K12" t="s">
        <v>149</v>
      </c>
      <c r="L12">
        <v>2.4235067376686039E-2</v>
      </c>
    </row>
    <row r="13" spans="1:16" ht="17.399999999999999" thickBot="1" x14ac:dyDescent="0.35">
      <c r="A13" s="76"/>
      <c r="B13" s="76" t="s">
        <v>218</v>
      </c>
      <c r="C13" s="75">
        <v>2253.5</v>
      </c>
      <c r="D13" s="22">
        <f t="shared" si="0"/>
        <v>4.159926045759188E-2</v>
      </c>
      <c r="G13" s="74" t="s">
        <v>218</v>
      </c>
      <c r="H13" s="75">
        <v>24768.3</v>
      </c>
      <c r="I13" s="22">
        <f t="shared" si="1"/>
        <v>5.0060413354531041E-2</v>
      </c>
      <c r="K13" s="39" t="s">
        <v>150</v>
      </c>
      <c r="L13" s="39">
        <v>52</v>
      </c>
    </row>
    <row r="14" spans="1:16" ht="16.8" x14ac:dyDescent="0.3">
      <c r="A14" s="76"/>
      <c r="B14" s="76" t="s">
        <v>219</v>
      </c>
      <c r="C14" s="75">
        <v>2267.8000000000002</v>
      </c>
      <c r="D14" s="22">
        <f t="shared" si="0"/>
        <v>6.3456844907920917E-3</v>
      </c>
      <c r="G14" s="74" t="s">
        <v>219</v>
      </c>
      <c r="H14" s="75">
        <v>24677.8</v>
      </c>
      <c r="I14" s="22">
        <f t="shared" si="1"/>
        <v>-3.653864011660013E-3</v>
      </c>
    </row>
    <row r="15" spans="1:16" ht="17.399999999999999" thickBot="1" x14ac:dyDescent="0.35">
      <c r="A15" s="76"/>
      <c r="B15" s="76" t="s">
        <v>220</v>
      </c>
      <c r="C15" s="75">
        <v>2234.65</v>
      </c>
      <c r="D15" s="22">
        <f t="shared" si="0"/>
        <v>-1.4617691154422796E-2</v>
      </c>
      <c r="G15" s="74" t="s">
        <v>220</v>
      </c>
      <c r="H15" s="75">
        <v>24131.1</v>
      </c>
      <c r="I15" s="22">
        <f t="shared" si="1"/>
        <v>-2.2153514494809179E-2</v>
      </c>
      <c r="K15" t="s">
        <v>151</v>
      </c>
    </row>
    <row r="16" spans="1:16" ht="16.8" x14ac:dyDescent="0.3">
      <c r="A16" s="76"/>
      <c r="B16" s="76" t="s">
        <v>221</v>
      </c>
      <c r="C16" s="75">
        <v>2247.3000000000002</v>
      </c>
      <c r="D16" s="22">
        <f t="shared" si="0"/>
        <v>5.6608417425547675E-3</v>
      </c>
      <c r="G16" s="74" t="s">
        <v>221</v>
      </c>
      <c r="H16" s="75">
        <v>23907.25</v>
      </c>
      <c r="I16" s="22">
        <f t="shared" si="1"/>
        <v>-9.2764109385812255E-3</v>
      </c>
      <c r="K16" s="40"/>
      <c r="L16" s="40" t="s">
        <v>155</v>
      </c>
      <c r="M16" s="40" t="s">
        <v>156</v>
      </c>
      <c r="N16" s="40" t="s">
        <v>157</v>
      </c>
      <c r="O16" s="40" t="s">
        <v>158</v>
      </c>
      <c r="P16" s="40" t="s">
        <v>159</v>
      </c>
    </row>
    <row r="17" spans="1:19" ht="16.8" x14ac:dyDescent="0.3">
      <c r="A17" s="76"/>
      <c r="B17" s="76" t="s">
        <v>222</v>
      </c>
      <c r="C17" s="75">
        <v>2182.8000000000002</v>
      </c>
      <c r="D17" s="22">
        <f t="shared" si="0"/>
        <v>-2.8701107996262132E-2</v>
      </c>
      <c r="G17" s="74" t="s">
        <v>222</v>
      </c>
      <c r="H17" s="75">
        <v>23532.7</v>
      </c>
      <c r="I17" s="22">
        <f t="shared" si="1"/>
        <v>-1.5666795637306663E-2</v>
      </c>
      <c r="K17" t="s">
        <v>152</v>
      </c>
      <c r="L17">
        <v>1</v>
      </c>
      <c r="M17">
        <v>1.2123093060416798E-2</v>
      </c>
      <c r="N17">
        <v>1.2123093060416798E-2</v>
      </c>
      <c r="O17">
        <v>20.640726346547464</v>
      </c>
      <c r="P17">
        <v>3.5234486150376657E-5</v>
      </c>
    </row>
    <row r="18" spans="1:19" ht="16.8" x14ac:dyDescent="0.3">
      <c r="A18" s="76"/>
      <c r="B18" s="76" t="s">
        <v>223</v>
      </c>
      <c r="C18" s="75">
        <v>2295.65</v>
      </c>
      <c r="D18" s="22">
        <f t="shared" si="0"/>
        <v>5.1699651823346127E-2</v>
      </c>
      <c r="G18" s="74" t="s">
        <v>223</v>
      </c>
      <c r="H18" s="75">
        <v>24148.2</v>
      </c>
      <c r="I18" s="22">
        <f t="shared" si="1"/>
        <v>2.6155094825498049E-2</v>
      </c>
      <c r="K18" t="s">
        <v>153</v>
      </c>
      <c r="L18">
        <v>50</v>
      </c>
      <c r="M18">
        <v>2.9366924537625599E-2</v>
      </c>
      <c r="N18">
        <v>5.8733849075251194E-4</v>
      </c>
    </row>
    <row r="19" spans="1:19" ht="17.399999999999999" thickBot="1" x14ac:dyDescent="0.35">
      <c r="A19" s="76"/>
      <c r="B19" s="76" t="s">
        <v>224</v>
      </c>
      <c r="C19" s="75">
        <v>2282.3000000000002</v>
      </c>
      <c r="D19" s="22">
        <f t="shared" si="0"/>
        <v>-5.8153464160477508E-3</v>
      </c>
      <c r="G19" s="74" t="s">
        <v>224</v>
      </c>
      <c r="H19" s="75">
        <v>24304.35</v>
      </c>
      <c r="I19" s="22">
        <f t="shared" si="1"/>
        <v>6.4663204710908584E-3</v>
      </c>
      <c r="K19" s="39" t="s">
        <v>24</v>
      </c>
      <c r="L19" s="39">
        <v>51</v>
      </c>
      <c r="M19" s="39">
        <v>4.1490017598042397E-2</v>
      </c>
      <c r="N19" s="39"/>
      <c r="O19" s="39"/>
      <c r="P19" s="39"/>
    </row>
    <row r="20" spans="1:19" ht="17.399999999999999" thickBot="1" x14ac:dyDescent="0.35">
      <c r="A20" s="76"/>
      <c r="B20" s="76" t="s">
        <v>225</v>
      </c>
      <c r="C20" s="75">
        <v>2260.6999999999998</v>
      </c>
      <c r="D20" s="22">
        <f t="shared" si="0"/>
        <v>-9.4641370547257075E-3</v>
      </c>
      <c r="G20" s="74" t="s">
        <v>225</v>
      </c>
      <c r="H20" s="75">
        <v>24180.799999999999</v>
      </c>
      <c r="I20" s="22">
        <f t="shared" si="1"/>
        <v>-5.0834521392261189E-3</v>
      </c>
    </row>
    <row r="21" spans="1:19" ht="16.8" x14ac:dyDescent="0.3">
      <c r="A21" s="76"/>
      <c r="B21" s="76" t="s">
        <v>226</v>
      </c>
      <c r="C21" s="75">
        <v>2350.25</v>
      </c>
      <c r="D21" s="22">
        <f t="shared" si="0"/>
        <v>3.9611624718007832E-2</v>
      </c>
      <c r="G21" s="74" t="s">
        <v>226</v>
      </c>
      <c r="H21" s="75">
        <v>24854.05</v>
      </c>
      <c r="I21" s="22">
        <f t="shared" si="1"/>
        <v>2.7842337722490562E-2</v>
      </c>
      <c r="K21" s="40"/>
      <c r="L21" s="40" t="s">
        <v>160</v>
      </c>
      <c r="M21" s="40" t="s">
        <v>149</v>
      </c>
      <c r="N21" s="40" t="s">
        <v>161</v>
      </c>
      <c r="O21" s="40" t="s">
        <v>162</v>
      </c>
      <c r="P21" s="40" t="s">
        <v>163</v>
      </c>
      <c r="Q21" s="40" t="s">
        <v>164</v>
      </c>
      <c r="R21" s="40" t="s">
        <v>165</v>
      </c>
      <c r="S21" s="40" t="s">
        <v>166</v>
      </c>
    </row>
    <row r="22" spans="1:19" ht="16.8" x14ac:dyDescent="0.3">
      <c r="A22" s="76"/>
      <c r="B22" s="76" t="s">
        <v>227</v>
      </c>
      <c r="C22" s="75">
        <v>2511.8000000000002</v>
      </c>
      <c r="D22" s="22">
        <f t="shared" si="0"/>
        <v>6.8737368365067608E-2</v>
      </c>
      <c r="G22" s="74" t="s">
        <v>227</v>
      </c>
      <c r="H22" s="75">
        <v>24964.25</v>
      </c>
      <c r="I22" s="22">
        <f t="shared" si="1"/>
        <v>4.4338850207512603E-3</v>
      </c>
      <c r="K22" t="s">
        <v>154</v>
      </c>
      <c r="L22">
        <v>2.5543227544146687E-3</v>
      </c>
      <c r="M22">
        <v>3.3692536083514244E-3</v>
      </c>
      <c r="N22">
        <v>0.75812718522678935</v>
      </c>
      <c r="O22">
        <v>0.45193353242812073</v>
      </c>
      <c r="P22">
        <v>-4.2130222816179532E-3</v>
      </c>
      <c r="Q22">
        <v>9.3216677904472914E-3</v>
      </c>
      <c r="R22">
        <v>-4.2130222816179532E-3</v>
      </c>
      <c r="S22">
        <v>9.3216677904472914E-3</v>
      </c>
    </row>
    <row r="23" spans="1:19" ht="17.399999999999999" thickBot="1" x14ac:dyDescent="0.35">
      <c r="A23" s="76"/>
      <c r="B23" s="76" t="s">
        <v>228</v>
      </c>
      <c r="C23" s="75">
        <v>2598.15</v>
      </c>
      <c r="D23" s="22">
        <f t="shared" si="0"/>
        <v>3.4377737080977688E-2</v>
      </c>
      <c r="G23" s="74" t="s">
        <v>228</v>
      </c>
      <c r="H23" s="75">
        <v>25014.6</v>
      </c>
      <c r="I23" s="22">
        <f t="shared" si="1"/>
        <v>2.0168841443264363E-3</v>
      </c>
      <c r="K23" s="39" t="s">
        <v>268</v>
      </c>
      <c r="L23" s="39">
        <v>0.9039378084236962</v>
      </c>
      <c r="M23" s="39">
        <v>0.19896471479855934</v>
      </c>
      <c r="N23" s="39">
        <v>4.5432066149964463</v>
      </c>
      <c r="O23" s="39">
        <v>3.5234486150376657E-5</v>
      </c>
      <c r="P23" s="39">
        <v>0.50430541752852065</v>
      </c>
      <c r="Q23" s="39">
        <v>1.3035701993188717</v>
      </c>
      <c r="R23" s="39">
        <v>0.50430541752852065</v>
      </c>
      <c r="S23" s="39">
        <v>1.3035701993188717</v>
      </c>
    </row>
    <row r="24" spans="1:19" ht="16.8" x14ac:dyDescent="0.3">
      <c r="A24" s="76"/>
      <c r="B24" s="76" t="s">
        <v>229</v>
      </c>
      <c r="C24" s="75">
        <v>2745.7</v>
      </c>
      <c r="D24" s="22">
        <f t="shared" si="0"/>
        <v>5.6790408559936667E-2</v>
      </c>
      <c r="G24" s="74" t="s">
        <v>229</v>
      </c>
      <c r="H24" s="75">
        <v>26178.95</v>
      </c>
      <c r="I24" s="22">
        <f t="shared" si="1"/>
        <v>4.6546816659071233E-2</v>
      </c>
    </row>
    <row r="25" spans="1:19" ht="16.8" x14ac:dyDescent="0.3">
      <c r="A25" s="76"/>
      <c r="B25" s="76" t="s">
        <v>230</v>
      </c>
      <c r="C25" s="75">
        <v>2699.55</v>
      </c>
      <c r="D25" s="22">
        <f t="shared" si="0"/>
        <v>-1.6808099938084853E-2</v>
      </c>
      <c r="G25" s="74" t="s">
        <v>230</v>
      </c>
      <c r="H25" s="75">
        <v>25790.95</v>
      </c>
      <c r="I25" s="22">
        <f t="shared" si="1"/>
        <v>-1.4821068071866894E-2</v>
      </c>
      <c r="K25" s="24" t="s">
        <v>269</v>
      </c>
      <c r="L25" s="121">
        <f>L23</f>
        <v>0.9039378084236962</v>
      </c>
    </row>
    <row r="26" spans="1:19" ht="16.8" x14ac:dyDescent="0.3">
      <c r="B26" s="76" t="s">
        <v>231</v>
      </c>
      <c r="C26" s="75">
        <v>2531.4</v>
      </c>
      <c r="D26" s="22">
        <f t="shared" si="0"/>
        <v>-6.228815913763408E-2</v>
      </c>
      <c r="G26" s="74" t="s">
        <v>231</v>
      </c>
      <c r="H26" s="75">
        <v>25356.5</v>
      </c>
      <c r="I26" s="22">
        <f t="shared" si="1"/>
        <v>-1.684505611464493E-2</v>
      </c>
    </row>
    <row r="27" spans="1:19" ht="16.8" x14ac:dyDescent="0.3">
      <c r="B27" s="76" t="s">
        <v>232</v>
      </c>
      <c r="C27" s="75">
        <v>2503.1999999999998</v>
      </c>
      <c r="D27" s="22">
        <f t="shared" si="0"/>
        <v>-1.1140080587817125E-2</v>
      </c>
      <c r="G27" s="74" t="s">
        <v>232</v>
      </c>
      <c r="H27" s="75">
        <v>24852.15</v>
      </c>
      <c r="I27" s="22">
        <f t="shared" si="1"/>
        <v>-1.9890363417664036E-2</v>
      </c>
    </row>
    <row r="28" spans="1:19" ht="16.8" x14ac:dyDescent="0.3">
      <c r="B28" s="76" t="s">
        <v>233</v>
      </c>
      <c r="C28" s="75">
        <v>2500.75</v>
      </c>
      <c r="D28" s="22">
        <f t="shared" si="0"/>
        <v>-9.7874720357937761E-4</v>
      </c>
      <c r="G28" s="74" t="s">
        <v>233</v>
      </c>
      <c r="H28" s="75">
        <v>25235.9</v>
      </c>
      <c r="I28" s="22">
        <f t="shared" si="1"/>
        <v>1.544131996628062E-2</v>
      </c>
    </row>
    <row r="29" spans="1:19" ht="16.8" x14ac:dyDescent="0.3">
      <c r="B29" s="76" t="s">
        <v>234</v>
      </c>
      <c r="C29" s="75">
        <v>2529.1999999999998</v>
      </c>
      <c r="D29" s="22">
        <f t="shared" si="0"/>
        <v>1.1376587023892659E-2</v>
      </c>
      <c r="G29" s="74" t="s">
        <v>234</v>
      </c>
      <c r="H29" s="75">
        <v>24823.15</v>
      </c>
      <c r="I29" s="22">
        <f t="shared" si="1"/>
        <v>-1.6355667917530181E-2</v>
      </c>
    </row>
    <row r="30" spans="1:19" ht="16.8" x14ac:dyDescent="0.3">
      <c r="B30" s="76" t="s">
        <v>235</v>
      </c>
      <c r="C30" s="75">
        <v>2525.4499999999998</v>
      </c>
      <c r="D30" s="22">
        <f t="shared" si="0"/>
        <v>-1.482682271073843E-3</v>
      </c>
      <c r="G30" s="74" t="s">
        <v>235</v>
      </c>
      <c r="H30" s="75">
        <v>24541.15</v>
      </c>
      <c r="I30" s="22">
        <f t="shared" si="1"/>
        <v>-1.1360363209342861E-2</v>
      </c>
    </row>
    <row r="31" spans="1:19" ht="16.8" x14ac:dyDescent="0.3">
      <c r="B31" s="76" t="s">
        <v>236</v>
      </c>
      <c r="C31" s="75">
        <v>2504.6999999999998</v>
      </c>
      <c r="D31" s="22">
        <f t="shared" si="0"/>
        <v>-8.2163574808450379E-3</v>
      </c>
      <c r="G31" s="74" t="s">
        <v>236</v>
      </c>
      <c r="H31" s="75">
        <v>24367.5</v>
      </c>
      <c r="I31" s="22">
        <f t="shared" si="1"/>
        <v>-7.0758705276647849E-3</v>
      </c>
    </row>
    <row r="32" spans="1:19" ht="16.8" x14ac:dyDescent="0.3">
      <c r="B32" s="76" t="s">
        <v>237</v>
      </c>
      <c r="C32" s="75">
        <v>2495.1</v>
      </c>
      <c r="D32" s="22">
        <f t="shared" si="0"/>
        <v>-3.8327943466283099E-3</v>
      </c>
      <c r="G32" s="74" t="s">
        <v>237</v>
      </c>
      <c r="H32" s="75">
        <v>24717.7</v>
      </c>
      <c r="I32" s="22">
        <f t="shared" si="1"/>
        <v>1.4371601518415877E-2</v>
      </c>
    </row>
    <row r="33" spans="2:9" ht="16.8" x14ac:dyDescent="0.3">
      <c r="B33" s="76" t="s">
        <v>238</v>
      </c>
      <c r="C33" s="75">
        <v>2476.9</v>
      </c>
      <c r="D33" s="22">
        <f t="shared" si="0"/>
        <v>-7.2942968217706294E-3</v>
      </c>
      <c r="G33" s="74" t="s">
        <v>238</v>
      </c>
      <c r="H33" s="75">
        <v>24834.85</v>
      </c>
      <c r="I33" s="22">
        <f t="shared" si="1"/>
        <v>4.7395186445340354E-3</v>
      </c>
    </row>
    <row r="34" spans="2:9" ht="16.8" x14ac:dyDescent="0.3">
      <c r="B34" s="76" t="s">
        <v>239</v>
      </c>
      <c r="C34" s="75">
        <v>2597.85</v>
      </c>
      <c r="D34" s="22">
        <f t="shared" si="0"/>
        <v>4.8831200290685883E-2</v>
      </c>
      <c r="G34" s="74" t="s">
        <v>239</v>
      </c>
      <c r="H34" s="75">
        <v>24530.9</v>
      </c>
      <c r="I34" s="22">
        <f t="shared" si="1"/>
        <v>-1.2238849842056476E-2</v>
      </c>
    </row>
    <row r="35" spans="2:9" ht="16.8" x14ac:dyDescent="0.3">
      <c r="B35" s="76" t="s">
        <v>240</v>
      </c>
      <c r="C35" s="75">
        <v>2609</v>
      </c>
      <c r="D35" s="22">
        <f t="shared" si="0"/>
        <v>4.292010701156812E-3</v>
      </c>
      <c r="G35" s="74" t="s">
        <v>240</v>
      </c>
      <c r="H35" s="75">
        <v>24502.15</v>
      </c>
      <c r="I35" s="22">
        <f t="shared" si="1"/>
        <v>-1.1719912436967128E-3</v>
      </c>
    </row>
    <row r="36" spans="2:9" ht="16.8" x14ac:dyDescent="0.3">
      <c r="B36" s="76" t="s">
        <v>241</v>
      </c>
      <c r="C36" s="75">
        <v>2574.15</v>
      </c>
      <c r="D36" s="22">
        <f t="shared" si="0"/>
        <v>-1.3357608279034094E-2</v>
      </c>
      <c r="G36" s="74" t="s">
        <v>241</v>
      </c>
      <c r="H36" s="75">
        <v>24323.85</v>
      </c>
      <c r="I36" s="22">
        <f t="shared" si="1"/>
        <v>-7.2769124342150215E-3</v>
      </c>
    </row>
    <row r="37" spans="2:9" ht="16.8" x14ac:dyDescent="0.3">
      <c r="B37" s="76" t="s">
        <v>242</v>
      </c>
      <c r="C37" s="75">
        <v>2551.65</v>
      </c>
      <c r="D37" s="22">
        <f t="shared" si="0"/>
        <v>-8.7407493735796038E-3</v>
      </c>
      <c r="G37" s="74" t="s">
        <v>242</v>
      </c>
      <c r="H37" s="75">
        <v>24010.6</v>
      </c>
      <c r="I37" s="22">
        <f t="shared" si="1"/>
        <v>-1.2878306682535867E-2</v>
      </c>
    </row>
    <row r="38" spans="2:9" ht="16.8" x14ac:dyDescent="0.3">
      <c r="B38" s="76" t="s">
        <v>243</v>
      </c>
      <c r="C38" s="75">
        <v>2498.4</v>
      </c>
      <c r="D38" s="22">
        <f t="shared" si="0"/>
        <v>-2.0868849567926673E-2</v>
      </c>
      <c r="G38" s="74" t="s">
        <v>243</v>
      </c>
      <c r="H38" s="75">
        <v>23501.1</v>
      </c>
      <c r="I38" s="22">
        <f t="shared" si="1"/>
        <v>-2.1219794590722429E-2</v>
      </c>
    </row>
    <row r="39" spans="2:9" ht="16.8" x14ac:dyDescent="0.3">
      <c r="B39" s="76" t="s">
        <v>244</v>
      </c>
      <c r="C39" s="75">
        <v>2542.5</v>
      </c>
      <c r="D39" s="22">
        <f t="shared" si="0"/>
        <v>1.765129682997113E-2</v>
      </c>
      <c r="G39" s="74" t="s">
        <v>244</v>
      </c>
      <c r="H39" s="75">
        <v>23465.599999999999</v>
      </c>
      <c r="I39" s="22">
        <f t="shared" si="1"/>
        <v>-1.5105675904532045E-3</v>
      </c>
    </row>
    <row r="40" spans="2:9" ht="16.8" x14ac:dyDescent="0.3">
      <c r="B40" s="76" t="s">
        <v>245</v>
      </c>
      <c r="C40" s="75">
        <v>2502.4499999999998</v>
      </c>
      <c r="D40" s="22">
        <f t="shared" si="0"/>
        <v>-1.5752212389380627E-2</v>
      </c>
      <c r="G40" s="74" t="s">
        <v>245</v>
      </c>
      <c r="H40" s="75">
        <v>23290.15</v>
      </c>
      <c r="I40" s="22">
        <f t="shared" si="1"/>
        <v>-7.4769023591980677E-3</v>
      </c>
    </row>
    <row r="41" spans="2:9" ht="16.8" x14ac:dyDescent="0.3">
      <c r="B41" s="76" t="s">
        <v>246</v>
      </c>
      <c r="C41" s="75">
        <v>2354.9</v>
      </c>
      <c r="D41" s="22">
        <f t="shared" si="0"/>
        <v>-5.896221702731308E-2</v>
      </c>
      <c r="G41" s="74" t="s">
        <v>246</v>
      </c>
      <c r="H41" s="75">
        <v>22530.7</v>
      </c>
      <c r="I41" s="22">
        <f t="shared" si="1"/>
        <v>-3.2608205614820029E-2</v>
      </c>
    </row>
    <row r="42" spans="2:9" ht="16.8" x14ac:dyDescent="0.3">
      <c r="B42" s="76" t="s">
        <v>247</v>
      </c>
      <c r="C42" s="75">
        <v>2467.75</v>
      </c>
      <c r="D42" s="22">
        <f t="shared" si="0"/>
        <v>4.7921355471569838E-2</v>
      </c>
      <c r="G42" s="74" t="s">
        <v>247</v>
      </c>
      <c r="H42" s="75">
        <v>22957.1</v>
      </c>
      <c r="I42" s="22">
        <f t="shared" si="1"/>
        <v>1.8925288606212787E-2</v>
      </c>
    </row>
    <row r="43" spans="2:9" ht="16.8" x14ac:dyDescent="0.3">
      <c r="B43" s="76" t="s">
        <v>248</v>
      </c>
      <c r="C43" s="75">
        <v>2445.5</v>
      </c>
      <c r="D43" s="22">
        <f t="shared" si="0"/>
        <v>-9.016310404214356E-3</v>
      </c>
      <c r="G43" s="74" t="s">
        <v>248</v>
      </c>
      <c r="H43" s="75">
        <v>22466.1</v>
      </c>
      <c r="I43" s="22">
        <f t="shared" si="1"/>
        <v>-2.1387718832082458E-2</v>
      </c>
    </row>
    <row r="44" spans="2:9" ht="16.8" x14ac:dyDescent="0.3">
      <c r="B44" s="76" t="s">
        <v>249</v>
      </c>
      <c r="C44" s="75">
        <v>2533.1999999999998</v>
      </c>
      <c r="D44" s="22">
        <f t="shared" si="0"/>
        <v>3.5861786955632802E-2</v>
      </c>
      <c r="G44" s="74" t="s">
        <v>249</v>
      </c>
      <c r="H44" s="75">
        <v>22055.200000000001</v>
      </c>
      <c r="I44" s="22">
        <f t="shared" si="1"/>
        <v>-1.8289778822314418E-2</v>
      </c>
    </row>
    <row r="45" spans="2:9" ht="16.8" x14ac:dyDescent="0.3">
      <c r="B45" s="76" t="s">
        <v>250</v>
      </c>
      <c r="C45" s="75">
        <v>2456.1</v>
      </c>
      <c r="D45" s="22">
        <f t="shared" si="0"/>
        <v>-3.0435812411179541E-2</v>
      </c>
      <c r="G45" s="74" t="s">
        <v>250</v>
      </c>
      <c r="H45" s="75">
        <v>22475.85</v>
      </c>
      <c r="I45" s="22">
        <f t="shared" si="1"/>
        <v>1.9072599659037293E-2</v>
      </c>
    </row>
    <row r="46" spans="2:9" ht="16.8" x14ac:dyDescent="0.3">
      <c r="B46" s="76" t="s">
        <v>251</v>
      </c>
      <c r="C46" s="75">
        <v>2482.75</v>
      </c>
      <c r="D46" s="22">
        <f t="shared" si="0"/>
        <v>1.0850535401653039E-2</v>
      </c>
      <c r="G46" s="74" t="s">
        <v>251</v>
      </c>
      <c r="H46" s="75">
        <v>22419.95</v>
      </c>
      <c r="I46" s="22">
        <f t="shared" si="1"/>
        <v>-2.4871139467471659E-3</v>
      </c>
    </row>
    <row r="47" spans="2:9" ht="16.8" x14ac:dyDescent="0.3">
      <c r="B47" s="76" t="s">
        <v>252</v>
      </c>
      <c r="C47" s="75">
        <v>2437.6999999999998</v>
      </c>
      <c r="D47" s="22">
        <f t="shared" si="0"/>
        <v>-1.8145201893062235E-2</v>
      </c>
      <c r="G47" s="74" t="s">
        <v>252</v>
      </c>
      <c r="H47" s="75">
        <v>22147</v>
      </c>
      <c r="I47" s="22">
        <f t="shared" si="1"/>
        <v>-1.2174425009868428E-2</v>
      </c>
    </row>
    <row r="48" spans="2:9" ht="16.8" x14ac:dyDescent="0.3">
      <c r="B48" s="76" t="s">
        <v>253</v>
      </c>
      <c r="C48" s="75">
        <v>2536.1999999999998</v>
      </c>
      <c r="D48" s="22">
        <f t="shared" si="0"/>
        <v>4.0406940968946037E-2</v>
      </c>
      <c r="G48" s="74" t="s">
        <v>253</v>
      </c>
      <c r="H48" s="75">
        <v>22519.4</v>
      </c>
      <c r="I48" s="22">
        <f t="shared" si="1"/>
        <v>1.6814918499119536E-2</v>
      </c>
    </row>
    <row r="49" spans="2:9" ht="16.8" x14ac:dyDescent="0.3">
      <c r="B49" s="76" t="s">
        <v>254</v>
      </c>
      <c r="C49" s="75">
        <v>2537.65</v>
      </c>
      <c r="D49" s="22">
        <f t="shared" si="0"/>
        <v>5.7172147307005261E-4</v>
      </c>
      <c r="G49" s="74" t="s">
        <v>254</v>
      </c>
      <c r="H49" s="75">
        <v>22513.7</v>
      </c>
      <c r="I49" s="22">
        <f t="shared" si="1"/>
        <v>-2.5311509187642134E-4</v>
      </c>
    </row>
    <row r="50" spans="2:9" ht="16.8" x14ac:dyDescent="0.3">
      <c r="B50" s="76" t="s">
        <v>255</v>
      </c>
      <c r="C50" s="75">
        <v>2622.35</v>
      </c>
      <c r="D50" s="22">
        <f t="shared" si="0"/>
        <v>3.3377337300257937E-2</v>
      </c>
      <c r="G50" s="74" t="s">
        <v>255</v>
      </c>
      <c r="H50" s="75">
        <v>22326.9</v>
      </c>
      <c r="I50" s="22">
        <f t="shared" si="1"/>
        <v>-8.2971701674979803E-3</v>
      </c>
    </row>
    <row r="51" spans="2:9" ht="16.8" x14ac:dyDescent="0.3">
      <c r="B51" s="76" t="s">
        <v>256</v>
      </c>
      <c r="C51" s="75">
        <v>2573.4</v>
      </c>
      <c r="D51" s="22">
        <f t="shared" si="0"/>
        <v>-1.8666463286746593E-2</v>
      </c>
      <c r="G51" s="74" t="s">
        <v>256</v>
      </c>
      <c r="H51" s="75">
        <v>22096.75</v>
      </c>
      <c r="I51" s="22">
        <f t="shared" si="1"/>
        <v>-1.0308193255669229E-2</v>
      </c>
    </row>
    <row r="52" spans="2:9" ht="16.8" x14ac:dyDescent="0.3">
      <c r="B52" s="76" t="s">
        <v>257</v>
      </c>
      <c r="C52" s="75">
        <v>2603.65</v>
      </c>
      <c r="D52" s="22">
        <f t="shared" si="0"/>
        <v>1.1754876816662874E-2</v>
      </c>
      <c r="G52" s="74" t="s">
        <v>257</v>
      </c>
      <c r="H52" s="75">
        <v>22023.35</v>
      </c>
      <c r="I52" s="22">
        <f t="shared" si="1"/>
        <v>-3.3217554617761547E-3</v>
      </c>
    </row>
    <row r="53" spans="2:9" ht="16.8" x14ac:dyDescent="0.3">
      <c r="B53" s="76" t="s">
        <v>258</v>
      </c>
      <c r="C53" s="75">
        <v>2560.9499999999998</v>
      </c>
      <c r="D53" s="22">
        <f t="shared" si="0"/>
        <v>-1.6400053770668221E-2</v>
      </c>
      <c r="G53" s="74" t="s">
        <v>258</v>
      </c>
      <c r="H53" s="75">
        <v>22493.55</v>
      </c>
      <c r="I53" s="22">
        <f t="shared" si="1"/>
        <v>2.1350067087886337E-2</v>
      </c>
    </row>
    <row r="54" spans="2:9" ht="16.8" x14ac:dyDescent="0.3">
      <c r="B54" s="76" t="s">
        <v>259</v>
      </c>
      <c r="C54" s="75">
        <v>2601.4499999999998</v>
      </c>
      <c r="D54" s="22">
        <f t="shared" si="0"/>
        <v>1.5814443858724214E-2</v>
      </c>
      <c r="G54" s="74" t="s">
        <v>259</v>
      </c>
      <c r="H54" s="75">
        <v>22338.75</v>
      </c>
      <c r="I54" s="22">
        <f t="shared" si="1"/>
        <v>-6.8819728322118134E-3</v>
      </c>
    </row>
    <row r="55" spans="2:9" ht="16.8" x14ac:dyDescent="0.3">
      <c r="B55" s="76" t="s">
        <v>260</v>
      </c>
      <c r="C55" s="75">
        <v>2579</v>
      </c>
      <c r="D55" s="22">
        <f t="shared" si="0"/>
        <v>-8.6298026100827263E-3</v>
      </c>
      <c r="G55" s="74" t="s">
        <v>260</v>
      </c>
      <c r="H55" s="75">
        <v>22212.7</v>
      </c>
      <c r="I55" s="22">
        <f t="shared" si="1"/>
        <v>-5.6426612948351496E-3</v>
      </c>
    </row>
    <row r="56" spans="2:9" ht="16.8" x14ac:dyDescent="0.3">
      <c r="B56" s="76" t="s">
        <v>261</v>
      </c>
      <c r="C56" s="75">
        <v>2487.65</v>
      </c>
      <c r="D56" s="22">
        <f t="shared" si="0"/>
        <v>-3.5420705699883648E-2</v>
      </c>
      <c r="G56" s="74" t="s">
        <v>261</v>
      </c>
      <c r="H56" s="75">
        <v>22040.7</v>
      </c>
      <c r="I56" s="22">
        <f t="shared" si="1"/>
        <v>-7.7433180117680855E-3</v>
      </c>
    </row>
    <row r="57" spans="2:9" ht="16.8" x14ac:dyDescent="0.3">
      <c r="B57" s="76" t="s">
        <v>262</v>
      </c>
      <c r="C57" s="75">
        <v>2450.1</v>
      </c>
      <c r="D57" s="22">
        <f t="shared" si="0"/>
        <v>-1.509456716177926E-2</v>
      </c>
      <c r="G57" s="74" t="s">
        <v>262</v>
      </c>
      <c r="H57" s="75">
        <v>21782.5</v>
      </c>
      <c r="I57" s="22">
        <f t="shared" si="1"/>
        <v>-1.1714691457167858E-2</v>
      </c>
    </row>
  </sheetData>
  <mergeCells count="4">
    <mergeCell ref="D4:E4"/>
    <mergeCell ref="B2:E2"/>
    <mergeCell ref="G2:J2"/>
    <mergeCell ref="I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EEDD-3EE2-4244-9771-EC2B52A3CD91}">
  <dimension ref="B2:P31"/>
  <sheetViews>
    <sheetView showGridLines="0" workbookViewId="0">
      <selection activeCell="K10" sqref="K10:O15"/>
    </sheetView>
  </sheetViews>
  <sheetFormatPr defaultRowHeight="14.4" x14ac:dyDescent="0.3"/>
  <cols>
    <col min="1" max="1" width="1.88671875" customWidth="1"/>
    <col min="2" max="2" width="28.77734375" customWidth="1"/>
    <col min="3" max="3" width="11.21875" customWidth="1"/>
    <col min="4" max="4" width="11.33203125" customWidth="1"/>
    <col min="5" max="5" width="11.44140625" customWidth="1"/>
    <col min="6" max="6" width="11" customWidth="1"/>
    <col min="7" max="7" width="11.109375" customWidth="1"/>
    <col min="8" max="8" width="15.44140625" customWidth="1"/>
    <col min="9" max="9" width="15.21875" customWidth="1"/>
    <col min="10" max="10" width="17" customWidth="1"/>
    <col min="15" max="15" width="22.21875" customWidth="1"/>
  </cols>
  <sheetData>
    <row r="2" spans="2:13" x14ac:dyDescent="0.3">
      <c r="B2" s="127" t="s">
        <v>167</v>
      </c>
      <c r="C2" s="127"/>
      <c r="D2" s="127"/>
      <c r="E2" s="127"/>
      <c r="F2" s="127"/>
      <c r="G2" s="127"/>
      <c r="H2" s="127"/>
      <c r="I2" s="127"/>
      <c r="J2" s="127"/>
    </row>
    <row r="3" spans="2:13" ht="6" customHeight="1" x14ac:dyDescent="0.3"/>
    <row r="4" spans="2:13" x14ac:dyDescent="0.3">
      <c r="B4" s="45" t="s">
        <v>168</v>
      </c>
      <c r="C4" s="45"/>
      <c r="D4" s="45"/>
      <c r="E4" s="45"/>
      <c r="F4" s="45"/>
    </row>
    <row r="6" spans="2:13" x14ac:dyDescent="0.3">
      <c r="B6" s="68" t="s">
        <v>192</v>
      </c>
      <c r="F6" s="48"/>
      <c r="I6" s="48"/>
    </row>
    <row r="7" spans="2:13" ht="16.2" x14ac:dyDescent="0.3">
      <c r="B7" s="12" t="s">
        <v>169</v>
      </c>
      <c r="C7" s="12" t="s">
        <v>170</v>
      </c>
      <c r="D7" s="12" t="s">
        <v>171</v>
      </c>
      <c r="E7" s="12" t="s">
        <v>172</v>
      </c>
      <c r="F7" s="12" t="s">
        <v>189</v>
      </c>
      <c r="G7" s="12" t="s">
        <v>174</v>
      </c>
      <c r="H7" s="12" t="s">
        <v>175</v>
      </c>
      <c r="I7" s="12" t="s">
        <v>190</v>
      </c>
      <c r="J7" s="12" t="s">
        <v>191</v>
      </c>
    </row>
    <row r="8" spans="2:13" ht="6" customHeight="1" x14ac:dyDescent="0.3">
      <c r="B8" s="49"/>
      <c r="D8" s="52"/>
      <c r="E8" s="52"/>
    </row>
    <row r="9" spans="2:13" x14ac:dyDescent="0.3">
      <c r="B9" s="50" t="s">
        <v>194</v>
      </c>
      <c r="C9" s="61" t="s">
        <v>193</v>
      </c>
      <c r="D9" s="69">
        <v>1748</v>
      </c>
      <c r="E9" s="69">
        <v>12921</v>
      </c>
      <c r="F9" s="53">
        <v>0.25</v>
      </c>
      <c r="G9" s="22">
        <f>D9/E9</f>
        <v>0.13528364677656529</v>
      </c>
      <c r="H9" s="22">
        <f>D9/SUM(D9+E9)</f>
        <v>0.11916286045401868</v>
      </c>
      <c r="I9" s="81">
        <v>0.36899999999999999</v>
      </c>
      <c r="J9" s="51">
        <f>I9/(1+(1-F9)*(G9))</f>
        <v>0.33500906408094433</v>
      </c>
    </row>
    <row r="10" spans="2:13" x14ac:dyDescent="0.3">
      <c r="B10" s="50" t="s">
        <v>195</v>
      </c>
      <c r="C10" s="61" t="s">
        <v>193</v>
      </c>
      <c r="D10" s="70">
        <v>7544</v>
      </c>
      <c r="E10" s="70">
        <v>52262</v>
      </c>
      <c r="F10" s="53">
        <v>0.25</v>
      </c>
      <c r="G10" s="22">
        <f t="shared" ref="G10:G13" si="0">D10/E10</f>
        <v>0.14434962305307872</v>
      </c>
      <c r="H10" s="22">
        <f t="shared" ref="H10:H13" si="1">D10/SUM(D10+E10)</f>
        <v>0.12614118984717251</v>
      </c>
      <c r="I10" s="81">
        <v>0.35399999999999998</v>
      </c>
      <c r="J10" s="51">
        <f t="shared" ref="J10:J13" si="2">I10/(1+(1-F10)*(G10))</f>
        <v>0.31941899171270716</v>
      </c>
      <c r="K10" s="45" t="s">
        <v>202</v>
      </c>
    </row>
    <row r="11" spans="2:13" x14ac:dyDescent="0.3">
      <c r="B11" s="50" t="s">
        <v>196</v>
      </c>
      <c r="C11" s="61" t="s">
        <v>193</v>
      </c>
      <c r="D11" s="70">
        <v>21433</v>
      </c>
      <c r="E11" s="70">
        <v>53174</v>
      </c>
      <c r="F11" s="53">
        <v>0.25</v>
      </c>
      <c r="G11" s="22">
        <f t="shared" si="0"/>
        <v>0.40307293037950881</v>
      </c>
      <c r="H11" s="22">
        <f t="shared" si="1"/>
        <v>0.28727867358290776</v>
      </c>
      <c r="I11" s="81">
        <v>0.41599999999999998</v>
      </c>
      <c r="J11" s="51">
        <f t="shared" si="2"/>
        <v>0.31943369374898462</v>
      </c>
      <c r="K11" s="24" t="s">
        <v>203</v>
      </c>
      <c r="L11" s="24"/>
      <c r="M11" s="24"/>
    </row>
    <row r="12" spans="2:13" x14ac:dyDescent="0.3">
      <c r="B12" s="50" t="s">
        <v>197</v>
      </c>
      <c r="C12" s="61" t="s">
        <v>193</v>
      </c>
      <c r="D12" s="70">
        <v>2335</v>
      </c>
      <c r="E12" s="70">
        <v>14511</v>
      </c>
      <c r="F12" s="53">
        <v>0.25</v>
      </c>
      <c r="G12" s="22">
        <f t="shared" si="0"/>
        <v>0.16091241127420577</v>
      </c>
      <c r="H12" s="22">
        <f t="shared" si="1"/>
        <v>0.13860857176777869</v>
      </c>
      <c r="I12" s="81">
        <v>0.44500000000000001</v>
      </c>
      <c r="J12" s="51">
        <f t="shared" si="2"/>
        <v>0.39707881750680257</v>
      </c>
      <c r="K12" s="24" t="s">
        <v>204</v>
      </c>
      <c r="L12" s="24"/>
      <c r="M12" s="24"/>
    </row>
    <row r="13" spans="2:13" x14ac:dyDescent="0.3">
      <c r="B13" s="50" t="s">
        <v>198</v>
      </c>
      <c r="C13" s="61" t="s">
        <v>193</v>
      </c>
      <c r="D13" s="70">
        <v>1135</v>
      </c>
      <c r="E13" s="70">
        <v>11444</v>
      </c>
      <c r="F13" s="53">
        <v>0.25</v>
      </c>
      <c r="G13" s="22">
        <f t="shared" si="0"/>
        <v>9.9178608878014676E-2</v>
      </c>
      <c r="H13" s="22">
        <f t="shared" si="1"/>
        <v>9.0229747992686224E-2</v>
      </c>
      <c r="I13" s="81">
        <v>0.20499999999999999</v>
      </c>
      <c r="J13" s="51">
        <f t="shared" si="2"/>
        <v>0.19080701897074073</v>
      </c>
      <c r="K13" s="24" t="s">
        <v>205</v>
      </c>
      <c r="L13" s="24"/>
      <c r="M13" s="24"/>
    </row>
    <row r="14" spans="2:13" x14ac:dyDescent="0.3">
      <c r="K14" s="24" t="s">
        <v>206</v>
      </c>
      <c r="L14" s="24"/>
      <c r="M14" s="24"/>
    </row>
    <row r="15" spans="2:13" x14ac:dyDescent="0.3">
      <c r="E15" s="54" t="s">
        <v>176</v>
      </c>
      <c r="F15" s="55">
        <f>AVERAGE(F9:F13)</f>
        <v>0.25</v>
      </c>
      <c r="G15" s="56">
        <f t="shared" ref="G15:J15" si="3">AVERAGE(G9:G13)</f>
        <v>0.18855944407227465</v>
      </c>
      <c r="H15" s="56">
        <f t="shared" si="3"/>
        <v>0.1522842087289128</v>
      </c>
      <c r="I15" s="57">
        <f t="shared" si="3"/>
        <v>0.35780000000000001</v>
      </c>
      <c r="J15" s="56">
        <f t="shared" si="3"/>
        <v>0.31234951720403586</v>
      </c>
    </row>
    <row r="16" spans="2:13" x14ac:dyDescent="0.3">
      <c r="E16" s="47" t="s">
        <v>177</v>
      </c>
      <c r="F16" s="58">
        <f>MEDIAN(F9:F13)</f>
        <v>0.25</v>
      </c>
      <c r="G16" s="59">
        <f t="shared" ref="G16:J16" si="4">MEDIAN(G9:G13)</f>
        <v>0.14434962305307872</v>
      </c>
      <c r="H16" s="59">
        <f t="shared" si="4"/>
        <v>0.12614118984717251</v>
      </c>
      <c r="I16" s="60">
        <f t="shared" si="4"/>
        <v>0.36899999999999999</v>
      </c>
      <c r="J16" s="59">
        <f t="shared" si="4"/>
        <v>0.31943369374898462</v>
      </c>
    </row>
    <row r="19" spans="2:16" x14ac:dyDescent="0.3">
      <c r="B19" s="47" t="s">
        <v>178</v>
      </c>
      <c r="C19" s="46"/>
      <c r="D19" s="62"/>
      <c r="G19" s="47" t="s">
        <v>181</v>
      </c>
      <c r="H19" s="46"/>
      <c r="I19" s="62"/>
      <c r="K19" s="47" t="s">
        <v>167</v>
      </c>
      <c r="L19" s="46"/>
      <c r="M19" s="46"/>
      <c r="N19" s="46"/>
      <c r="O19" s="47"/>
    </row>
    <row r="20" spans="2:16" x14ac:dyDescent="0.3">
      <c r="O20" s="32"/>
    </row>
    <row r="21" spans="2:16" x14ac:dyDescent="0.3">
      <c r="B21" t="s">
        <v>188</v>
      </c>
      <c r="D21" s="32">
        <f>149/369.84</f>
        <v>0.40287691974908069</v>
      </c>
      <c r="G21" t="s">
        <v>278</v>
      </c>
      <c r="I21" s="77">
        <v>6.7699999999999996E-2</v>
      </c>
      <c r="K21" t="s">
        <v>199</v>
      </c>
      <c r="O21" s="32">
        <f>I24</f>
        <v>9.8020787523787428E-2</v>
      </c>
    </row>
    <row r="22" spans="2:16" x14ac:dyDescent="0.3">
      <c r="B22" s="46" t="s">
        <v>179</v>
      </c>
      <c r="C22" s="46"/>
      <c r="D22" s="58">
        <v>0.3</v>
      </c>
      <c r="G22" t="s">
        <v>277</v>
      </c>
      <c r="I22" s="32">
        <f>RM!F7-Wacc!I21</f>
        <v>8.5647999999999988E-2</v>
      </c>
      <c r="K22" t="s">
        <v>399</v>
      </c>
      <c r="O22" s="123">
        <f>E29</f>
        <v>0.87385881015282751</v>
      </c>
    </row>
    <row r="23" spans="2:16" ht="16.2" x14ac:dyDescent="0.3">
      <c r="B23" t="s">
        <v>180</v>
      </c>
      <c r="D23" s="65">
        <f>D21*(1-D22)</f>
        <v>0.28201384382435646</v>
      </c>
      <c r="G23" t="s">
        <v>182</v>
      </c>
      <c r="I23" s="32">
        <f>I31</f>
        <v>0.35401629371132354</v>
      </c>
    </row>
    <row r="24" spans="2:16" x14ac:dyDescent="0.3">
      <c r="G24" s="63" t="s">
        <v>199</v>
      </c>
      <c r="H24" s="63"/>
      <c r="I24" s="66">
        <f>I21+(I22*I23)</f>
        <v>9.8020787523787428E-2</v>
      </c>
      <c r="K24" t="s">
        <v>400</v>
      </c>
      <c r="O24" s="32">
        <f>D23</f>
        <v>0.28201384382435646</v>
      </c>
      <c r="P24" s="24"/>
    </row>
    <row r="25" spans="2:16" x14ac:dyDescent="0.3">
      <c r="C25" s="48"/>
      <c r="D25" s="48"/>
      <c r="K25" t="s">
        <v>401</v>
      </c>
      <c r="O25" s="32">
        <f>E28</f>
        <v>0.12614118984717251</v>
      </c>
      <c r="P25" s="24"/>
    </row>
    <row r="26" spans="2:16" x14ac:dyDescent="0.3">
      <c r="B26" s="47" t="s">
        <v>183</v>
      </c>
      <c r="C26" s="46"/>
      <c r="D26" s="62" t="s">
        <v>200</v>
      </c>
      <c r="E26" s="62" t="s">
        <v>201</v>
      </c>
      <c r="G26" s="47" t="s">
        <v>184</v>
      </c>
      <c r="H26" s="46"/>
      <c r="I26" s="46"/>
      <c r="P26" s="24"/>
    </row>
    <row r="27" spans="2:16" x14ac:dyDescent="0.3">
      <c r="K27" s="124" t="s">
        <v>345</v>
      </c>
      <c r="L27" s="124"/>
      <c r="M27" s="124"/>
      <c r="N27" s="124"/>
      <c r="O27" s="125">
        <f>(O21*O22)+(O24*O25)</f>
        <v>0.121229890569159</v>
      </c>
      <c r="P27" s="32"/>
    </row>
    <row r="28" spans="2:16" x14ac:dyDescent="0.3">
      <c r="B28" t="s">
        <v>171</v>
      </c>
      <c r="C28" s="71">
        <f>D9</f>
        <v>1748</v>
      </c>
      <c r="D28" s="22">
        <f>C28/$C$30</f>
        <v>0.11916286045401868</v>
      </c>
      <c r="E28" s="32">
        <f>H16</f>
        <v>0.12614118984717251</v>
      </c>
      <c r="G28" t="s">
        <v>185</v>
      </c>
      <c r="I28" s="32">
        <f>J16</f>
        <v>0.31943369374898462</v>
      </c>
      <c r="P28" s="32"/>
    </row>
    <row r="29" spans="2:16" x14ac:dyDescent="0.3">
      <c r="B29" s="46" t="s">
        <v>46</v>
      </c>
      <c r="C29" s="72">
        <f>E9</f>
        <v>12921</v>
      </c>
      <c r="D29" s="59">
        <f t="shared" ref="D29:D30" si="5">C29/$C$30</f>
        <v>0.88083713954598131</v>
      </c>
      <c r="E29" s="64">
        <f>E30-E28</f>
        <v>0.87385881015282751</v>
      </c>
      <c r="G29" t="s">
        <v>186</v>
      </c>
      <c r="I29" s="32">
        <f>E31</f>
        <v>0.14434962305307869</v>
      </c>
      <c r="P29" s="122"/>
    </row>
    <row r="30" spans="2:16" x14ac:dyDescent="0.3">
      <c r="B30" t="s">
        <v>276</v>
      </c>
      <c r="C30" s="73">
        <f>SUM(C28:C29)</f>
        <v>14669</v>
      </c>
      <c r="D30" s="22">
        <f t="shared" si="5"/>
        <v>1</v>
      </c>
      <c r="E30" s="32">
        <f>D30</f>
        <v>1</v>
      </c>
      <c r="G30" s="46" t="s">
        <v>173</v>
      </c>
      <c r="H30" s="46"/>
      <c r="I30" s="58">
        <f>F9</f>
        <v>0.25</v>
      </c>
    </row>
    <row r="31" spans="2:16" x14ac:dyDescent="0.3">
      <c r="B31" t="s">
        <v>174</v>
      </c>
      <c r="D31" s="67">
        <f>D28/D29</f>
        <v>0.13528364677656529</v>
      </c>
      <c r="E31" s="67">
        <f>E28/E29</f>
        <v>0.14434962305307869</v>
      </c>
      <c r="G31" t="s">
        <v>187</v>
      </c>
      <c r="I31" s="65">
        <f>I28*(1+(1-I30)*I29)</f>
        <v>0.35401629371132354</v>
      </c>
    </row>
  </sheetData>
  <mergeCells count="1">
    <mergeCell ref="B2:J2"/>
  </mergeCells>
  <hyperlinks>
    <hyperlink ref="B9" r:id="rId1" display="https://www.screener.in/company/DMART/consolidated/" xr:uid="{B281CA46-A6E5-437F-B2EE-0F551A55D2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5622-C4A8-4EE1-AFB2-2CF8B6585146}">
  <dimension ref="B1:G28"/>
  <sheetViews>
    <sheetView showGridLines="0" workbookViewId="0">
      <selection activeCell="W30" sqref="W30"/>
    </sheetView>
  </sheetViews>
  <sheetFormatPr defaultRowHeight="14.4" x14ac:dyDescent="0.3"/>
  <cols>
    <col min="1" max="1" width="1.88671875" customWidth="1"/>
    <col min="5" max="5" width="17.33203125" customWidth="1"/>
  </cols>
  <sheetData>
    <row r="1" spans="2:7" x14ac:dyDescent="0.3">
      <c r="B1" s="127" t="s">
        <v>281</v>
      </c>
      <c r="C1" s="127"/>
      <c r="D1" s="127"/>
      <c r="E1" s="127"/>
      <c r="F1" s="127"/>
      <c r="G1" s="127"/>
    </row>
    <row r="2" spans="2:7" x14ac:dyDescent="0.3">
      <c r="B2" s="127" t="s">
        <v>398</v>
      </c>
      <c r="C2" s="127"/>
      <c r="D2" s="127"/>
      <c r="E2" s="127"/>
      <c r="F2" s="127"/>
      <c r="G2" s="127"/>
    </row>
    <row r="3" spans="2:7" x14ac:dyDescent="0.3">
      <c r="B3" s="44" t="s">
        <v>279</v>
      </c>
      <c r="C3" s="44" t="s">
        <v>280</v>
      </c>
      <c r="D3" s="95"/>
      <c r="E3" s="95"/>
      <c r="F3" s="95"/>
      <c r="G3" s="95"/>
    </row>
    <row r="4" spans="2:7" x14ac:dyDescent="0.3">
      <c r="B4">
        <v>2000</v>
      </c>
      <c r="C4" s="22">
        <v>-0.14649999999999999</v>
      </c>
    </row>
    <row r="5" spans="2:7" x14ac:dyDescent="0.3">
      <c r="B5">
        <v>2001</v>
      </c>
      <c r="C5" s="22">
        <v>-0.1618</v>
      </c>
      <c r="E5" t="s">
        <v>282</v>
      </c>
      <c r="F5" s="32">
        <f>AVERAGE(C4:C28)</f>
        <v>0.15334799999999998</v>
      </c>
    </row>
    <row r="6" spans="2:7" ht="16.2" x14ac:dyDescent="0.3">
      <c r="B6">
        <v>2002</v>
      </c>
      <c r="C6" s="22">
        <v>3.2500000000000001E-2</v>
      </c>
      <c r="E6" t="s">
        <v>283</v>
      </c>
      <c r="F6" s="82" t="s">
        <v>285</v>
      </c>
    </row>
    <row r="7" spans="2:7" x14ac:dyDescent="0.3">
      <c r="B7">
        <v>2003</v>
      </c>
      <c r="C7" s="22">
        <v>0.71900000000000008</v>
      </c>
      <c r="E7" s="24" t="s">
        <v>284</v>
      </c>
      <c r="F7" s="83">
        <f>SUM(F5:F6)</f>
        <v>0.15334799999999998</v>
      </c>
    </row>
    <row r="8" spans="2:7" x14ac:dyDescent="0.3">
      <c r="B8">
        <v>2004</v>
      </c>
      <c r="C8" s="22">
        <v>0.10679999999999999</v>
      </c>
    </row>
    <row r="9" spans="2:7" x14ac:dyDescent="0.3">
      <c r="B9">
        <v>2005</v>
      </c>
      <c r="C9" s="22">
        <v>0.36340000000000006</v>
      </c>
    </row>
    <row r="10" spans="2:7" x14ac:dyDescent="0.3">
      <c r="B10">
        <v>2006</v>
      </c>
      <c r="C10" s="22">
        <v>0.39829999999999999</v>
      </c>
    </row>
    <row r="11" spans="2:7" x14ac:dyDescent="0.3">
      <c r="B11">
        <v>2007</v>
      </c>
      <c r="C11" s="22">
        <v>0.54770000000000008</v>
      </c>
    </row>
    <row r="12" spans="2:7" x14ac:dyDescent="0.3">
      <c r="B12">
        <v>2008</v>
      </c>
      <c r="C12" s="22">
        <v>-0.51790000000000003</v>
      </c>
    </row>
    <row r="13" spans="2:7" x14ac:dyDescent="0.3">
      <c r="B13">
        <v>2009</v>
      </c>
      <c r="C13" s="22">
        <v>0.75760000000000005</v>
      </c>
    </row>
    <row r="14" spans="2:7" x14ac:dyDescent="0.3">
      <c r="B14">
        <v>2010</v>
      </c>
      <c r="C14" s="22">
        <v>0.17949999999999999</v>
      </c>
    </row>
    <row r="15" spans="2:7" x14ac:dyDescent="0.3">
      <c r="B15">
        <v>2011</v>
      </c>
      <c r="C15" s="22">
        <v>-0.2462</v>
      </c>
    </row>
    <row r="16" spans="2:7" x14ac:dyDescent="0.3">
      <c r="B16">
        <v>2012</v>
      </c>
      <c r="C16" s="22">
        <v>0.27699999999999997</v>
      </c>
    </row>
    <row r="17" spans="2:3" x14ac:dyDescent="0.3">
      <c r="B17">
        <v>2013</v>
      </c>
      <c r="C17" s="22">
        <v>6.7599999999999993E-2</v>
      </c>
    </row>
    <row r="18" spans="2:3" x14ac:dyDescent="0.3">
      <c r="B18">
        <v>2014</v>
      </c>
      <c r="C18" s="22">
        <v>0.31390000000000001</v>
      </c>
    </row>
    <row r="19" spans="2:3" x14ac:dyDescent="0.3">
      <c r="B19">
        <v>2015</v>
      </c>
      <c r="C19" s="22">
        <v>-4.0599999999999997E-2</v>
      </c>
    </row>
    <row r="20" spans="2:3" x14ac:dyDescent="0.3">
      <c r="B20">
        <v>2016</v>
      </c>
      <c r="C20" s="22">
        <v>3.0099999999999998E-2</v>
      </c>
    </row>
    <row r="21" spans="2:3" x14ac:dyDescent="0.3">
      <c r="B21">
        <v>2017</v>
      </c>
      <c r="C21" s="22">
        <v>0.28649999999999998</v>
      </c>
    </row>
    <row r="22" spans="2:3" x14ac:dyDescent="0.3">
      <c r="B22">
        <v>2018</v>
      </c>
      <c r="C22" s="22">
        <v>3.15E-2</v>
      </c>
    </row>
    <row r="23" spans="2:3" x14ac:dyDescent="0.3">
      <c r="B23">
        <v>2019</v>
      </c>
      <c r="C23" s="22">
        <v>0.1202</v>
      </c>
    </row>
    <row r="24" spans="2:3" x14ac:dyDescent="0.3">
      <c r="B24">
        <v>2020</v>
      </c>
      <c r="C24" s="22">
        <v>0.14899999999999999</v>
      </c>
    </row>
    <row r="25" spans="2:3" x14ac:dyDescent="0.3">
      <c r="B25">
        <v>2021</v>
      </c>
      <c r="C25" s="22">
        <v>0.2412</v>
      </c>
    </row>
    <row r="26" spans="2:3" x14ac:dyDescent="0.3">
      <c r="B26">
        <v>2022</v>
      </c>
      <c r="C26" s="22">
        <v>4.3200000000000002E-2</v>
      </c>
    </row>
    <row r="27" spans="2:3" x14ac:dyDescent="0.3">
      <c r="B27">
        <v>2023</v>
      </c>
      <c r="C27" s="22">
        <v>0.19420000000000001</v>
      </c>
    </row>
    <row r="28" spans="2:3" x14ac:dyDescent="0.3">
      <c r="B28">
        <v>2024</v>
      </c>
      <c r="C28" s="22">
        <v>8.7499999999999994E-2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3E73-DC3E-4280-ACEF-AA8FE8FE28F2}">
  <dimension ref="A2:L40"/>
  <sheetViews>
    <sheetView showGridLines="0" zoomScale="76" zoomScaleNormal="76" workbookViewId="0">
      <selection activeCell="AD44" sqref="AD44"/>
    </sheetView>
  </sheetViews>
  <sheetFormatPr defaultRowHeight="14.4" outlineLevelRow="1" x14ac:dyDescent="0.3"/>
  <cols>
    <col min="1" max="1" width="1.88671875" customWidth="1"/>
    <col min="2" max="2" width="21.77734375" customWidth="1"/>
  </cols>
  <sheetData>
    <row r="2" spans="1:12" x14ac:dyDescent="0.3">
      <c r="A2" t="s">
        <v>50</v>
      </c>
      <c r="B2" s="127" t="str">
        <f>"Common Size - Income Statement"&amp;" "&amp;"- "&amp;'Nestle Data'!$B$1</f>
        <v>Common Size - Income Statement - Nestle India Ltd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ht="6.6" customHeight="1" x14ac:dyDescent="0.3"/>
    <row r="4" spans="1:12" x14ac:dyDescent="0.3">
      <c r="B4" s="12" t="s">
        <v>286</v>
      </c>
      <c r="C4" s="13">
        <f>'Nestle Data'!C4</f>
        <v>42369</v>
      </c>
      <c r="D4" s="13">
        <f>'Nestle Data'!D4</f>
        <v>42735</v>
      </c>
      <c r="E4" s="13">
        <f>'Nestle Data'!E4</f>
        <v>43100</v>
      </c>
      <c r="F4" s="13">
        <f>'Nestle Data'!F4</f>
        <v>43465</v>
      </c>
      <c r="G4" s="13">
        <f>'Nestle Data'!G4</f>
        <v>43830</v>
      </c>
      <c r="H4" s="13">
        <f>'Nestle Data'!H4</f>
        <v>44196</v>
      </c>
      <c r="I4" s="13">
        <f>'Nestle Data'!I4</f>
        <v>44561</v>
      </c>
      <c r="J4" s="13">
        <f>'Nestle Data'!J4</f>
        <v>44926</v>
      </c>
      <c r="K4" s="13">
        <f>'Nestle Data'!K4</f>
        <v>45291</v>
      </c>
      <c r="L4" s="13">
        <f>'Nestle Data'!L4</f>
        <v>45382</v>
      </c>
    </row>
    <row r="6" spans="1:12" outlineLevel="1" x14ac:dyDescent="0.3">
      <c r="B6" s="3" t="s">
        <v>2</v>
      </c>
      <c r="C6" s="22">
        <f>'Nestle Data'!C5/'Nestle Data'!C$5</f>
        <v>1</v>
      </c>
      <c r="D6" s="22">
        <f>'Nestle Data'!D5/'Nestle Data'!D$5</f>
        <v>1</v>
      </c>
      <c r="E6" s="22">
        <f>'Nestle Data'!E5/'Nestle Data'!E$5</f>
        <v>1</v>
      </c>
      <c r="F6" s="22">
        <f>'Nestle Data'!F5/'Nestle Data'!F$5</f>
        <v>1</v>
      </c>
      <c r="G6" s="22">
        <f>'Nestle Data'!G5/'Nestle Data'!G$5</f>
        <v>1</v>
      </c>
      <c r="H6" s="22">
        <f>'Nestle Data'!H5/'Nestle Data'!H$5</f>
        <v>1</v>
      </c>
      <c r="I6" s="22">
        <f>'Nestle Data'!I5/'Nestle Data'!I$5</f>
        <v>1</v>
      </c>
      <c r="J6" s="22">
        <f>'Nestle Data'!J5/'Nestle Data'!J$5</f>
        <v>1</v>
      </c>
      <c r="K6" s="22">
        <f>'Nestle Data'!K5/'Nestle Data'!K$5</f>
        <v>1</v>
      </c>
      <c r="L6" s="22">
        <f>'Nestle Data'!L5/'Nestle Data'!L$5</f>
        <v>1</v>
      </c>
    </row>
    <row r="7" spans="1:12" outlineLevel="1" x14ac:dyDescent="0.3">
      <c r="B7" s="3" t="s">
        <v>3</v>
      </c>
      <c r="C7" s="22">
        <f>'Nestle Data'!C6/'Nestle Data'!C$5</f>
        <v>0.35577855763267691</v>
      </c>
      <c r="D7" s="22">
        <f>'Nestle Data'!D6/'Nestle Data'!D$5</f>
        <v>0.35304014509907738</v>
      </c>
      <c r="E7" s="22">
        <f>'Nestle Data'!E6/'Nestle Data'!E$5</f>
        <v>0.36934442934782608</v>
      </c>
      <c r="F7" s="22">
        <f>'Nestle Data'!F6/'Nestle Data'!F$5</f>
        <v>0.33910099563683826</v>
      </c>
      <c r="G7" s="22">
        <f>'Nestle Data'!G6/'Nestle Data'!G$5</f>
        <v>0.36550622933324711</v>
      </c>
      <c r="H7" s="22">
        <f>'Nestle Data'!H6/'Nestle Data'!H$5</f>
        <v>0.36717071047780414</v>
      </c>
      <c r="I7" s="22">
        <f>'Nestle Data'!I6/'Nestle Data'!I$5</f>
        <v>0.3596368937742655</v>
      </c>
      <c r="J7" s="22">
        <f>'Nestle Data'!J6/'Nestle Data'!J$5</f>
        <v>0.39417859780694281</v>
      </c>
      <c r="K7" s="22">
        <f>'Nestle Data'!K6/'Nestle Data'!K$5</f>
        <v>0.44298792761799194</v>
      </c>
      <c r="L7" s="22">
        <f>'Nestle Data'!L6/'Nestle Data'!L$5</f>
        <v>0.37718912399785359</v>
      </c>
    </row>
    <row r="8" spans="1:12" outlineLevel="1" x14ac:dyDescent="0.3">
      <c r="B8" s="3" t="s">
        <v>4</v>
      </c>
      <c r="C8" s="22">
        <f>'Nestle Data'!C7/'Nestle Data'!C$5</f>
        <v>-1.4641646616458581E-3</v>
      </c>
      <c r="D8" s="22">
        <f>'Nestle Data'!D7/'Nestle Data'!D$5</f>
        <v>8.3795154758492735E-4</v>
      </c>
      <c r="E8" s="22">
        <f>'Nestle Data'!E7/'Nestle Data'!E$5</f>
        <v>7.9483695652173905E-3</v>
      </c>
      <c r="F8" s="22">
        <f>'Nestle Data'!F7/'Nestle Data'!F$5</f>
        <v>5.3222248493881204E-4</v>
      </c>
      <c r="G8" s="22">
        <f>'Nestle Data'!G7/'Nestle Data'!G$5</f>
        <v>1.1657463476946212E-2</v>
      </c>
      <c r="H8" s="22">
        <f>'Nestle Data'!H7/'Nestle Data'!H$5</f>
        <v>5.1932467567488609E-3</v>
      </c>
      <c r="I8" s="22">
        <f>'Nestle Data'!I7/'Nestle Data'!I$5</f>
        <v>4.5852981461393339E-3</v>
      </c>
      <c r="J8" s="22">
        <f>'Nestle Data'!J7/'Nestle Data'!J$5</f>
        <v>1.4811540064011516E-2</v>
      </c>
      <c r="K8" s="22">
        <f>'Nestle Data'!K7/'Nestle Data'!K$5</f>
        <v>2.0918839503720008E-3</v>
      </c>
      <c r="L8" s="22">
        <f>'Nestle Data'!L7/'Nestle Data'!L$5</f>
        <v>1.8726000650162806E-3</v>
      </c>
    </row>
    <row r="9" spans="1:12" outlineLevel="1" x14ac:dyDescent="0.3">
      <c r="B9" s="3" t="s">
        <v>5</v>
      </c>
      <c r="C9" s="22">
        <f>'Nestle Data'!C8/'Nestle Data'!C$5</f>
        <v>2.715371037917828E-2</v>
      </c>
      <c r="D9" s="22">
        <f>'Nestle Data'!D8/'Nestle Data'!D$5</f>
        <v>2.5465631953302249E-2</v>
      </c>
      <c r="E9" s="22">
        <f>'Nestle Data'!E8/'Nestle Data'!E$5</f>
        <v>2.8816336317135548E-2</v>
      </c>
      <c r="F9" s="22">
        <f>'Nestle Data'!F8/'Nestle Data'!F$5</f>
        <v>3.047925704929124E-2</v>
      </c>
      <c r="G9" s="22">
        <f>'Nestle Data'!G8/'Nestle Data'!G$5</f>
        <v>2.7531146666235476E-2</v>
      </c>
      <c r="H9" s="22">
        <f>'Nestle Data'!H8/'Nestle Data'!H$5</f>
        <v>2.3496576412187838E-2</v>
      </c>
      <c r="I9" s="22">
        <f>'Nestle Data'!I8/'Nestle Data'!I$5</f>
        <v>2.7682745398929079E-2</v>
      </c>
      <c r="J9" s="22">
        <f>'Nestle Data'!J8/'Nestle Data'!J$5</f>
        <v>3.3888344412249305E-2</v>
      </c>
      <c r="K9" s="22">
        <f>'Nestle Data'!K8/'Nestle Data'!K$5</f>
        <v>0</v>
      </c>
      <c r="L9" s="22">
        <f>'Nestle Data'!L8/'Nestle Data'!L$5</f>
        <v>2.766389452440755E-2</v>
      </c>
    </row>
    <row r="10" spans="1:12" outlineLevel="1" x14ac:dyDescent="0.3">
      <c r="B10" s="3" t="s">
        <v>6</v>
      </c>
      <c r="C10" s="22">
        <f>'Nestle Data'!C9/'Nestle Data'!C$5</f>
        <v>8.7941619339205482E-2</v>
      </c>
      <c r="D10" s="22">
        <f>'Nestle Data'!D9/'Nestle Data'!D$5</f>
        <v>9.3077163741858412E-2</v>
      </c>
      <c r="E10" s="22">
        <f>'Nestle Data'!E9/'Nestle Data'!E$5</f>
        <v>8.9697890025575447E-2</v>
      </c>
      <c r="F10" s="22">
        <f>'Nestle Data'!F9/'Nestle Data'!F$5</f>
        <v>8.4115948343424299E-2</v>
      </c>
      <c r="G10" s="22">
        <f>'Nestle Data'!G9/'Nestle Data'!G$5</f>
        <v>8.3156141613239656E-2</v>
      </c>
      <c r="H10" s="22">
        <f>'Nestle Data'!H9/'Nestle Data'!H$5</f>
        <v>7.7929412892705094E-2</v>
      </c>
      <c r="I10" s="22">
        <f>'Nestle Data'!I9/'Nestle Data'!I$5</f>
        <v>9.154857437863749E-2</v>
      </c>
      <c r="J10" s="22">
        <f>'Nestle Data'!J9/'Nestle Data'!J$5</f>
        <v>9.4897543700168563E-2</v>
      </c>
      <c r="K10" s="22">
        <f>'Nestle Data'!K9/'Nestle Data'!K$5</f>
        <v>0</v>
      </c>
      <c r="L10" s="22">
        <f>'Nestle Data'!L9/'Nestle Data'!L$5</f>
        <v>7.9339539532235326E-2</v>
      </c>
    </row>
    <row r="11" spans="1:12" outlineLevel="1" x14ac:dyDescent="0.3">
      <c r="B11" s="3" t="s">
        <v>7</v>
      </c>
      <c r="C11" s="22">
        <f>'Nestle Data'!C10/'Nestle Data'!C$5</f>
        <v>0.11164714243251937</v>
      </c>
      <c r="D11" s="22">
        <f>'Nestle Data'!D10/'Nestle Data'!D$5</f>
        <v>9.8625584432916844E-2</v>
      </c>
      <c r="E11" s="22">
        <f>'Nestle Data'!E10/'Nestle Data'!E$5</f>
        <v>0.10164741847826086</v>
      </c>
      <c r="F11" s="22">
        <f>'Nestle Data'!F10/'Nestle Data'!F$5</f>
        <v>9.9550400406649864E-2</v>
      </c>
      <c r="G11" s="22">
        <f>'Nestle Data'!G10/'Nestle Data'!G$5</f>
        <v>0.10172044401684872</v>
      </c>
      <c r="H11" s="22">
        <f>'Nestle Data'!H10/'Nestle Data'!H$5</f>
        <v>0.11243045895777012</v>
      </c>
      <c r="I11" s="22">
        <f>'Nestle Data'!I10/'Nestle Data'!I$5</f>
        <v>0.103790960877414</v>
      </c>
      <c r="J11" s="22">
        <f>'Nestle Data'!J10/'Nestle Data'!J$5</f>
        <v>9.6790191845160314E-2</v>
      </c>
      <c r="K11" s="22">
        <f>'Nestle Data'!K10/'Nestle Data'!K$5</f>
        <v>9.668257843911264E-2</v>
      </c>
      <c r="L11" s="22">
        <f>'Nestle Data'!L10/'Nestle Data'!L$5</f>
        <v>9.5764144218080841E-2</v>
      </c>
    </row>
    <row r="12" spans="1:12" outlineLevel="1" x14ac:dyDescent="0.3">
      <c r="B12" s="3" t="s">
        <v>8</v>
      </c>
      <c r="C12" s="22">
        <f>'Nestle Data'!C11/'Nestle Data'!C$5</f>
        <v>0.19759617678106395</v>
      </c>
      <c r="D12" s="22">
        <f>'Nestle Data'!D11/'Nestle Data'!D$5</f>
        <v>0.19163273655722246</v>
      </c>
      <c r="E12" s="22">
        <f>'Nestle Data'!E11/'Nestle Data'!E$5</f>
        <v>0.1822230658567775</v>
      </c>
      <c r="F12" s="22">
        <f>'Nestle Data'!F11/'Nestle Data'!F$5</f>
        <v>0.19002556616163094</v>
      </c>
      <c r="G12" s="22">
        <f>'Nestle Data'!G11/'Nestle Data'!G$5</f>
        <v>0.17997800936219066</v>
      </c>
      <c r="H12" s="22">
        <f>'Nestle Data'!H11/'Nestle Data'!H$5</f>
        <v>0.16830673788748041</v>
      </c>
      <c r="I12" s="22">
        <f>'Nestle Data'!I11/'Nestle Data'!I$5</f>
        <v>0.19687950075268357</v>
      </c>
      <c r="J12" s="22">
        <f>'Nestle Data'!J11/'Nestle Data'!J$5</f>
        <v>0.18891859837509234</v>
      </c>
      <c r="K12" s="22">
        <f>'Nestle Data'!K11/'Nestle Data'!K$5</f>
        <v>0</v>
      </c>
      <c r="L12" s="22">
        <f>'Nestle Data'!L11/'Nestle Data'!L$5</f>
        <v>0.19799999098134818</v>
      </c>
    </row>
    <row r="13" spans="1:12" outlineLevel="1" x14ac:dyDescent="0.3">
      <c r="B13" s="3" t="s">
        <v>9</v>
      </c>
      <c r="C13" s="22">
        <f>'Nestle Data'!C12/'Nestle Data'!C$5</f>
        <v>2.8220336598856803E-2</v>
      </c>
      <c r="D13" s="22">
        <f>'Nestle Data'!D12/'Nestle Data'!D$5</f>
        <v>3.6636860679068933E-2</v>
      </c>
      <c r="E13" s="22">
        <f>'Nestle Data'!E12/'Nestle Data'!E$5</f>
        <v>2.6767303388746801E-2</v>
      </c>
      <c r="F13" s="22">
        <f>'Nestle Data'!F12/'Nestle Data'!F$5</f>
        <v>2.5451038630851013E-2</v>
      </c>
      <c r="G13" s="22">
        <f>'Nestle Data'!G12/'Nestle Data'!G$5</f>
        <v>1.7214141920461803E-2</v>
      </c>
      <c r="H13" s="22">
        <f>'Nestle Data'!H12/'Nestle Data'!H$5</f>
        <v>1.6047154950213593E-2</v>
      </c>
      <c r="I13" s="22">
        <f>'Nestle Data'!I12/'Nestle Data'!I$5</f>
        <v>-1.6626200172449E-2</v>
      </c>
      <c r="J13" s="22">
        <f>'Nestle Data'!J12/'Nestle Data'!J$5</f>
        <v>-1.32082930894078E-2</v>
      </c>
      <c r="K13" s="22">
        <f>'Nestle Data'!K12/'Nestle Data'!K$5</f>
        <v>0.22866001265273472</v>
      </c>
      <c r="L13" s="22">
        <f>'Nestle Data'!L12/'Nestle Data'!L$5</f>
        <v>-1.4387619194806569E-2</v>
      </c>
    </row>
    <row r="14" spans="1:12" outlineLevel="1" x14ac:dyDescent="0.3">
      <c r="B14" s="3" t="s">
        <v>10</v>
      </c>
      <c r="C14" s="22">
        <f>'Nestle Data'!C13/'Nestle Data'!C$5</f>
        <v>-4.7796352676534586E-2</v>
      </c>
      <c r="D14" s="22">
        <f>'Nestle Data'!D13/'Nestle Data'!D$5</f>
        <v>1.532816851796345E-2</v>
      </c>
      <c r="E14" s="22">
        <f>'Nestle Data'!E13/'Nestle Data'!E$5</f>
        <v>1.767503196930946E-2</v>
      </c>
      <c r="F14" s="22">
        <f>'Nestle Data'!F13/'Nestle Data'!F$5</f>
        <v>2.2928959367779906E-2</v>
      </c>
      <c r="G14" s="22">
        <f>'Nestle Data'!G13/'Nestle Data'!G$5</f>
        <v>1.9959737729304951E-2</v>
      </c>
      <c r="H14" s="22">
        <f>'Nestle Data'!H13/'Nestle Data'!H$5</f>
        <v>1.0925069082241761E-2</v>
      </c>
      <c r="I14" s="22">
        <f>'Nestle Data'!I13/'Nestle Data'!I$5</f>
        <v>-7.6238468066746308E-3</v>
      </c>
      <c r="J14" s="22">
        <f>'Nestle Data'!J13/'Nestle Data'!J$5</f>
        <v>6.3478874306384112E-3</v>
      </c>
      <c r="K14" s="22">
        <f>'Nestle Data'!K13/'Nestle Data'!K$5</f>
        <v>6.0388052053978033E-3</v>
      </c>
      <c r="L14" s="22">
        <f>'Nestle Data'!L13/'Nestle Data'!L$5</f>
        <v>6.5176156816317537E-3</v>
      </c>
    </row>
    <row r="15" spans="1:12" outlineLevel="1" x14ac:dyDescent="0.3">
      <c r="B15" s="3" t="s">
        <v>11</v>
      </c>
      <c r="C15" s="22">
        <f>'Nestle Data'!C14/'Nestle Data'!C$5</f>
        <v>4.2476676725408571E-2</v>
      </c>
      <c r="D15" s="22">
        <f>'Nestle Data'!D14/'Nestle Data'!D$5</f>
        <v>3.8689076218585021E-2</v>
      </c>
      <c r="E15" s="22">
        <f>'Nestle Data'!E14/'Nestle Data'!E$5</f>
        <v>3.4192175511508952E-2</v>
      </c>
      <c r="F15" s="22">
        <f>'Nestle Data'!F14/'Nestle Data'!F$5</f>
        <v>2.9725644179602505E-2</v>
      </c>
      <c r="G15" s="22">
        <f>'Nestle Data'!G14/'Nestle Data'!G$5</f>
        <v>2.9925862445326586E-2</v>
      </c>
      <c r="H15" s="22">
        <f>'Nestle Data'!H14/'Nestle Data'!H$5</f>
        <v>2.7743757879195776E-2</v>
      </c>
      <c r="I15" s="22">
        <f>'Nestle Data'!I14/'Nestle Data'!I$5</f>
        <v>2.6526753678109218E-2</v>
      </c>
      <c r="J15" s="22">
        <f>'Nestle Data'!J14/'Nestle Data'!J$5</f>
        <v>2.3851035925989056E-2</v>
      </c>
      <c r="K15" s="22">
        <f>'Nestle Data'!K14/'Nestle Data'!K$5</f>
        <v>2.2425142343265557E-2</v>
      </c>
      <c r="L15" s="22">
        <f>'Nestle Data'!L14/'Nestle Data'!L$5</f>
        <v>2.2045684390640443E-2</v>
      </c>
    </row>
    <row r="16" spans="1:12" outlineLevel="1" x14ac:dyDescent="0.3">
      <c r="B16" s="3" t="s">
        <v>12</v>
      </c>
      <c r="C16" s="22">
        <f>'Nestle Data'!C15/'Nestle Data'!C$5</f>
        <v>4.0243122279155162E-4</v>
      </c>
      <c r="D16" s="22">
        <f>'Nestle Data'!D15/'Nestle Data'!D$5</f>
        <v>9.9449314870686343E-3</v>
      </c>
      <c r="E16" s="22">
        <f>'Nestle Data'!E15/'Nestle Data'!E$5</f>
        <v>9.1811860613810747E-3</v>
      </c>
      <c r="F16" s="22">
        <f>'Nestle Data'!F15/'Nestle Data'!F$5</f>
        <v>9.9138614291015004E-3</v>
      </c>
      <c r="G16" s="22">
        <f>'Nestle Data'!G15/'Nestle Data'!G$5</f>
        <v>1.0439085124788786E-2</v>
      </c>
      <c r="H16" s="22">
        <f>'Nestle Data'!H15/'Nestle Data'!H$5</f>
        <v>1.2298099704644858E-2</v>
      </c>
      <c r="I16" s="22">
        <f>'Nestle Data'!I15/'Nestle Data'!I$5</f>
        <v>1.3681948958623773E-2</v>
      </c>
      <c r="J16" s="22">
        <f>'Nestle Data'!J15/'Nestle Data'!J$5</f>
        <v>9.1477993674601819E-3</v>
      </c>
      <c r="K16" s="22">
        <f>'Nestle Data'!K15/'Nestle Data'!K$5</f>
        <v>6.2369616705792554E-3</v>
      </c>
      <c r="L16" s="22">
        <f>'Nestle Data'!L15/'Nestle Data'!L$5</f>
        <v>5.9641984119793937E-3</v>
      </c>
    </row>
    <row r="17" spans="1:12" outlineLevel="1" x14ac:dyDescent="0.3">
      <c r="B17" s="3" t="s">
        <v>13</v>
      </c>
      <c r="C17" s="22">
        <f>'Nestle Data'!C16/'Nestle Data'!C$5</f>
        <v>9.9522831550118582E-2</v>
      </c>
      <c r="D17" s="22">
        <f>'Nestle Data'!D16/'Nestle Data'!D$5</f>
        <v>0.16905398989644846</v>
      </c>
      <c r="E17" s="22">
        <f>'Nestle Data'!E16/'Nestle Data'!E$5</f>
        <v>0.18375359654731457</v>
      </c>
      <c r="F17" s="22">
        <f>'Nestle Data'!F16/'Nestle Data'!F$5</f>
        <v>0.21509847001532906</v>
      </c>
      <c r="G17" s="22">
        <f>'Nestle Data'!G16/'Nestle Data'!G$5</f>
        <v>0.21614614072391239</v>
      </c>
      <c r="H17" s="22">
        <f>'Nestle Data'!H16/'Nestle Data'!H$5</f>
        <v>0.21069540667698872</v>
      </c>
      <c r="I17" s="22">
        <f>'Nestle Data'!I16/'Nestle Data'!I$5</f>
        <v>0.1938402736932511</v>
      </c>
      <c r="J17" s="22">
        <f>'Nestle Data'!J16/'Nestle Data'!J$5</f>
        <v>0.19269560915099521</v>
      </c>
      <c r="K17" s="22">
        <f>'Nestle Data'!K16/'Nestle Data'!K$5</f>
        <v>0.21113806643208566</v>
      </c>
      <c r="L17" s="22">
        <f>'Nestle Data'!L16/'Nestle Data'!L$5</f>
        <v>0.21681125888490929</v>
      </c>
    </row>
    <row r="18" spans="1:12" outlineLevel="1" x14ac:dyDescent="0.3">
      <c r="B18" s="3" t="s">
        <v>14</v>
      </c>
      <c r="C18" s="22">
        <f>'Nestle Data'!C17/'Nestle Data'!C$5</f>
        <v>3.0623915178751633E-2</v>
      </c>
      <c r="D18" s="22">
        <f>'Nestle Data'!D17/'Nestle Data'!D$5</f>
        <v>5.951206278291804E-2</v>
      </c>
      <c r="E18" s="22">
        <f>'Nestle Data'!E17/'Nestle Data'!E$5</f>
        <v>6.1352101982097187E-2</v>
      </c>
      <c r="F18" s="22">
        <f>'Nestle Data'!F17/'Nestle Data'!F$5</f>
        <v>7.2794929628852298E-2</v>
      </c>
      <c r="G18" s="22">
        <f>'Nestle Data'!G17/'Nestle Data'!G$5</f>
        <v>5.7001835248081882E-2</v>
      </c>
      <c r="H18" s="22">
        <f>'Nestle Data'!H17/'Nestle Data'!H$5</f>
        <v>5.4708491291779869E-2</v>
      </c>
      <c r="I18" s="22">
        <f>'Nestle Data'!I17/'Nestle Data'!I$5</f>
        <v>5.012757291261747E-2</v>
      </c>
      <c r="J18" s="22">
        <f>'Nestle Data'!J17/'Nestle Data'!J$5</f>
        <v>5.1219272579209517E-2</v>
      </c>
      <c r="K18" s="22">
        <f>'Nestle Data'!K17/'Nestle Data'!K$5</f>
        <v>5.4355520931910505E-2</v>
      </c>
      <c r="L18" s="22">
        <f>'Nestle Data'!L17/'Nestle Data'!L$5</f>
        <v>5.5588920012347352E-2</v>
      </c>
    </row>
    <row r="19" spans="1:12" outlineLevel="1" x14ac:dyDescent="0.3">
      <c r="B19" s="3" t="s">
        <v>15</v>
      </c>
      <c r="C19" s="22">
        <f>'Nestle Data'!C18/'Nestle Data'!C$5</f>
        <v>6.8898916371366956E-2</v>
      </c>
      <c r="D19" s="22">
        <f>'Nestle Data'!D18/'Nestle Data'!D$5</f>
        <v>0.1095419271135304</v>
      </c>
      <c r="E19" s="22">
        <f>'Nestle Data'!E18/'Nestle Data'!E$5</f>
        <v>0.12240149456521739</v>
      </c>
      <c r="F19" s="22">
        <f>'Nestle Data'!F18/'Nestle Data'!F$5</f>
        <v>0.14230354038647677</v>
      </c>
      <c r="G19" s="22">
        <f>'Nestle Data'!G18/'Nestle Data'!G$5</f>
        <v>0.15914430547583053</v>
      </c>
      <c r="H19" s="22">
        <f>'Nestle Data'!H18/'Nestle Data'!H$5</f>
        <v>0.15598691538520884</v>
      </c>
      <c r="I19" s="22">
        <f>'Nestle Data'!I18/'Nestle Data'!I$5</f>
        <v>0.14371270078063361</v>
      </c>
      <c r="J19" s="22">
        <f>'Nestle Data'!J18/'Nestle Data'!J$5</f>
        <v>0.14147633657178571</v>
      </c>
      <c r="K19" s="22">
        <f>'Nestle Data'!K18/'Nestle Data'!K$5</f>
        <v>0.15678254550017517</v>
      </c>
      <c r="L19" s="22">
        <f>'Nestle Data'!L18/'Nestle Data'!L$5</f>
        <v>0.16122233887256196</v>
      </c>
    </row>
    <row r="20" spans="1:12" outlineLevel="1" x14ac:dyDescent="0.3">
      <c r="B20" s="3" t="s">
        <v>16</v>
      </c>
      <c r="C20" s="22">
        <f>'Nestle Data'!C19/'Nestle Data'!C$5</f>
        <v>5.7201500615878781E-2</v>
      </c>
      <c r="D20" s="22">
        <f>'Nestle Data'!D19/'Nestle Data'!D$5</f>
        <v>6.6450870441313856E-2</v>
      </c>
      <c r="E20" s="22">
        <f>'Nestle Data'!E19/'Nestle Data'!E$5</f>
        <v>8.2841472186700765E-2</v>
      </c>
      <c r="F20" s="22">
        <f>'Nestle Data'!F19/'Nestle Data'!F$5</f>
        <v>9.8193720128902331E-2</v>
      </c>
      <c r="G20" s="22">
        <f>'Nestle Data'!G19/'Nestle Data'!G$5</f>
        <v>0.26660091034772698</v>
      </c>
      <c r="H20" s="22">
        <f>'Nestle Data'!H19/'Nestle Data'!H$5</f>
        <v>0.14444911359749754</v>
      </c>
      <c r="I20" s="22">
        <f>'Nestle Data'!I19/'Nestle Data'!I$5</f>
        <v>0.13082244333503612</v>
      </c>
      <c r="J20" s="22">
        <f>'Nestle Data'!J19/'Nestle Data'!J$5</f>
        <v>0.1255397420601102</v>
      </c>
      <c r="K20" s="22">
        <f>'Nestle Data'!K19/'Nestle Data'!K$5</f>
        <v>8.7717436200415139E-2</v>
      </c>
      <c r="L20" s="22">
        <f>'Nestle Data'!L19/'Nestle Data'!L$5</f>
        <v>0.12727449373593142</v>
      </c>
    </row>
    <row r="21" spans="1:12" outlineLevel="1" x14ac:dyDescent="0.3">
      <c r="B21" s="84" t="s">
        <v>60</v>
      </c>
      <c r="C21" s="22">
        <f>'Nestle Data'!C20/'Nestle Data'!C$5</f>
        <v>0.14240193949831872</v>
      </c>
      <c r="D21" s="22">
        <f>'Nestle Data'!D20/'Nestle Data'!D$5</f>
        <v>0.21768799760210211</v>
      </c>
      <c r="E21" s="22">
        <f>'Nestle Data'!E20/'Nestle Data'!E$5</f>
        <v>0.22712695812020459</v>
      </c>
      <c r="F21" s="22">
        <f>'Nestle Data'!F20/'Nestle Data'!F$5</f>
        <v>0.25473797562403305</v>
      </c>
      <c r="G21" s="22">
        <f>'Nestle Data'!G20/'Nestle Data'!G$5</f>
        <v>0.2565110882940278</v>
      </c>
      <c r="H21" s="22">
        <f>'Nestle Data'!H20/'Nestle Data'!H$5</f>
        <v>0.25073726426082937</v>
      </c>
      <c r="I21" s="22">
        <f>'Nestle Data'!I20/'Nestle Data'!I$5</f>
        <v>0.23404897632998409</v>
      </c>
      <c r="J21" s="22">
        <f>'Nestle Data'!J20/'Nestle Data'!J$5</f>
        <v>0.22569444444444448</v>
      </c>
      <c r="K21" s="22">
        <f>'Nestle Data'!K20/'Nestle Data'!K$5</f>
        <v>0.23980017044593047</v>
      </c>
      <c r="L21" s="22">
        <f>'Nestle Data'!L20/'Nestle Data'!L$5</f>
        <v>0.24482114168752914</v>
      </c>
    </row>
    <row r="23" spans="1:12" x14ac:dyDescent="0.3">
      <c r="A23" t="s">
        <v>50</v>
      </c>
      <c r="B23" s="127" t="str">
        <f>"Common Size - Balance Sheet"&amp;" "&amp;"- "&amp;'Nestle Data'!$B$1</f>
        <v>Common Size - Balance Sheet - Nestle India Ltd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</row>
    <row r="24" spans="1:12" ht="6" customHeight="1" x14ac:dyDescent="0.3"/>
    <row r="25" spans="1:12" x14ac:dyDescent="0.3">
      <c r="B25" s="12" t="s">
        <v>286</v>
      </c>
      <c r="C25" s="13">
        <f>C4</f>
        <v>42369</v>
      </c>
      <c r="D25" s="13">
        <f t="shared" ref="D25:L25" si="0">D4</f>
        <v>42735</v>
      </c>
      <c r="E25" s="13">
        <f t="shared" si="0"/>
        <v>43100</v>
      </c>
      <c r="F25" s="13">
        <f t="shared" si="0"/>
        <v>43465</v>
      </c>
      <c r="G25" s="13">
        <f t="shared" si="0"/>
        <v>43830</v>
      </c>
      <c r="H25" s="13">
        <f t="shared" si="0"/>
        <v>44196</v>
      </c>
      <c r="I25" s="13">
        <f t="shared" si="0"/>
        <v>44561</v>
      </c>
      <c r="J25" s="13">
        <f t="shared" si="0"/>
        <v>44926</v>
      </c>
      <c r="K25" s="13">
        <f t="shared" si="0"/>
        <v>45291</v>
      </c>
      <c r="L25" s="13">
        <f t="shared" si="0"/>
        <v>45382</v>
      </c>
    </row>
    <row r="27" spans="1:12" outlineLevel="1" x14ac:dyDescent="0.3">
      <c r="B27" s="24" t="s">
        <v>80</v>
      </c>
      <c r="C27" s="22">
        <f>'Nestle Data'!O9/'Nestle Data'!O$9</f>
        <v>1</v>
      </c>
      <c r="D27" s="22">
        <f>'Nestle Data'!P9/'Nestle Data'!P$9</f>
        <v>1</v>
      </c>
      <c r="E27" s="22">
        <f>'Nestle Data'!Q9/'Nestle Data'!Q$9</f>
        <v>1</v>
      </c>
      <c r="F27" s="22">
        <f>'Nestle Data'!R9/'Nestle Data'!R$9</f>
        <v>1</v>
      </c>
      <c r="G27" s="22">
        <f>'Nestle Data'!S9/'Nestle Data'!S$9</f>
        <v>1</v>
      </c>
      <c r="H27" s="22">
        <f>'Nestle Data'!T9/'Nestle Data'!T$9</f>
        <v>1</v>
      </c>
      <c r="I27" s="22">
        <f>'Nestle Data'!U9/'Nestle Data'!U$9</f>
        <v>1</v>
      </c>
      <c r="J27" s="22">
        <f>'Nestle Data'!V9/'Nestle Data'!V$9</f>
        <v>1</v>
      </c>
      <c r="K27" s="22">
        <f>'Nestle Data'!W9/'Nestle Data'!W$9</f>
        <v>1</v>
      </c>
      <c r="L27" s="22">
        <f>'Nestle Data'!X9/'Nestle Data'!X$9</f>
        <v>1</v>
      </c>
    </row>
    <row r="28" spans="1:12" outlineLevel="1" x14ac:dyDescent="0.3">
      <c r="B28" s="10" t="s">
        <v>20</v>
      </c>
      <c r="C28" s="22">
        <f>'Nestle Data'!O5/'Nestle Data'!O$9</f>
        <v>1.5842059171947628E-2</v>
      </c>
      <c r="D28" s="22">
        <f>'Nestle Data'!P5/'Nestle Data'!P$9</f>
        <v>1.4157633992417547E-2</v>
      </c>
      <c r="E28" s="22">
        <f>'Nestle Data'!Q5/'Nestle Data'!Q$9</f>
        <v>1.3095934990268371E-2</v>
      </c>
      <c r="F28" s="22">
        <f>'Nestle Data'!R5/'Nestle Data'!R$9</f>
        <v>1.1921247069761921E-2</v>
      </c>
      <c r="G28" s="22">
        <f>'Nestle Data'!S5/'Nestle Data'!S$9</f>
        <v>1.3442186885712136E-2</v>
      </c>
      <c r="H28" s="22">
        <f>'Nestle Data'!T5/'Nestle Data'!T$9</f>
        <v>1.2205480440470751E-2</v>
      </c>
      <c r="I28" s="22">
        <f>'Nestle Data'!U5/'Nestle Data'!U$9</f>
        <v>1.1709798120748641E-2</v>
      </c>
      <c r="J28" s="22">
        <f>'Nestle Data'!V5/'Nestle Data'!V$9</f>
        <v>1.0738700530363949E-2</v>
      </c>
      <c r="K28" s="22">
        <f>'Nestle Data'!W5/'Nestle Data'!W$9</f>
        <v>1.0738700530363949E-2</v>
      </c>
      <c r="L28" s="22">
        <f>'Nestle Data'!X5/'Nestle Data'!X$9</f>
        <v>9.1627340336366044E-3</v>
      </c>
    </row>
    <row r="29" spans="1:12" outlineLevel="1" x14ac:dyDescent="0.3">
      <c r="B29" s="10" t="s">
        <v>21</v>
      </c>
      <c r="C29" s="22">
        <f>'Nestle Data'!O6/'Nestle Data'!O$9</f>
        <v>0.44713645168763444</v>
      </c>
      <c r="D29" s="22">
        <f>'Nestle Data'!P6/'Nestle Data'!P$9</f>
        <v>0.46779659523732608</v>
      </c>
      <c r="E29" s="22">
        <f>'Nestle Data'!Q6/'Nestle Data'!Q$9</f>
        <v>0.45149465065961841</v>
      </c>
      <c r="F29" s="22">
        <f>'Nestle Data'!R6/'Nestle Data'!R$9</f>
        <v>0.44229532843394231</v>
      </c>
      <c r="G29" s="22">
        <f>'Nestle Data'!S6/'Nestle Data'!S$9</f>
        <v>0.25407294637903011</v>
      </c>
      <c r="H29" s="22">
        <f>'Nestle Data'!T6/'Nestle Data'!T$9</f>
        <v>0.24341591421478964</v>
      </c>
      <c r="I29" s="22">
        <f>'Nestle Data'!U6/'Nestle Data'!U$9</f>
        <v>0.22466975867517275</v>
      </c>
      <c r="J29" s="22">
        <f>'Nestle Data'!V6/'Nestle Data'!V$9</f>
        <v>0.26314939512671043</v>
      </c>
      <c r="K29" s="22">
        <f>'Nestle Data'!W6/'Nestle Data'!W$9</f>
        <v>0.26314939512671043</v>
      </c>
      <c r="L29" s="22">
        <f>'Nestle Data'!X6/'Nestle Data'!X$9</f>
        <v>0.30832001338013848</v>
      </c>
    </row>
    <row r="30" spans="1:12" outlineLevel="1" x14ac:dyDescent="0.3">
      <c r="B30" s="10" t="s">
        <v>22</v>
      </c>
      <c r="C30" s="22">
        <f>'Nestle Data'!O7/'Nestle Data'!O$9</f>
        <v>2.9130855540202387E-3</v>
      </c>
      <c r="D30" s="22">
        <f>'Nestle Data'!P7/'Nestle Data'!P$9</f>
        <v>4.8675126202929022E-3</v>
      </c>
      <c r="E30" s="22">
        <f>'Nestle Data'!Q7/'Nestle Data'!Q$9</f>
        <v>4.7727769711473815E-3</v>
      </c>
      <c r="F30" s="22">
        <f>'Nestle Data'!R7/'Nestle Data'!R$9</f>
        <v>4.344665235754345E-3</v>
      </c>
      <c r="G30" s="22">
        <f>'Nestle Data'!S7/'Nestle Data'!S$9</f>
        <v>2.6340663660925648E-2</v>
      </c>
      <c r="H30" s="22">
        <f>'Nestle Data'!T7/'Nestle Data'!T$9</f>
        <v>1.8670258350601859E-2</v>
      </c>
      <c r="I30" s="22">
        <f>'Nestle Data'!U7/'Nestle Data'!U$9</f>
        <v>3.2360431520998573E-2</v>
      </c>
      <c r="J30" s="22">
        <f>'Nestle Data'!V7/'Nestle Data'!V$9</f>
        <v>3.0128949050757678E-2</v>
      </c>
      <c r="K30" s="22">
        <f>'Nestle Data'!W7/'Nestle Data'!W$9</f>
        <v>3.0128949050757678E-2</v>
      </c>
      <c r="L30" s="22">
        <f>'Nestle Data'!X7/'Nestle Data'!X$9</f>
        <v>3.2740476629421478E-2</v>
      </c>
    </row>
    <row r="31" spans="1:12" outlineLevel="1" x14ac:dyDescent="0.3">
      <c r="B31" s="10" t="s">
        <v>23</v>
      </c>
      <c r="C31" s="22">
        <f>'Nestle Data'!O8/'Nestle Data'!O$9</f>
        <v>0.53410840358639777</v>
      </c>
      <c r="D31" s="22">
        <f>'Nestle Data'!P8/'Nestle Data'!P$9</f>
        <v>0.51317825814996343</v>
      </c>
      <c r="E31" s="22">
        <f>'Nestle Data'!Q8/'Nestle Data'!Q$9</f>
        <v>0.53063663737896583</v>
      </c>
      <c r="F31" s="22">
        <f>'Nestle Data'!R8/'Nestle Data'!R$9</f>
        <v>0.54143875926054141</v>
      </c>
      <c r="G31" s="22">
        <f>'Nestle Data'!S8/'Nestle Data'!S$9</f>
        <v>0.70614420307433223</v>
      </c>
      <c r="H31" s="22">
        <f>'Nestle Data'!T8/'Nestle Data'!T$9</f>
        <v>0.72570834699413778</v>
      </c>
      <c r="I31" s="22">
        <f>'Nestle Data'!U8/'Nestle Data'!U$9</f>
        <v>0.73126001168308008</v>
      </c>
      <c r="J31" s="22">
        <f>'Nestle Data'!V8/'Nestle Data'!V$9</f>
        <v>0.69598295529216803</v>
      </c>
      <c r="K31" s="22">
        <f>'Nestle Data'!W8/'Nestle Data'!W$9</f>
        <v>0.69598295529216803</v>
      </c>
      <c r="L31" s="22">
        <f>'Nestle Data'!X8/'Nestle Data'!X$9</f>
        <v>0.6497767759568035</v>
      </c>
    </row>
    <row r="32" spans="1:12" outlineLevel="1" x14ac:dyDescent="0.3">
      <c r="B32" s="6"/>
    </row>
    <row r="33" spans="2:12" outlineLevel="1" x14ac:dyDescent="0.3">
      <c r="B33" s="6" t="s">
        <v>79</v>
      </c>
      <c r="C33" s="22">
        <f>'Nestle Data'!O14/'Nestle Data'!O$14</f>
        <v>1</v>
      </c>
      <c r="D33" s="22">
        <f>'Nestle Data'!P14/'Nestle Data'!P$14</f>
        <v>1</v>
      </c>
      <c r="E33" s="22">
        <f>'Nestle Data'!Q14/'Nestle Data'!Q$14</f>
        <v>1</v>
      </c>
      <c r="F33" s="22">
        <f>'Nestle Data'!R14/'Nestle Data'!R$14</f>
        <v>1</v>
      </c>
      <c r="G33" s="22">
        <f>'Nestle Data'!S14/'Nestle Data'!S$14</f>
        <v>1</v>
      </c>
      <c r="H33" s="22">
        <f>'Nestle Data'!T14/'Nestle Data'!T$14</f>
        <v>1</v>
      </c>
      <c r="I33" s="22">
        <f>'Nestle Data'!U14/'Nestle Data'!U$14</f>
        <v>1</v>
      </c>
      <c r="J33" s="22">
        <f>'Nestle Data'!V14/'Nestle Data'!V$14</f>
        <v>1</v>
      </c>
      <c r="K33" s="22">
        <f>'Nestle Data'!W14/'Nestle Data'!W$14</f>
        <v>1</v>
      </c>
      <c r="L33" s="22">
        <f>'Nestle Data'!X14/'Nestle Data'!X$14</f>
        <v>1</v>
      </c>
    </row>
    <row r="34" spans="2:12" outlineLevel="1" x14ac:dyDescent="0.3">
      <c r="B34" s="10" t="s">
        <v>25</v>
      </c>
      <c r="C34" s="22">
        <f>'Nestle Data'!O10/'Nestle Data'!O$14</f>
        <v>0.47612436394346019</v>
      </c>
      <c r="D34" s="22">
        <f>'Nestle Data'!P10/'Nestle Data'!P$14</f>
        <v>0.40087453710909393</v>
      </c>
      <c r="E34" s="22">
        <f>'Nestle Data'!Q10/'Nestle Data'!Q$14</f>
        <v>0.35533419625430723</v>
      </c>
      <c r="F34" s="22">
        <f>'Nestle Data'!R10/'Nestle Data'!R$14</f>
        <v>0.29680962601754679</v>
      </c>
      <c r="G34" s="22">
        <f>'Nestle Data'!S10/'Nestle Data'!S$14</f>
        <v>0.32642821493000079</v>
      </c>
      <c r="H34" s="22">
        <f>'Nestle Data'!T10/'Nestle Data'!T$14</f>
        <v>0.27588411249498401</v>
      </c>
      <c r="I34" s="22">
        <f>'Nestle Data'!U10/'Nestle Data'!U$14</f>
        <v>0.36368991016658714</v>
      </c>
      <c r="J34" s="22">
        <f>'Nestle Data'!V10/'Nestle Data'!V$14</f>
        <v>0.33898965779162776</v>
      </c>
      <c r="K34" s="22">
        <f>'Nestle Data'!W10/'Nestle Data'!W$14</f>
        <v>0.33898965779162776</v>
      </c>
      <c r="L34" s="22">
        <f>'Nestle Data'!X10/'Nestle Data'!X$14</f>
        <v>0.32882545571345217</v>
      </c>
    </row>
    <row r="35" spans="2:12" outlineLevel="1" x14ac:dyDescent="0.3">
      <c r="B35" s="10" t="s">
        <v>26</v>
      </c>
      <c r="C35" s="22">
        <f>'Nestle Data'!O11/'Nestle Data'!O$14</f>
        <v>3.791940298997918E-2</v>
      </c>
      <c r="D35" s="22">
        <f>'Nestle Data'!P11/'Nestle Data'!P$14</f>
        <v>2.7629558062157326E-2</v>
      </c>
      <c r="E35" s="22">
        <f>'Nestle Data'!Q11/'Nestle Data'!Q$14</f>
        <v>1.2788977791782511E-2</v>
      </c>
      <c r="F35" s="22">
        <f>'Nestle Data'!R11/'Nestle Data'!R$14</f>
        <v>1.3006795185013006E-2</v>
      </c>
      <c r="G35" s="22">
        <f>'Nestle Data'!S11/'Nestle Data'!S$14</f>
        <v>1.9977861239603288E-2</v>
      </c>
      <c r="H35" s="22">
        <f>'Nestle Data'!T11/'Nestle Data'!T$14</f>
        <v>8.083567413063486E-2</v>
      </c>
      <c r="I35" s="22">
        <f>'Nestle Data'!U11/'Nestle Data'!U$14</f>
        <v>2.9903584228084815E-2</v>
      </c>
      <c r="J35" s="22">
        <f>'Nestle Data'!V11/'Nestle Data'!V$14</f>
        <v>3.9912058930317622E-2</v>
      </c>
      <c r="K35" s="22">
        <f>'Nestle Data'!W11/'Nestle Data'!W$14</f>
        <v>3.9912058930317622E-2</v>
      </c>
      <c r="L35" s="22">
        <f>'Nestle Data'!X11/'Nestle Data'!X$14</f>
        <v>0.16551364336989433</v>
      </c>
    </row>
    <row r="36" spans="2:12" outlineLevel="1" x14ac:dyDescent="0.3">
      <c r="B36" s="10" t="s">
        <v>27</v>
      </c>
      <c r="C36" s="22">
        <f>'Nestle Data'!O12/'Nestle Data'!O$14</f>
        <v>0.21768783486928905</v>
      </c>
      <c r="D36" s="22">
        <f>'Nestle Data'!P12/'Nestle Data'!P$14</f>
        <v>0.25778875435726811</v>
      </c>
      <c r="E36" s="22">
        <f>'Nestle Data'!Q12/'Nestle Data'!Q$14</f>
        <v>0.26877362449898745</v>
      </c>
      <c r="F36" s="22">
        <f>'Nestle Data'!R12/'Nestle Data'!R$14</f>
        <v>0.32869234725670365</v>
      </c>
      <c r="G36" s="22">
        <f>'Nestle Data'!S12/'Nestle Data'!S$14</f>
        <v>0.24411886897143989</v>
      </c>
      <c r="H36" s="22">
        <f>'Nestle Data'!T12/'Nestle Data'!T$14</f>
        <v>0.18529367459394183</v>
      </c>
      <c r="I36" s="22">
        <f>'Nestle Data'!U12/'Nestle Data'!U$14</f>
        <v>9.3996572801255271E-2</v>
      </c>
      <c r="J36" s="22">
        <f>'Nestle Data'!V12/'Nestle Data'!V$14</f>
        <v>8.6597896809574609E-2</v>
      </c>
      <c r="K36" s="22">
        <f>'Nestle Data'!W12/'Nestle Data'!W$14</f>
        <v>8.6597896809574609E-2</v>
      </c>
      <c r="L36" s="22">
        <f>'Nestle Data'!X12/'Nestle Data'!X$14</f>
        <v>4.4081284341246751E-2</v>
      </c>
    </row>
    <row r="37" spans="2:12" outlineLevel="1" x14ac:dyDescent="0.3">
      <c r="B37" s="10" t="s">
        <v>28</v>
      </c>
      <c r="C37" s="22">
        <f>'Nestle Data'!O13/'Nestle Data'!O$14</f>
        <v>0.26826839819727161</v>
      </c>
      <c r="D37" s="22">
        <f>'Nestle Data'!P13/'Nestle Data'!P$14</f>
        <v>0.31370715047148062</v>
      </c>
      <c r="E37" s="22">
        <f>'Nestle Data'!Q13/'Nestle Data'!Q$14</f>
        <v>0.36310320145492281</v>
      </c>
      <c r="F37" s="22">
        <f>'Nestle Data'!R13/'Nestle Data'!R$14</f>
        <v>0.36149123154073648</v>
      </c>
      <c r="G37" s="22">
        <f>'Nestle Data'!S13/'Nestle Data'!S$14</f>
        <v>0.40947505485895602</v>
      </c>
      <c r="H37" s="22">
        <f>'Nestle Data'!T13/'Nestle Data'!T$14</f>
        <v>0.45798653878043932</v>
      </c>
      <c r="I37" s="22">
        <f>'Nestle Data'!U13/'Nestle Data'!U$14</f>
        <v>0.51240993280407288</v>
      </c>
      <c r="J37" s="22">
        <f>'Nestle Data'!V13/'Nestle Data'!V$14</f>
        <v>0.53450038646848008</v>
      </c>
      <c r="K37" s="22">
        <f>'Nestle Data'!W13/'Nestle Data'!W$14</f>
        <v>0.53450038646848008</v>
      </c>
      <c r="L37" s="22">
        <f>'Nestle Data'!X13/'Nestle Data'!X$14</f>
        <v>0.46157961657540675</v>
      </c>
    </row>
    <row r="38" spans="2:12" outlineLevel="1" x14ac:dyDescent="0.3">
      <c r="B38" s="10" t="s">
        <v>29</v>
      </c>
      <c r="C38" s="22">
        <f>'Nestle Data'!O15/'Nestle Data'!O$14</f>
        <v>1.2884611908982917E-2</v>
      </c>
      <c r="D38" s="22">
        <f>'Nestle Data'!P15/'Nestle Data'!P$14</f>
        <v>1.4379351761848687E-2</v>
      </c>
      <c r="E38" s="22">
        <f>'Nestle Data'!Q15/'Nestle Data'!Q$14</f>
        <v>1.2084062809418967E-2</v>
      </c>
      <c r="F38" s="22">
        <f>'Nestle Data'!R15/'Nestle Data'!R$14</f>
        <v>1.5404150305140404E-2</v>
      </c>
      <c r="G38" s="22">
        <f>'Nestle Data'!S15/'Nestle Data'!S$14</f>
        <v>1.7333199496998443E-2</v>
      </c>
      <c r="H38" s="22">
        <f>'Nestle Data'!T15/'Nestle Data'!T$14</f>
        <v>2.0877928739336662E-2</v>
      </c>
      <c r="I38" s="22">
        <f>'Nestle Data'!U15/'Nestle Data'!U$14</f>
        <v>2.0156349243939557E-2</v>
      </c>
      <c r="J38" s="22">
        <f>'Nestle Data'!V15/'Nestle Data'!V$14</f>
        <v>2.1371595569088759E-2</v>
      </c>
      <c r="K38" s="22">
        <f>'Nestle Data'!W15/'Nestle Data'!W$14</f>
        <v>2.1371595569088759E-2</v>
      </c>
      <c r="L38" s="22">
        <f>'Nestle Data'!X15/'Nestle Data'!X$14</f>
        <v>2.855253129793045E-2</v>
      </c>
    </row>
    <row r="39" spans="2:12" outlineLevel="1" x14ac:dyDescent="0.3">
      <c r="B39" s="10" t="s">
        <v>30</v>
      </c>
      <c r="C39" s="22">
        <f>'Nestle Data'!O16/'Nestle Data'!O$14</f>
        <v>0.13486123821744794</v>
      </c>
      <c r="D39" s="22">
        <f>'Nestle Data'!P16/'Nestle Data'!P$14</f>
        <v>0.13803179227247497</v>
      </c>
      <c r="E39" s="22">
        <f>'Nestle Data'!Q16/'Nestle Data'!Q$14</f>
        <v>0.12257507208740402</v>
      </c>
      <c r="F39" s="22">
        <f>'Nestle Data'!R16/'Nestle Data'!R$14</f>
        <v>0.11937938299324438</v>
      </c>
      <c r="G39" s="22">
        <f>'Nestle Data'!S16/'Nestle Data'!S$14</f>
        <v>0.17887644396858193</v>
      </c>
      <c r="H39" s="22">
        <f>'Nestle Data'!T16/'Nestle Data'!T$14</f>
        <v>0.1793073940501764</v>
      </c>
      <c r="I39" s="22">
        <f>'Nestle Data'!U16/'Nestle Data'!U$14</f>
        <v>0.19342055566283264</v>
      </c>
      <c r="J39" s="22">
        <f>'Nestle Data'!V16/'Nestle Data'!V$14</f>
        <v>0.21481521906191739</v>
      </c>
      <c r="K39" s="22">
        <f>'Nestle Data'!W16/'Nestle Data'!W$14</f>
        <v>0.21481521906191739</v>
      </c>
      <c r="L39" s="22">
        <f>'Nestle Data'!X16/'Nestle Data'!X$14</f>
        <v>0.19855061170420013</v>
      </c>
    </row>
    <row r="40" spans="2:12" outlineLevel="1" x14ac:dyDescent="0.3">
      <c r="B40" s="7" t="s">
        <v>31</v>
      </c>
      <c r="C40" s="22">
        <f>'Nestle Data'!O17/'Nestle Data'!O$14</f>
        <v>8.2077376678556704E-2</v>
      </c>
      <c r="D40" s="22">
        <f>'Nestle Data'!P17/'Nestle Data'!P$14</f>
        <v>0.12921300470159139</v>
      </c>
      <c r="E40" s="22">
        <f>'Nestle Data'!Q17/'Nestle Data'!Q$14</f>
        <v>0.19794936292799137</v>
      </c>
      <c r="F40" s="22">
        <f>'Nestle Data'!R17/'Nestle Data'!R$14</f>
        <v>0.19906578569944905</v>
      </c>
      <c r="G40" s="22">
        <f>'Nestle Data'!S17/'Nestle Data'!S$14</f>
        <v>0.18235897693275002</v>
      </c>
      <c r="H40" s="22">
        <f>'Nestle Data'!T17/'Nestle Data'!T$14</f>
        <v>0.2240418343411737</v>
      </c>
      <c r="I40" s="22">
        <f>'Nestle Data'!U17/'Nestle Data'!U$14</f>
        <v>8.9312410661478506E-2</v>
      </c>
      <c r="J40" s="22">
        <f>'Nestle Data'!V17/'Nestle Data'!V$14</f>
        <v>0.1053098764414606</v>
      </c>
      <c r="K40" s="22">
        <f>'Nestle Data'!W17/'Nestle Data'!W$14</f>
        <v>0.1053098764414606</v>
      </c>
      <c r="L40" s="22">
        <f>'Nestle Data'!X17/'Nestle Data'!X$14</f>
        <v>7.4013642419600387E-2</v>
      </c>
    </row>
  </sheetData>
  <mergeCells count="2">
    <mergeCell ref="B2:L2"/>
    <mergeCell ref="B23:L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A078-0C11-480C-856A-5C8EA668E45A}">
  <sheetPr>
    <tabColor rgb="FFC00000"/>
  </sheetPr>
  <dimension ref="B2:N46"/>
  <sheetViews>
    <sheetView showGridLines="0" workbookViewId="0">
      <pane ySplit="3" topLeftCell="A20" activePane="bottomLeft" state="frozen"/>
      <selection pane="bottomLeft" activeCell="I49" sqref="I49"/>
    </sheetView>
  </sheetViews>
  <sheetFormatPr defaultRowHeight="14.4" x14ac:dyDescent="0.3"/>
  <cols>
    <col min="1" max="1" width="1.88671875" customWidth="1"/>
    <col min="2" max="2" width="23.88671875" customWidth="1"/>
    <col min="3" max="3" width="11.88671875" customWidth="1"/>
    <col min="4" max="4" width="10.77734375" customWidth="1"/>
    <col min="5" max="5" width="11.33203125" customWidth="1"/>
    <col min="6" max="6" width="13.33203125" customWidth="1"/>
    <col min="7" max="7" width="11.77734375" customWidth="1"/>
    <col min="8" max="8" width="11.109375" customWidth="1"/>
    <col min="9" max="9" width="11.33203125" customWidth="1"/>
    <col min="10" max="10" width="11.21875" customWidth="1"/>
    <col min="11" max="11" width="11.5546875" customWidth="1"/>
    <col min="12" max="12" width="11.33203125" customWidth="1"/>
    <col min="13" max="13" width="12.109375" customWidth="1"/>
    <col min="14" max="14" width="13.109375" customWidth="1"/>
  </cols>
  <sheetData>
    <row r="2" spans="2:14" x14ac:dyDescent="0.3">
      <c r="B2" s="86"/>
      <c r="C2" s="86"/>
      <c r="D2" s="86"/>
      <c r="E2" s="86"/>
      <c r="F2" s="87"/>
    </row>
    <row r="3" spans="2:14" x14ac:dyDescent="0.3">
      <c r="B3" s="12" t="s">
        <v>286</v>
      </c>
      <c r="C3" s="88">
        <v>41609</v>
      </c>
      <c r="D3" s="88">
        <v>41974</v>
      </c>
      <c r="E3" s="88">
        <v>42339</v>
      </c>
      <c r="F3" s="88">
        <v>42705</v>
      </c>
      <c r="G3" s="88">
        <v>43070</v>
      </c>
      <c r="H3" s="88">
        <v>43435</v>
      </c>
      <c r="I3" s="88">
        <v>43800</v>
      </c>
      <c r="J3" s="88">
        <v>44166</v>
      </c>
      <c r="K3" s="88">
        <v>44531</v>
      </c>
      <c r="L3" s="88">
        <v>44896</v>
      </c>
      <c r="M3" s="88">
        <v>45261</v>
      </c>
      <c r="N3" s="88">
        <v>45352</v>
      </c>
    </row>
    <row r="4" spans="2:14" x14ac:dyDescent="0.3"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</row>
    <row r="5" spans="2:14" x14ac:dyDescent="0.3">
      <c r="B5" s="27" t="s">
        <v>287</v>
      </c>
      <c r="C5" s="27">
        <v>96</v>
      </c>
      <c r="D5" s="27">
        <v>96</v>
      </c>
      <c r="E5" s="27">
        <v>96</v>
      </c>
      <c r="F5" s="27">
        <v>96</v>
      </c>
      <c r="G5" s="27">
        <v>96</v>
      </c>
      <c r="H5" s="27">
        <v>96</v>
      </c>
      <c r="I5" s="27">
        <v>96</v>
      </c>
      <c r="J5" s="27">
        <v>96</v>
      </c>
      <c r="K5" s="27">
        <v>96</v>
      </c>
      <c r="L5" s="27">
        <v>96</v>
      </c>
      <c r="M5" s="27">
        <v>96</v>
      </c>
      <c r="N5" s="27">
        <v>96</v>
      </c>
    </row>
    <row r="6" spans="2:14" x14ac:dyDescent="0.3">
      <c r="B6" s="27" t="s">
        <v>21</v>
      </c>
      <c r="C6" s="27">
        <v>2272</v>
      </c>
      <c r="D6" s="27">
        <v>2741</v>
      </c>
      <c r="E6" s="27">
        <v>2721</v>
      </c>
      <c r="F6" s="27">
        <v>3186</v>
      </c>
      <c r="G6" s="27">
        <v>3324</v>
      </c>
      <c r="H6" s="27">
        <v>3577</v>
      </c>
      <c r="I6" s="27">
        <v>1822</v>
      </c>
      <c r="J6" s="27">
        <v>1923</v>
      </c>
      <c r="K6" s="27">
        <v>1850</v>
      </c>
      <c r="L6" s="27">
        <v>2363</v>
      </c>
      <c r="M6" s="27">
        <v>2363</v>
      </c>
      <c r="N6" s="27">
        <v>3244</v>
      </c>
    </row>
    <row r="7" spans="2:14" x14ac:dyDescent="0.3">
      <c r="B7" s="29" t="s">
        <v>288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4" x14ac:dyDescent="0.3">
      <c r="B8" s="27" t="s">
        <v>289</v>
      </c>
      <c r="C8" s="27">
        <v>1189</v>
      </c>
      <c r="D8" s="27">
        <v>15</v>
      </c>
      <c r="E8" s="27">
        <v>17</v>
      </c>
      <c r="F8" s="27">
        <v>33</v>
      </c>
      <c r="G8" s="27">
        <v>35</v>
      </c>
      <c r="H8" s="27">
        <v>35</v>
      </c>
      <c r="I8" s="27">
        <v>53</v>
      </c>
      <c r="J8" s="27">
        <v>32</v>
      </c>
      <c r="K8" s="27">
        <v>27</v>
      </c>
      <c r="L8" s="27">
        <v>27</v>
      </c>
      <c r="M8" s="27">
        <v>27</v>
      </c>
      <c r="N8" s="27">
        <v>25</v>
      </c>
    </row>
    <row r="9" spans="2:14" x14ac:dyDescent="0.3">
      <c r="B9" s="27" t="s">
        <v>290</v>
      </c>
      <c r="C9" s="27">
        <v>0</v>
      </c>
      <c r="D9" s="27">
        <v>4</v>
      </c>
      <c r="E9" s="27">
        <v>1</v>
      </c>
      <c r="F9" s="27">
        <v>0</v>
      </c>
      <c r="G9" s="27">
        <v>0</v>
      </c>
      <c r="H9" s="27">
        <v>0</v>
      </c>
      <c r="I9" s="27">
        <v>0</v>
      </c>
      <c r="J9" s="27">
        <v>3</v>
      </c>
      <c r="K9" s="27">
        <v>7</v>
      </c>
      <c r="L9" s="27">
        <v>3</v>
      </c>
      <c r="M9" s="27">
        <v>3</v>
      </c>
      <c r="N9" s="27">
        <v>6</v>
      </c>
    </row>
    <row r="10" spans="2:14" x14ac:dyDescent="0.3">
      <c r="B10" s="27" t="s">
        <v>291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136</v>
      </c>
      <c r="J10" s="27">
        <v>113</v>
      </c>
      <c r="K10" s="27">
        <v>232</v>
      </c>
      <c r="L10" s="27">
        <v>240</v>
      </c>
      <c r="M10" s="27">
        <v>240</v>
      </c>
      <c r="N10" s="27">
        <v>313</v>
      </c>
    </row>
    <row r="11" spans="2:14" x14ac:dyDescent="0.3">
      <c r="B11" s="29" t="s">
        <v>292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4" x14ac:dyDescent="0.3">
      <c r="B12" s="27" t="s">
        <v>293</v>
      </c>
      <c r="C12" s="27">
        <v>633</v>
      </c>
      <c r="D12" s="27">
        <v>729</v>
      </c>
      <c r="E12" s="27">
        <v>749</v>
      </c>
      <c r="F12" s="27">
        <v>799</v>
      </c>
      <c r="G12" s="27">
        <v>985</v>
      </c>
      <c r="H12" s="27">
        <v>1240</v>
      </c>
      <c r="I12" s="27">
        <v>1492</v>
      </c>
      <c r="J12" s="27">
        <v>1517</v>
      </c>
      <c r="K12" s="27">
        <v>1748</v>
      </c>
      <c r="L12" s="27">
        <v>2121</v>
      </c>
      <c r="M12" s="27">
        <v>2121</v>
      </c>
      <c r="N12" s="27">
        <v>2812</v>
      </c>
    </row>
    <row r="13" spans="2:14" x14ac:dyDescent="0.3">
      <c r="B13" s="27" t="s">
        <v>294</v>
      </c>
      <c r="C13" s="27">
        <v>0</v>
      </c>
      <c r="D13" s="27">
        <v>0</v>
      </c>
      <c r="E13" s="27">
        <v>103</v>
      </c>
      <c r="F13" s="27">
        <v>25</v>
      </c>
      <c r="G13" s="27">
        <v>17</v>
      </c>
      <c r="H13" s="27">
        <v>41</v>
      </c>
      <c r="I13" s="27">
        <v>37</v>
      </c>
      <c r="J13" s="27">
        <v>53</v>
      </c>
      <c r="K13" s="27">
        <v>69</v>
      </c>
      <c r="L13" s="27">
        <v>114</v>
      </c>
      <c r="M13" s="27"/>
      <c r="N13" s="27">
        <v>16</v>
      </c>
    </row>
    <row r="14" spans="2:14" x14ac:dyDescent="0.3">
      <c r="B14" s="27" t="s">
        <v>295</v>
      </c>
      <c r="C14" s="27">
        <v>2123</v>
      </c>
      <c r="D14" s="27">
        <v>2234</v>
      </c>
      <c r="E14" s="27">
        <v>2398</v>
      </c>
      <c r="F14" s="27">
        <v>2671</v>
      </c>
      <c r="G14" s="27">
        <v>2905</v>
      </c>
      <c r="H14" s="27">
        <v>3098</v>
      </c>
      <c r="I14" s="27">
        <v>3537</v>
      </c>
      <c r="J14" s="27">
        <v>4164</v>
      </c>
      <c r="K14" s="27">
        <v>4204</v>
      </c>
      <c r="L14" s="27">
        <v>4014</v>
      </c>
      <c r="M14" s="27">
        <v>4128</v>
      </c>
      <c r="N14" s="27">
        <v>4010</v>
      </c>
    </row>
    <row r="15" spans="2:14" x14ac:dyDescent="0.3">
      <c r="B15" s="29" t="s">
        <v>80</v>
      </c>
      <c r="C15" s="29">
        <v>6314</v>
      </c>
      <c r="D15" s="29">
        <v>5820</v>
      </c>
      <c r="E15" s="29">
        <v>6086</v>
      </c>
      <c r="F15" s="29">
        <v>6810</v>
      </c>
      <c r="G15" s="29">
        <v>7363</v>
      </c>
      <c r="H15" s="29">
        <v>8088</v>
      </c>
      <c r="I15" s="29">
        <v>7173</v>
      </c>
      <c r="J15" s="29">
        <v>7900</v>
      </c>
      <c r="K15" s="29">
        <v>8234</v>
      </c>
      <c r="L15" s="29">
        <v>8979</v>
      </c>
      <c r="M15" s="29">
        <v>8979</v>
      </c>
      <c r="N15" s="29">
        <v>10523</v>
      </c>
    </row>
    <row r="16" spans="2:14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2:14" x14ac:dyDescent="0.3">
      <c r="B17" s="29" t="s">
        <v>296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3">
      <c r="B18" s="27" t="s">
        <v>297</v>
      </c>
      <c r="C18" s="27">
        <v>148.69999999999999</v>
      </c>
      <c r="D18" s="27">
        <v>145.57</v>
      </c>
      <c r="E18" s="27">
        <v>145.57</v>
      </c>
      <c r="F18" s="27">
        <v>140.5</v>
      </c>
      <c r="G18" s="27">
        <v>140.5</v>
      </c>
      <c r="H18" s="27">
        <v>140.51</v>
      </c>
      <c r="I18" s="27">
        <v>141.46</v>
      </c>
      <c r="J18" s="27">
        <v>141.46</v>
      </c>
      <c r="K18" s="27">
        <v>141.57</v>
      </c>
      <c r="L18" s="27">
        <v>141.57</v>
      </c>
      <c r="M18" s="27"/>
      <c r="N18" s="27">
        <v>150.81</v>
      </c>
    </row>
    <row r="19" spans="2:14" x14ac:dyDescent="0.3">
      <c r="B19" s="27" t="s">
        <v>298</v>
      </c>
      <c r="C19" s="27">
        <v>917.13</v>
      </c>
      <c r="D19" s="27">
        <v>964.1</v>
      </c>
      <c r="E19" s="27">
        <v>985.03</v>
      </c>
      <c r="F19" s="27">
        <v>865</v>
      </c>
      <c r="G19" s="27">
        <v>903.2</v>
      </c>
      <c r="H19" s="27">
        <v>912.4</v>
      </c>
      <c r="I19" s="27">
        <v>1159.6300000000001</v>
      </c>
      <c r="J19" s="27">
        <v>1140.29</v>
      </c>
      <c r="K19" s="27">
        <v>1485.32</v>
      </c>
      <c r="L19" s="27">
        <v>1532.2</v>
      </c>
      <c r="M19" s="27"/>
      <c r="N19" s="27">
        <v>1820.81</v>
      </c>
    </row>
    <row r="20" spans="2:14" x14ac:dyDescent="0.3">
      <c r="B20" s="27" t="s">
        <v>299</v>
      </c>
      <c r="C20" s="27">
        <v>3511.17</v>
      </c>
      <c r="D20" s="27">
        <v>3561.81</v>
      </c>
      <c r="E20" s="27">
        <v>3635.95</v>
      </c>
      <c r="F20" s="27">
        <v>1972.4</v>
      </c>
      <c r="G20" s="27">
        <v>2180.41</v>
      </c>
      <c r="H20" s="27">
        <v>2279.56</v>
      </c>
      <c r="I20" s="27">
        <v>2377.67</v>
      </c>
      <c r="J20" s="27">
        <v>2519.37</v>
      </c>
      <c r="K20" s="27">
        <v>3286.91</v>
      </c>
      <c r="L20" s="27">
        <v>3545.66</v>
      </c>
      <c r="M20" s="27"/>
      <c r="N20" s="27">
        <v>4068.09</v>
      </c>
    </row>
    <row r="21" spans="2:14" x14ac:dyDescent="0.3">
      <c r="B21" s="27" t="s">
        <v>300</v>
      </c>
      <c r="C21" s="27">
        <v>11.19</v>
      </c>
      <c r="D21" s="27">
        <v>11.37</v>
      </c>
      <c r="E21" s="27">
        <v>15.19</v>
      </c>
      <c r="F21" s="27">
        <v>11.3</v>
      </c>
      <c r="G21" s="27">
        <v>13.25</v>
      </c>
      <c r="H21" s="27">
        <v>14.85</v>
      </c>
      <c r="I21" s="27">
        <v>18.079999999999998</v>
      </c>
      <c r="J21" s="27">
        <v>20.29</v>
      </c>
      <c r="K21" s="27">
        <v>23.08</v>
      </c>
      <c r="L21" s="27">
        <v>43.23</v>
      </c>
      <c r="M21" s="27"/>
      <c r="N21" s="27">
        <v>50.93</v>
      </c>
    </row>
    <row r="22" spans="2:14" x14ac:dyDescent="0.3">
      <c r="B22" s="27" t="s">
        <v>301</v>
      </c>
      <c r="C22" s="27">
        <v>59.44</v>
      </c>
      <c r="D22" s="27">
        <v>66.77</v>
      </c>
      <c r="E22" s="27">
        <v>75.489999999999995</v>
      </c>
      <c r="F22" s="27">
        <v>34.42</v>
      </c>
      <c r="G22" s="27">
        <v>47.76</v>
      </c>
      <c r="H22" s="27">
        <v>64.78</v>
      </c>
      <c r="I22" s="27">
        <v>78.27</v>
      </c>
      <c r="J22" s="27">
        <v>89.28</v>
      </c>
      <c r="K22" s="27">
        <v>97.64</v>
      </c>
      <c r="L22" s="27">
        <v>129.24</v>
      </c>
      <c r="M22" s="27"/>
      <c r="N22" s="27">
        <v>155.25</v>
      </c>
    </row>
    <row r="23" spans="2:14" x14ac:dyDescent="0.3">
      <c r="B23" s="27" t="s">
        <v>302</v>
      </c>
      <c r="C23" s="27">
        <v>192.47</v>
      </c>
      <c r="D23" s="27">
        <v>195.79</v>
      </c>
      <c r="E23" s="27">
        <v>196.56</v>
      </c>
      <c r="F23" s="27">
        <v>68.83</v>
      </c>
      <c r="G23" s="27">
        <v>70.790000000000006</v>
      </c>
      <c r="H23" s="27">
        <v>70.89</v>
      </c>
      <c r="I23" s="27">
        <v>69.62</v>
      </c>
      <c r="J23" s="27">
        <v>69.37</v>
      </c>
      <c r="K23" s="27">
        <v>65.14</v>
      </c>
      <c r="L23" s="27">
        <v>64.41</v>
      </c>
      <c r="M23" s="27"/>
      <c r="N23" s="27">
        <v>67.67</v>
      </c>
    </row>
    <row r="24" spans="2:14" x14ac:dyDescent="0.3">
      <c r="B24" s="27" t="s">
        <v>303</v>
      </c>
      <c r="C24" s="27">
        <v>1.17</v>
      </c>
      <c r="D24" s="27">
        <v>1.17</v>
      </c>
      <c r="E24" s="27">
        <v>1.17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/>
      <c r="N24" s="27">
        <v>0</v>
      </c>
    </row>
    <row r="25" spans="2:14" x14ac:dyDescent="0.3">
      <c r="B25" s="27" t="s">
        <v>304</v>
      </c>
      <c r="C25" s="27">
        <v>3.01</v>
      </c>
      <c r="D25" s="27">
        <v>3.52</v>
      </c>
      <c r="E25" s="27">
        <v>3.52</v>
      </c>
      <c r="F25" s="27">
        <v>2.67</v>
      </c>
      <c r="G25" s="27">
        <v>2.52</v>
      </c>
      <c r="H25" s="27">
        <v>2.4300000000000002</v>
      </c>
      <c r="I25" s="27">
        <v>20.45</v>
      </c>
      <c r="J25" s="27">
        <v>18.21</v>
      </c>
      <c r="K25" s="27">
        <v>19.079999999999998</v>
      </c>
      <c r="L25" s="27">
        <v>17.690000000000001</v>
      </c>
      <c r="M25" s="27"/>
      <c r="N25" s="27">
        <v>20.12</v>
      </c>
    </row>
    <row r="26" spans="2:14" x14ac:dyDescent="0.3">
      <c r="B26" s="27" t="s">
        <v>305</v>
      </c>
      <c r="C26" s="27">
        <v>5.25</v>
      </c>
      <c r="D26" s="27">
        <v>5.25</v>
      </c>
      <c r="E26" s="27">
        <v>5.25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</row>
    <row r="27" spans="2:14" x14ac:dyDescent="0.3">
      <c r="B27" s="27" t="s">
        <v>306</v>
      </c>
      <c r="C27" s="27">
        <v>53.63</v>
      </c>
      <c r="D27" s="27">
        <v>53.63</v>
      </c>
      <c r="E27" s="27">
        <v>53.63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/>
      <c r="N27" s="27">
        <v>0</v>
      </c>
    </row>
    <row r="28" spans="2:14" x14ac:dyDescent="0.3">
      <c r="B28" s="29" t="s">
        <v>307</v>
      </c>
      <c r="C28" s="29">
        <v>4903.16</v>
      </c>
      <c r="D28" s="29">
        <v>5008.9799999999996</v>
      </c>
      <c r="E28" s="29">
        <v>5117.3599999999997</v>
      </c>
      <c r="F28" s="29">
        <v>3095.12</v>
      </c>
      <c r="G28" s="29">
        <v>3358.43</v>
      </c>
      <c r="H28" s="29">
        <v>3485.42</v>
      </c>
      <c r="I28" s="29">
        <v>3865.18</v>
      </c>
      <c r="J28" s="29">
        <v>3998.27</v>
      </c>
      <c r="K28" s="29">
        <v>5118.74</v>
      </c>
      <c r="L28" s="29">
        <v>5474</v>
      </c>
      <c r="M28" s="29"/>
      <c r="N28" s="29">
        <v>6333.68</v>
      </c>
    </row>
    <row r="29" spans="2:14" x14ac:dyDescent="0.3">
      <c r="B29" s="29" t="s">
        <v>308</v>
      </c>
      <c r="C29" s="29">
        <v>1533.85</v>
      </c>
      <c r="D29" s="29">
        <v>1832.34</v>
      </c>
      <c r="E29" s="29">
        <v>2219.5100000000002</v>
      </c>
      <c r="F29" s="29">
        <v>364.98</v>
      </c>
      <c r="G29" s="29">
        <v>742.25</v>
      </c>
      <c r="H29" s="29">
        <v>1084.8</v>
      </c>
      <c r="I29" s="29">
        <v>1523.73</v>
      </c>
      <c r="J29" s="29">
        <v>1818.86</v>
      </c>
      <c r="K29" s="29">
        <v>2124.0700000000002</v>
      </c>
      <c r="L29" s="29">
        <v>2430.3000000000002</v>
      </c>
      <c r="M29" s="29"/>
      <c r="N29" s="29">
        <v>2873.43</v>
      </c>
    </row>
    <row r="30" spans="2:14" x14ac:dyDescent="0.3">
      <c r="B30" s="29" t="s">
        <v>25</v>
      </c>
      <c r="C30" s="29">
        <f>C28-C29</f>
        <v>3369.31</v>
      </c>
      <c r="D30" s="29">
        <f t="shared" ref="D30:N30" si="0">D28-D29</f>
        <v>3176.6399999999994</v>
      </c>
      <c r="E30" s="29">
        <f t="shared" si="0"/>
        <v>2897.8499999999995</v>
      </c>
      <c r="F30" s="29">
        <f t="shared" si="0"/>
        <v>2730.14</v>
      </c>
      <c r="G30" s="29">
        <f t="shared" si="0"/>
        <v>2616.1799999999998</v>
      </c>
      <c r="H30" s="29">
        <f t="shared" si="0"/>
        <v>2400.62</v>
      </c>
      <c r="I30" s="29">
        <f t="shared" si="0"/>
        <v>2341.4499999999998</v>
      </c>
      <c r="J30" s="29">
        <f t="shared" si="0"/>
        <v>2179.41</v>
      </c>
      <c r="K30" s="29">
        <f t="shared" si="0"/>
        <v>2994.6699999999996</v>
      </c>
      <c r="L30" s="29">
        <f t="shared" si="0"/>
        <v>3043.7</v>
      </c>
      <c r="M30" s="29">
        <f t="shared" si="0"/>
        <v>0</v>
      </c>
      <c r="N30" s="29">
        <f t="shared" si="0"/>
        <v>3460.2500000000005</v>
      </c>
    </row>
    <row r="31" spans="2:14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2:14" x14ac:dyDescent="0.3">
      <c r="B32" s="29" t="s">
        <v>309</v>
      </c>
      <c r="C32" s="29">
        <v>295</v>
      </c>
      <c r="D32" s="29">
        <v>245</v>
      </c>
      <c r="E32" s="29">
        <v>231</v>
      </c>
      <c r="F32" s="29">
        <v>188</v>
      </c>
      <c r="G32" s="29">
        <v>94</v>
      </c>
      <c r="H32" s="29">
        <v>105</v>
      </c>
      <c r="I32" s="29">
        <v>143</v>
      </c>
      <c r="J32" s="29">
        <v>639</v>
      </c>
      <c r="K32" s="29">
        <v>246</v>
      </c>
      <c r="L32" s="29">
        <v>358</v>
      </c>
      <c r="M32" s="29">
        <v>358</v>
      </c>
      <c r="N32" s="29">
        <v>1742</v>
      </c>
    </row>
    <row r="33" spans="2:14" x14ac:dyDescent="0.3">
      <c r="B33" s="29" t="s">
        <v>27</v>
      </c>
      <c r="C33" s="29">
        <v>851</v>
      </c>
      <c r="D33" s="29">
        <v>812</v>
      </c>
      <c r="E33" s="29">
        <v>1325</v>
      </c>
      <c r="F33" s="29">
        <v>1756</v>
      </c>
      <c r="G33" s="29">
        <v>1979</v>
      </c>
      <c r="H33" s="29">
        <v>2658</v>
      </c>
      <c r="I33" s="29">
        <v>1751</v>
      </c>
      <c r="J33" s="29">
        <v>1464</v>
      </c>
      <c r="K33" s="29">
        <v>774</v>
      </c>
      <c r="L33" s="29">
        <v>778</v>
      </c>
      <c r="M33" s="29">
        <v>778</v>
      </c>
      <c r="N33" s="29">
        <v>464</v>
      </c>
    </row>
    <row r="34" spans="2:14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x14ac:dyDescent="0.3">
      <c r="B35" s="29" t="s">
        <v>310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2:14" x14ac:dyDescent="0.3">
      <c r="B36" s="27" t="s">
        <v>311</v>
      </c>
      <c r="C36" s="27">
        <v>736</v>
      </c>
      <c r="D36" s="27">
        <v>844</v>
      </c>
      <c r="E36" s="27">
        <v>821</v>
      </c>
      <c r="F36" s="27">
        <v>940</v>
      </c>
      <c r="G36" s="27">
        <v>902</v>
      </c>
      <c r="H36" s="27">
        <v>966</v>
      </c>
      <c r="I36" s="27">
        <v>1283</v>
      </c>
      <c r="J36" s="27">
        <v>1416</v>
      </c>
      <c r="K36" s="27">
        <v>1593</v>
      </c>
      <c r="L36" s="27">
        <v>1929</v>
      </c>
      <c r="M36" s="27">
        <v>1929</v>
      </c>
      <c r="N36" s="27">
        <v>2089</v>
      </c>
    </row>
    <row r="37" spans="2:14" x14ac:dyDescent="0.3">
      <c r="B37" s="27" t="s">
        <v>312</v>
      </c>
      <c r="C37" s="27">
        <v>84</v>
      </c>
      <c r="D37" s="27">
        <v>99</v>
      </c>
      <c r="E37" s="27">
        <v>78</v>
      </c>
      <c r="F37" s="27">
        <v>98</v>
      </c>
      <c r="G37" s="27">
        <v>89</v>
      </c>
      <c r="H37" s="27">
        <v>125</v>
      </c>
      <c r="I37" s="27">
        <v>124</v>
      </c>
      <c r="J37" s="27">
        <v>165</v>
      </c>
      <c r="K37" s="27">
        <v>166</v>
      </c>
      <c r="L37" s="27">
        <v>192</v>
      </c>
      <c r="M37" s="27">
        <v>192</v>
      </c>
      <c r="N37" s="27">
        <v>300</v>
      </c>
    </row>
    <row r="38" spans="2:14" x14ac:dyDescent="0.3">
      <c r="B38" s="27" t="s">
        <v>313</v>
      </c>
      <c r="C38" s="27">
        <v>749</v>
      </c>
      <c r="D38" s="27">
        <v>446</v>
      </c>
      <c r="E38" s="27">
        <v>500</v>
      </c>
      <c r="F38" s="27">
        <v>880</v>
      </c>
      <c r="G38" s="27">
        <v>1457</v>
      </c>
      <c r="H38" s="27">
        <v>1610</v>
      </c>
      <c r="I38" s="27">
        <v>1308</v>
      </c>
      <c r="J38" s="27">
        <v>1770</v>
      </c>
      <c r="K38" s="27">
        <v>735</v>
      </c>
      <c r="L38" s="27">
        <v>946</v>
      </c>
      <c r="M38" s="27">
        <v>946</v>
      </c>
      <c r="N38" s="27">
        <v>779</v>
      </c>
    </row>
    <row r="39" spans="2:14" x14ac:dyDescent="0.3">
      <c r="B39" s="27" t="s">
        <v>314</v>
      </c>
      <c r="C39" s="27">
        <v>30</v>
      </c>
      <c r="D39" s="27">
        <v>16</v>
      </c>
      <c r="E39" s="27">
        <v>61</v>
      </c>
      <c r="F39" s="27">
        <v>21</v>
      </c>
      <c r="G39" s="27">
        <v>43</v>
      </c>
      <c r="H39" s="27">
        <v>48</v>
      </c>
      <c r="I39" s="27">
        <v>35</v>
      </c>
      <c r="J39" s="27">
        <v>47</v>
      </c>
      <c r="K39" s="27">
        <v>93</v>
      </c>
      <c r="L39" s="27">
        <v>68</v>
      </c>
      <c r="M39" s="27">
        <v>66</v>
      </c>
      <c r="N39" s="27">
        <v>76</v>
      </c>
    </row>
    <row r="40" spans="2:14" x14ac:dyDescent="0.3">
      <c r="B40" s="27" t="s">
        <v>315</v>
      </c>
      <c r="C40" s="27">
        <v>200</v>
      </c>
      <c r="D40" s="27">
        <v>181</v>
      </c>
      <c r="E40" s="27">
        <v>173</v>
      </c>
      <c r="F40" s="27">
        <v>197</v>
      </c>
      <c r="G40" s="27">
        <v>182</v>
      </c>
      <c r="H40" s="27">
        <v>175</v>
      </c>
      <c r="I40" s="27">
        <v>186</v>
      </c>
      <c r="J40" s="27">
        <v>219</v>
      </c>
      <c r="K40" s="27">
        <v>1632</v>
      </c>
      <c r="L40" s="27">
        <v>1665</v>
      </c>
      <c r="M40" s="27">
        <v>1667</v>
      </c>
      <c r="N40" s="27">
        <v>1613</v>
      </c>
    </row>
    <row r="41" spans="2:14" x14ac:dyDescent="0.3">
      <c r="B41" s="29" t="s">
        <v>79</v>
      </c>
      <c r="C41" s="29">
        <v>6314</v>
      </c>
      <c r="D41" s="29">
        <v>5820</v>
      </c>
      <c r="E41" s="29">
        <v>6086</v>
      </c>
      <c r="F41" s="29">
        <v>6810</v>
      </c>
      <c r="G41" s="29">
        <v>7363</v>
      </c>
      <c r="H41" s="29">
        <v>8088</v>
      </c>
      <c r="I41" s="29">
        <v>7173</v>
      </c>
      <c r="J41" s="29">
        <v>7900</v>
      </c>
      <c r="K41" s="29">
        <v>8234</v>
      </c>
      <c r="L41" s="29">
        <v>8979</v>
      </c>
      <c r="M41" s="29">
        <v>8979</v>
      </c>
      <c r="N41" s="29">
        <v>10523</v>
      </c>
    </row>
    <row r="44" spans="2:14" x14ac:dyDescent="0.3">
      <c r="B44" s="92" t="s">
        <v>92</v>
      </c>
      <c r="C44" s="93">
        <v>-345</v>
      </c>
      <c r="D44" s="93">
        <v>-415</v>
      </c>
      <c r="E44" s="93">
        <v>-151</v>
      </c>
      <c r="F44" s="93">
        <v>-207</v>
      </c>
      <c r="G44" s="93">
        <v>-199</v>
      </c>
      <c r="H44" s="93">
        <v>-166</v>
      </c>
      <c r="I44" s="93">
        <v>-155</v>
      </c>
      <c r="J44" s="93">
        <v>-478</v>
      </c>
      <c r="K44" s="93">
        <v>-735</v>
      </c>
      <c r="L44" s="93">
        <v>-550</v>
      </c>
      <c r="M44" s="94">
        <v>-1371</v>
      </c>
      <c r="N44" s="94">
        <v>-1883</v>
      </c>
    </row>
    <row r="45" spans="2:14" x14ac:dyDescent="0.3">
      <c r="B45" s="92" t="s">
        <v>93</v>
      </c>
      <c r="C45" s="93">
        <v>17</v>
      </c>
      <c r="D45" s="93">
        <v>10</v>
      </c>
      <c r="E45" s="93">
        <v>1</v>
      </c>
      <c r="F45" s="93">
        <v>94</v>
      </c>
      <c r="G45" s="93">
        <v>3</v>
      </c>
      <c r="H45" s="93">
        <v>3</v>
      </c>
      <c r="I45" s="93">
        <v>2</v>
      </c>
      <c r="J45" s="93">
        <v>4</v>
      </c>
      <c r="K45" s="93">
        <v>4</v>
      </c>
      <c r="L45" s="93">
        <v>9</v>
      </c>
      <c r="M45" s="93">
        <v>7</v>
      </c>
      <c r="N45" s="93">
        <v>4</v>
      </c>
    </row>
    <row r="46" spans="2:14" x14ac:dyDescent="0.3">
      <c r="B46" s="24" t="s">
        <v>326</v>
      </c>
      <c r="C46" s="24">
        <f>SUM(C44:C45)</f>
        <v>-328</v>
      </c>
      <c r="D46" s="24">
        <f t="shared" ref="D46:M46" si="1">SUM(D44:D45)</f>
        <v>-405</v>
      </c>
      <c r="E46" s="24">
        <f t="shared" si="1"/>
        <v>-150</v>
      </c>
      <c r="F46" s="24">
        <f t="shared" si="1"/>
        <v>-113</v>
      </c>
      <c r="G46" s="24">
        <f t="shared" si="1"/>
        <v>-196</v>
      </c>
      <c r="H46" s="24">
        <f t="shared" si="1"/>
        <v>-163</v>
      </c>
      <c r="I46" s="24">
        <f t="shared" si="1"/>
        <v>-153</v>
      </c>
      <c r="J46" s="24">
        <f t="shared" si="1"/>
        <v>-474</v>
      </c>
      <c r="K46" s="24">
        <f t="shared" si="1"/>
        <v>-731</v>
      </c>
      <c r="L46" s="24">
        <f t="shared" si="1"/>
        <v>-541</v>
      </c>
      <c r="M46" s="24">
        <f t="shared" si="1"/>
        <v>-1364</v>
      </c>
      <c r="N46" s="24">
        <f>SUM(N44:N45)</f>
        <v>-1879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DBB5-4CFB-4A7D-935A-F311A038DC57}">
  <dimension ref="A2:G65"/>
  <sheetViews>
    <sheetView showGridLines="0" zoomScale="107" zoomScaleNormal="107" workbookViewId="0">
      <selection activeCell="S64" sqref="S64"/>
    </sheetView>
  </sheetViews>
  <sheetFormatPr defaultRowHeight="14.4" outlineLevelRow="1" x14ac:dyDescent="0.3"/>
  <cols>
    <col min="1" max="1" width="1.88671875" customWidth="1"/>
    <col min="2" max="2" width="24.88671875" customWidth="1"/>
    <col min="3" max="3" width="10.88671875" bestFit="1" customWidth="1"/>
    <col min="4" max="5" width="11.88671875" customWidth="1"/>
    <col min="6" max="6" width="11.77734375" customWidth="1"/>
    <col min="7" max="7" width="10.88671875" customWidth="1"/>
  </cols>
  <sheetData>
    <row r="2" spans="1:7" x14ac:dyDescent="0.3">
      <c r="A2" t="s">
        <v>50</v>
      </c>
      <c r="B2" s="127" t="s">
        <v>318</v>
      </c>
      <c r="C2" s="127"/>
      <c r="D2" s="127"/>
      <c r="E2" s="127"/>
      <c r="F2" s="127"/>
      <c r="G2" s="127"/>
    </row>
    <row r="3" spans="1:7" ht="6" customHeight="1" x14ac:dyDescent="0.3"/>
    <row r="4" spans="1:7" x14ac:dyDescent="0.3">
      <c r="B4" s="12" t="s">
        <v>48</v>
      </c>
      <c r="C4" s="88">
        <v>44166</v>
      </c>
      <c r="D4" s="88">
        <v>44531</v>
      </c>
      <c r="E4" s="88">
        <v>44896</v>
      </c>
      <c r="F4" s="88">
        <v>45261</v>
      </c>
      <c r="G4" s="88">
        <v>45352</v>
      </c>
    </row>
    <row r="5" spans="1:7" ht="6" customHeight="1" outlineLevel="1" x14ac:dyDescent="0.3"/>
    <row r="6" spans="1:7" outlineLevel="1" x14ac:dyDescent="0.3">
      <c r="B6" s="24" t="s">
        <v>316</v>
      </c>
    </row>
    <row r="7" spans="1:7" outlineLevel="1" x14ac:dyDescent="0.3">
      <c r="B7" s="90" t="str">
        <f>'Intrinsic Growth Data'!B36</f>
        <v>Inventories</v>
      </c>
      <c r="C7" s="90">
        <f>'Intrinsic Growth Data'!J36</f>
        <v>1416</v>
      </c>
      <c r="D7" s="90">
        <f>'Intrinsic Growth Data'!K36</f>
        <v>1593</v>
      </c>
      <c r="E7" s="90">
        <f>'Intrinsic Growth Data'!L36</f>
        <v>1929</v>
      </c>
      <c r="F7" s="90">
        <f>'Intrinsic Growth Data'!M36</f>
        <v>1929</v>
      </c>
      <c r="G7" s="90">
        <f>'Intrinsic Growth Data'!N36</f>
        <v>2089</v>
      </c>
    </row>
    <row r="8" spans="1:7" outlineLevel="1" x14ac:dyDescent="0.3">
      <c r="B8" s="90" t="str">
        <f>'Intrinsic Growth Data'!B37</f>
        <v>Trade receivables</v>
      </c>
      <c r="C8" s="90">
        <f>'Intrinsic Growth Data'!J37</f>
        <v>165</v>
      </c>
      <c r="D8" s="90">
        <f>'Intrinsic Growth Data'!K37</f>
        <v>166</v>
      </c>
      <c r="E8" s="90">
        <f>'Intrinsic Growth Data'!L37</f>
        <v>192</v>
      </c>
      <c r="F8" s="90">
        <f>'Intrinsic Growth Data'!M37</f>
        <v>192</v>
      </c>
      <c r="G8" s="90">
        <f>'Intrinsic Growth Data'!N37</f>
        <v>300</v>
      </c>
    </row>
    <row r="9" spans="1:7" outlineLevel="1" x14ac:dyDescent="0.3">
      <c r="B9" s="90" t="str">
        <f>'Intrinsic Growth Data'!B39</f>
        <v>Loans n Advances</v>
      </c>
      <c r="C9" s="90">
        <f>'Intrinsic Growth Data'!J39</f>
        <v>47</v>
      </c>
      <c r="D9" s="90">
        <f>'Intrinsic Growth Data'!K39</f>
        <v>93</v>
      </c>
      <c r="E9" s="90">
        <f>'Intrinsic Growth Data'!L39</f>
        <v>68</v>
      </c>
      <c r="F9" s="90">
        <f>'Intrinsic Growth Data'!M39</f>
        <v>66</v>
      </c>
      <c r="G9" s="90">
        <f>'Intrinsic Growth Data'!N39</f>
        <v>76</v>
      </c>
    </row>
    <row r="10" spans="1:7" outlineLevel="1" x14ac:dyDescent="0.3">
      <c r="B10" s="90" t="str">
        <f>'Intrinsic Growth Data'!B40</f>
        <v>Other asset items</v>
      </c>
      <c r="C10" s="90">
        <f>'Intrinsic Growth Data'!J40</f>
        <v>219</v>
      </c>
      <c r="D10" s="90">
        <f>'Intrinsic Growth Data'!K40</f>
        <v>1632</v>
      </c>
      <c r="E10" s="90">
        <f>'Intrinsic Growth Data'!L40</f>
        <v>1665</v>
      </c>
      <c r="F10" s="90">
        <f>'Intrinsic Growth Data'!M40</f>
        <v>1667</v>
      </c>
      <c r="G10" s="90">
        <f>'Intrinsic Growth Data'!N40</f>
        <v>1613</v>
      </c>
    </row>
    <row r="11" spans="1:7" outlineLevel="1" x14ac:dyDescent="0.3">
      <c r="B11" s="91" t="s">
        <v>78</v>
      </c>
      <c r="C11" s="91">
        <f>SUM(C7:C10)</f>
        <v>1847</v>
      </c>
      <c r="D11" s="91">
        <f t="shared" ref="D11:G11" si="0">SUM(D7:D10)</f>
        <v>3484</v>
      </c>
      <c r="E11" s="91">
        <f t="shared" si="0"/>
        <v>3854</v>
      </c>
      <c r="F11" s="91">
        <f t="shared" si="0"/>
        <v>3854</v>
      </c>
      <c r="G11" s="91">
        <f t="shared" si="0"/>
        <v>4078</v>
      </c>
    </row>
    <row r="12" spans="1:7" outlineLevel="1" x14ac:dyDescent="0.3">
      <c r="B12" s="90"/>
      <c r="C12" s="90"/>
      <c r="D12" s="90"/>
      <c r="E12" s="90"/>
      <c r="F12" s="90"/>
      <c r="G12" s="90"/>
    </row>
    <row r="13" spans="1:7" outlineLevel="1" x14ac:dyDescent="0.3">
      <c r="B13" s="91" t="s">
        <v>317</v>
      </c>
      <c r="C13" s="90"/>
      <c r="D13" s="90"/>
      <c r="E13" s="90"/>
      <c r="F13" s="90"/>
      <c r="G13" s="90"/>
    </row>
    <row r="14" spans="1:7" outlineLevel="1" x14ac:dyDescent="0.3">
      <c r="B14" s="90" t="str">
        <f>'Intrinsic Growth Data'!B12</f>
        <v>Trade Payables</v>
      </c>
      <c r="C14" s="90">
        <f>'Intrinsic Growth Data'!J12</f>
        <v>1517</v>
      </c>
      <c r="D14" s="90">
        <f>'Intrinsic Growth Data'!K12</f>
        <v>1748</v>
      </c>
      <c r="E14" s="90">
        <f>'Intrinsic Growth Data'!L12</f>
        <v>2121</v>
      </c>
      <c r="F14" s="90">
        <f>'Intrinsic Growth Data'!M12</f>
        <v>2121</v>
      </c>
      <c r="G14" s="90">
        <f>'Intrinsic Growth Data'!N12</f>
        <v>2812</v>
      </c>
    </row>
    <row r="15" spans="1:7" outlineLevel="1" x14ac:dyDescent="0.3">
      <c r="B15" s="90" t="str">
        <f>'Intrinsic Growth Data'!B13</f>
        <v>Advance from Customers</v>
      </c>
      <c r="C15" s="90">
        <f>'Intrinsic Growth Data'!J13</f>
        <v>53</v>
      </c>
      <c r="D15" s="90">
        <f>'Intrinsic Growth Data'!K13</f>
        <v>69</v>
      </c>
      <c r="E15" s="90">
        <f>'Intrinsic Growth Data'!L13</f>
        <v>114</v>
      </c>
      <c r="F15" s="90">
        <f>'Intrinsic Growth Data'!M13</f>
        <v>0</v>
      </c>
      <c r="G15" s="90">
        <f>'Intrinsic Growth Data'!N13</f>
        <v>16</v>
      </c>
    </row>
    <row r="16" spans="1:7" outlineLevel="1" x14ac:dyDescent="0.3">
      <c r="B16" s="90" t="str">
        <f>'Intrinsic Growth Data'!B14</f>
        <v>Other liability items</v>
      </c>
      <c r="C16" s="90">
        <f>'Intrinsic Growth Data'!J14</f>
        <v>4164</v>
      </c>
      <c r="D16" s="90">
        <f>'Intrinsic Growth Data'!K14</f>
        <v>4204</v>
      </c>
      <c r="E16" s="90">
        <f>'Intrinsic Growth Data'!L14</f>
        <v>4014</v>
      </c>
      <c r="F16" s="90">
        <f>'Intrinsic Growth Data'!M14</f>
        <v>4128</v>
      </c>
      <c r="G16" s="90">
        <f>'Intrinsic Growth Data'!N14</f>
        <v>4010</v>
      </c>
    </row>
    <row r="17" spans="2:7" outlineLevel="1" x14ac:dyDescent="0.3">
      <c r="B17" s="91" t="str">
        <f>'Intrinsic Growth Data'!B15</f>
        <v>Total Liabilities</v>
      </c>
      <c r="C17" s="91">
        <f>SUM(C14:C16)</f>
        <v>5734</v>
      </c>
      <c r="D17" s="91">
        <f t="shared" ref="D17:G17" si="1">SUM(D14:D16)</f>
        <v>6021</v>
      </c>
      <c r="E17" s="91">
        <f t="shared" si="1"/>
        <v>6249</v>
      </c>
      <c r="F17" s="91">
        <f t="shared" si="1"/>
        <v>6249</v>
      </c>
      <c r="G17" s="91">
        <f t="shared" si="1"/>
        <v>6838</v>
      </c>
    </row>
    <row r="18" spans="2:7" outlineLevel="1" x14ac:dyDescent="0.3">
      <c r="B18" s="90"/>
      <c r="C18" s="90"/>
      <c r="D18" s="90"/>
      <c r="E18" s="90"/>
      <c r="F18" s="90"/>
      <c r="G18" s="90"/>
    </row>
    <row r="19" spans="2:7" outlineLevel="1" x14ac:dyDescent="0.3">
      <c r="B19" s="91" t="s">
        <v>319</v>
      </c>
      <c r="C19" s="91">
        <f>C11-C17</f>
        <v>-3887</v>
      </c>
      <c r="D19" s="91">
        <f t="shared" ref="D19:G19" si="2">D11-D17</f>
        <v>-2537</v>
      </c>
      <c r="E19" s="91">
        <f t="shared" si="2"/>
        <v>-2395</v>
      </c>
      <c r="F19" s="91">
        <f t="shared" si="2"/>
        <v>-2395</v>
      </c>
      <c r="G19" s="91">
        <f t="shared" si="2"/>
        <v>-2760</v>
      </c>
    </row>
    <row r="20" spans="2:7" outlineLevel="1" x14ac:dyDescent="0.3">
      <c r="B20" s="90"/>
      <c r="C20" s="90"/>
      <c r="D20" s="90"/>
      <c r="E20" s="90"/>
      <c r="F20" s="90"/>
      <c r="G20" s="90"/>
    </row>
    <row r="21" spans="2:7" outlineLevel="1" x14ac:dyDescent="0.3">
      <c r="B21" s="91" t="s">
        <v>320</v>
      </c>
      <c r="C21" s="90"/>
      <c r="D21" s="90"/>
      <c r="E21" s="90"/>
      <c r="F21" s="90"/>
      <c r="G21" s="90"/>
    </row>
    <row r="22" spans="2:7" outlineLevel="1" x14ac:dyDescent="0.3">
      <c r="B22" s="90" t="str">
        <f>'Intrinsic Growth Data'!B18</f>
        <v>Land</v>
      </c>
      <c r="C22" s="90">
        <f>'Intrinsic Growth Data'!J18</f>
        <v>141.46</v>
      </c>
      <c r="D22" s="90">
        <f>'Intrinsic Growth Data'!K18</f>
        <v>141.57</v>
      </c>
      <c r="E22" s="90">
        <f>'Intrinsic Growth Data'!L18</f>
        <v>141.57</v>
      </c>
      <c r="F22" s="90">
        <f>'Intrinsic Growth Data'!M18</f>
        <v>0</v>
      </c>
      <c r="G22" s="90">
        <f>'Intrinsic Growth Data'!N18</f>
        <v>150.81</v>
      </c>
    </row>
    <row r="23" spans="2:7" outlineLevel="1" x14ac:dyDescent="0.3">
      <c r="B23" s="90" t="str">
        <f>'Intrinsic Growth Data'!B19</f>
        <v>Building</v>
      </c>
      <c r="C23" s="90">
        <f>'Intrinsic Growth Data'!J19</f>
        <v>1140.29</v>
      </c>
      <c r="D23" s="90">
        <f>'Intrinsic Growth Data'!K19</f>
        <v>1485.32</v>
      </c>
      <c r="E23" s="90">
        <f>'Intrinsic Growth Data'!L19</f>
        <v>1532.2</v>
      </c>
      <c r="F23" s="90">
        <f>'Intrinsic Growth Data'!M19</f>
        <v>0</v>
      </c>
      <c r="G23" s="90">
        <f>'Intrinsic Growth Data'!N19</f>
        <v>1820.81</v>
      </c>
    </row>
    <row r="24" spans="2:7" outlineLevel="1" x14ac:dyDescent="0.3">
      <c r="B24" s="90" t="str">
        <f>'Intrinsic Growth Data'!B20</f>
        <v>Plant Machinery</v>
      </c>
      <c r="C24" s="90">
        <f>'Intrinsic Growth Data'!J20</f>
        <v>2519.37</v>
      </c>
      <c r="D24" s="90">
        <f>'Intrinsic Growth Data'!K20</f>
        <v>3286.91</v>
      </c>
      <c r="E24" s="90">
        <f>'Intrinsic Growth Data'!L20</f>
        <v>3545.66</v>
      </c>
      <c r="F24" s="90">
        <f>'Intrinsic Growth Data'!M20</f>
        <v>0</v>
      </c>
      <c r="G24" s="90">
        <f>'Intrinsic Growth Data'!N20</f>
        <v>4068.09</v>
      </c>
    </row>
    <row r="25" spans="2:7" outlineLevel="1" x14ac:dyDescent="0.3">
      <c r="B25" s="90" t="str">
        <f>'Intrinsic Growth Data'!B21</f>
        <v>Equipments</v>
      </c>
      <c r="C25" s="90">
        <f>'Intrinsic Growth Data'!J21</f>
        <v>20.29</v>
      </c>
      <c r="D25" s="90">
        <f>'Intrinsic Growth Data'!K21</f>
        <v>23.08</v>
      </c>
      <c r="E25" s="90">
        <f>'Intrinsic Growth Data'!L21</f>
        <v>43.23</v>
      </c>
      <c r="F25" s="90">
        <f>'Intrinsic Growth Data'!M21</f>
        <v>0</v>
      </c>
      <c r="G25" s="90">
        <f>'Intrinsic Growth Data'!N21</f>
        <v>50.93</v>
      </c>
    </row>
    <row r="26" spans="2:7" outlineLevel="1" x14ac:dyDescent="0.3">
      <c r="B26" s="90" t="str">
        <f>'Intrinsic Growth Data'!B22</f>
        <v>Computers</v>
      </c>
      <c r="C26" s="90">
        <f>'Intrinsic Growth Data'!J22</f>
        <v>89.28</v>
      </c>
      <c r="D26" s="90">
        <f>'Intrinsic Growth Data'!K22</f>
        <v>97.64</v>
      </c>
      <c r="E26" s="90">
        <f>'Intrinsic Growth Data'!L22</f>
        <v>129.24</v>
      </c>
      <c r="F26" s="90">
        <f>'Intrinsic Growth Data'!M22</f>
        <v>0</v>
      </c>
      <c r="G26" s="90">
        <f>'Intrinsic Growth Data'!N22</f>
        <v>155.25</v>
      </c>
    </row>
    <row r="27" spans="2:7" outlineLevel="1" x14ac:dyDescent="0.3">
      <c r="B27" s="90" t="str">
        <f>'Intrinsic Growth Data'!B23</f>
        <v>Furniture n fittings</v>
      </c>
      <c r="C27" s="90">
        <f>'Intrinsic Growth Data'!J23</f>
        <v>69.37</v>
      </c>
      <c r="D27" s="90">
        <f>'Intrinsic Growth Data'!K23</f>
        <v>65.14</v>
      </c>
      <c r="E27" s="90">
        <f>'Intrinsic Growth Data'!L23</f>
        <v>64.41</v>
      </c>
      <c r="F27" s="90">
        <f>'Intrinsic Growth Data'!M23</f>
        <v>0</v>
      </c>
      <c r="G27" s="90">
        <f>'Intrinsic Growth Data'!N23</f>
        <v>67.67</v>
      </c>
    </row>
    <row r="28" spans="2:7" outlineLevel="1" x14ac:dyDescent="0.3">
      <c r="B28" s="90" t="str">
        <f>'Intrinsic Growth Data'!B25</f>
        <v>Vehicles</v>
      </c>
      <c r="C28" s="90">
        <f>'Intrinsic Growth Data'!J25</f>
        <v>18.21</v>
      </c>
      <c r="D28" s="90">
        <f>'Intrinsic Growth Data'!K25</f>
        <v>19.079999999999998</v>
      </c>
      <c r="E28" s="90">
        <f>'Intrinsic Growth Data'!L25</f>
        <v>17.690000000000001</v>
      </c>
      <c r="F28" s="90">
        <f>'Intrinsic Growth Data'!M25</f>
        <v>0</v>
      </c>
      <c r="G28" s="90">
        <f>'Intrinsic Growth Data'!N25</f>
        <v>20.12</v>
      </c>
    </row>
    <row r="29" spans="2:7" outlineLevel="1" x14ac:dyDescent="0.3">
      <c r="B29" s="90" t="str">
        <f>'Intrinsic Growth Data'!B27</f>
        <v>Other fixed assets</v>
      </c>
      <c r="C29" s="90">
        <f>'Intrinsic Growth Data'!J27</f>
        <v>0</v>
      </c>
      <c r="D29" s="90">
        <f>'Intrinsic Growth Data'!K27</f>
        <v>0</v>
      </c>
      <c r="E29" s="90">
        <f>'Intrinsic Growth Data'!L27</f>
        <v>0</v>
      </c>
      <c r="F29" s="90">
        <f>'Intrinsic Growth Data'!M27</f>
        <v>0</v>
      </c>
      <c r="G29" s="90">
        <f>'Intrinsic Growth Data'!N27</f>
        <v>0</v>
      </c>
    </row>
    <row r="30" spans="2:7" outlineLevel="1" x14ac:dyDescent="0.3">
      <c r="B30" s="91" t="s">
        <v>307</v>
      </c>
      <c r="C30" s="91">
        <f>SUM(C22:C29)</f>
        <v>3998.27</v>
      </c>
      <c r="D30" s="91">
        <f>SUM(D22:D29)</f>
        <v>5118.74</v>
      </c>
      <c r="E30" s="91">
        <f>SUM(E22:E29)</f>
        <v>5473.9999999999991</v>
      </c>
      <c r="F30" s="91">
        <f>SUM(F22:F29)</f>
        <v>0</v>
      </c>
      <c r="G30" s="91">
        <f>SUM(G22:G29)</f>
        <v>6333.68</v>
      </c>
    </row>
    <row r="31" spans="2:7" outlineLevel="1" x14ac:dyDescent="0.3">
      <c r="B31" s="91" t="str">
        <f>'Intrinsic Growth Data'!B29</f>
        <v>Accumulated Depreciation</v>
      </c>
      <c r="C31" s="91">
        <f>'Intrinsic Growth Data'!J29</f>
        <v>1818.86</v>
      </c>
      <c r="D31" s="91">
        <f>'Intrinsic Growth Data'!K29</f>
        <v>2124.0700000000002</v>
      </c>
      <c r="E31" s="91">
        <f>'Intrinsic Growth Data'!L29</f>
        <v>2430.3000000000002</v>
      </c>
      <c r="F31" s="91">
        <f>'Intrinsic Growth Data'!M29</f>
        <v>0</v>
      </c>
      <c r="G31" s="91">
        <f>'Intrinsic Growth Data'!N29</f>
        <v>2873.43</v>
      </c>
    </row>
    <row r="32" spans="2:7" outlineLevel="1" x14ac:dyDescent="0.3">
      <c r="B32" s="91" t="s">
        <v>321</v>
      </c>
      <c r="C32" s="91">
        <f>C30+C31</f>
        <v>5817.13</v>
      </c>
      <c r="D32" s="91">
        <f>D30+D31</f>
        <v>7242.8099999999995</v>
      </c>
      <c r="E32" s="91">
        <f>E30+E31</f>
        <v>7904.2999999999993</v>
      </c>
      <c r="F32" s="91">
        <f>F30+F31</f>
        <v>0</v>
      </c>
      <c r="G32" s="91">
        <f>G30+G31</f>
        <v>9207.11</v>
      </c>
    </row>
    <row r="33" spans="1:7" outlineLevel="1" x14ac:dyDescent="0.3">
      <c r="B33" s="90"/>
      <c r="C33" s="90"/>
      <c r="D33" s="90"/>
      <c r="E33" s="90"/>
      <c r="F33" s="90"/>
      <c r="G33" s="90"/>
    </row>
    <row r="34" spans="1:7" outlineLevel="1" x14ac:dyDescent="0.3">
      <c r="B34" s="91" t="s">
        <v>322</v>
      </c>
      <c r="C34" s="91">
        <f>C32+C19</f>
        <v>1930.13</v>
      </c>
      <c r="D34" s="91">
        <f>D32+D19</f>
        <v>4705.8099999999995</v>
      </c>
      <c r="E34" s="91">
        <f>E32+E19</f>
        <v>5509.2999999999993</v>
      </c>
      <c r="F34" s="91">
        <f>F32+F19</f>
        <v>-2395</v>
      </c>
      <c r="G34" s="91">
        <f>G32+G19</f>
        <v>6447.1100000000006</v>
      </c>
    </row>
    <row r="35" spans="1:7" outlineLevel="1" x14ac:dyDescent="0.3">
      <c r="B35" s="91" t="s">
        <v>323</v>
      </c>
      <c r="C35" s="91">
        <f>'Nestle Data'!H21</f>
        <v>2976.97</v>
      </c>
      <c r="D35" s="91">
        <f>'Nestle Data'!I21</f>
        <v>3059</v>
      </c>
      <c r="E35" s="91">
        <f>'Nestle Data'!J21</f>
        <v>3410.54</v>
      </c>
      <c r="F35" s="91">
        <f>'Nestle Data'!K21</f>
        <v>4157.58</v>
      </c>
      <c r="G35" s="91">
        <f>'Nestle Data'!L21</f>
        <v>5434.3600000000006</v>
      </c>
    </row>
    <row r="36" spans="1:7" outlineLevel="1" x14ac:dyDescent="0.3">
      <c r="B36" s="24" t="s">
        <v>324</v>
      </c>
      <c r="C36" s="89">
        <f>C35/C34</f>
        <v>1.5423676125442325</v>
      </c>
      <c r="D36" s="89">
        <f t="shared" ref="D36:G36" si="3">D35/D34</f>
        <v>0.65004749448022769</v>
      </c>
      <c r="E36" s="89">
        <f t="shared" si="3"/>
        <v>0.61905142214074393</v>
      </c>
      <c r="F36" s="89">
        <f t="shared" si="3"/>
        <v>-1.7359415448851774</v>
      </c>
      <c r="G36" s="89">
        <f t="shared" si="3"/>
        <v>0.84291411190440368</v>
      </c>
    </row>
    <row r="38" spans="1:7" x14ac:dyDescent="0.3">
      <c r="A38" t="s">
        <v>50</v>
      </c>
      <c r="B38" s="127" t="s">
        <v>325</v>
      </c>
      <c r="C38" s="127"/>
      <c r="D38" s="127"/>
      <c r="E38" s="127"/>
      <c r="F38" s="127"/>
      <c r="G38" s="127"/>
    </row>
    <row r="39" spans="1:7" ht="6" customHeight="1" x14ac:dyDescent="0.3"/>
    <row r="40" spans="1:7" x14ac:dyDescent="0.3">
      <c r="B40" s="12" t="s">
        <v>48</v>
      </c>
      <c r="C40" s="88">
        <v>44166</v>
      </c>
      <c r="D40" s="88">
        <v>44531</v>
      </c>
      <c r="E40" s="88">
        <v>44896</v>
      </c>
      <c r="F40" s="88">
        <v>45261</v>
      </c>
      <c r="G40" s="88">
        <v>45352</v>
      </c>
    </row>
    <row r="42" spans="1:7" outlineLevel="1" x14ac:dyDescent="0.3">
      <c r="B42" t="s">
        <v>326</v>
      </c>
      <c r="C42">
        <f>-'Intrinsic Growth Data'!J46</f>
        <v>474</v>
      </c>
      <c r="D42">
        <f>-'Intrinsic Growth Data'!K46</f>
        <v>731</v>
      </c>
      <c r="E42">
        <f>-'Intrinsic Growth Data'!L46</f>
        <v>541</v>
      </c>
      <c r="F42">
        <f>-'Intrinsic Growth Data'!M46</f>
        <v>1364</v>
      </c>
      <c r="G42">
        <f>-'Intrinsic Growth Data'!N46</f>
        <v>1879</v>
      </c>
    </row>
    <row r="43" spans="1:7" outlineLevel="1" x14ac:dyDescent="0.3">
      <c r="B43" t="s">
        <v>327</v>
      </c>
      <c r="D43" s="21">
        <f>D19-C19</f>
        <v>1350</v>
      </c>
      <c r="E43" s="21">
        <f t="shared" ref="E43:G43" si="4">E19-D19</f>
        <v>142</v>
      </c>
      <c r="F43" s="91">
        <f t="shared" si="4"/>
        <v>0</v>
      </c>
      <c r="G43" s="21">
        <f t="shared" si="4"/>
        <v>-365</v>
      </c>
    </row>
    <row r="44" spans="1:7" outlineLevel="1" x14ac:dyDescent="0.3">
      <c r="D44" s="21"/>
      <c r="E44" s="21"/>
      <c r="F44" s="21"/>
      <c r="G44" s="21"/>
    </row>
    <row r="45" spans="1:7" outlineLevel="1" x14ac:dyDescent="0.3">
      <c r="B45" t="s">
        <v>323</v>
      </c>
      <c r="C45" s="90">
        <f>C35</f>
        <v>2976.97</v>
      </c>
      <c r="D45" s="90">
        <f t="shared" ref="D45:G45" si="5">D35</f>
        <v>3059</v>
      </c>
      <c r="E45" s="90">
        <f t="shared" si="5"/>
        <v>3410.54</v>
      </c>
      <c r="F45" s="90">
        <f t="shared" si="5"/>
        <v>4157.58</v>
      </c>
      <c r="G45" s="90">
        <f t="shared" si="5"/>
        <v>5434.3600000000006</v>
      </c>
    </row>
    <row r="46" spans="1:7" outlineLevel="1" x14ac:dyDescent="0.3">
      <c r="B46" t="s">
        <v>328</v>
      </c>
      <c r="C46" s="32">
        <v>0.3</v>
      </c>
      <c r="D46" s="32">
        <v>0.3</v>
      </c>
      <c r="E46" s="32">
        <v>0.3</v>
      </c>
      <c r="F46" s="32">
        <v>0.3</v>
      </c>
      <c r="G46" s="32">
        <v>0.3</v>
      </c>
    </row>
    <row r="47" spans="1:7" outlineLevel="1" x14ac:dyDescent="0.3">
      <c r="C47" s="32"/>
      <c r="D47" s="32"/>
      <c r="E47" s="32"/>
      <c r="F47" s="32"/>
      <c r="G47" s="32"/>
    </row>
    <row r="48" spans="1:7" outlineLevel="1" x14ac:dyDescent="0.3">
      <c r="B48" t="s">
        <v>329</v>
      </c>
      <c r="C48" s="21">
        <f>C45*(1-C46)</f>
        <v>2083.8789999999999</v>
      </c>
      <c r="D48" s="21">
        <f t="shared" ref="D48:G48" si="6">D45*(1-D46)</f>
        <v>2141.2999999999997</v>
      </c>
      <c r="E48" s="21">
        <f t="shared" si="6"/>
        <v>2387.3779999999997</v>
      </c>
      <c r="F48" s="21">
        <f t="shared" si="6"/>
        <v>2910.3059999999996</v>
      </c>
      <c r="G48" s="21">
        <f t="shared" si="6"/>
        <v>3804.0520000000001</v>
      </c>
    </row>
    <row r="49" spans="1:7" outlineLevel="1" x14ac:dyDescent="0.3">
      <c r="C49" s="21"/>
      <c r="D49" s="21"/>
      <c r="E49" s="21"/>
      <c r="F49" s="21"/>
      <c r="G49" s="21"/>
    </row>
    <row r="50" spans="1:7" outlineLevel="1" x14ac:dyDescent="0.3">
      <c r="B50" t="s">
        <v>330</v>
      </c>
      <c r="D50" s="21">
        <f>SUM(D42:D43)</f>
        <v>2081</v>
      </c>
      <c r="E50" s="21">
        <f t="shared" ref="E50:G50" si="7">SUM(E42:E43)</f>
        <v>683</v>
      </c>
      <c r="F50" s="21">
        <f t="shared" si="7"/>
        <v>1364</v>
      </c>
      <c r="G50" s="21">
        <f t="shared" si="7"/>
        <v>1514</v>
      </c>
    </row>
    <row r="51" spans="1:7" outlineLevel="1" x14ac:dyDescent="0.3">
      <c r="B51" s="24" t="s">
        <v>331</v>
      </c>
      <c r="C51" s="24"/>
      <c r="D51" s="89">
        <f>D50/D48</f>
        <v>0.97183953673002399</v>
      </c>
      <c r="E51" s="89">
        <f t="shared" ref="E51:G51" si="8">E50/E48</f>
        <v>0.28608791737211287</v>
      </c>
      <c r="F51" s="89">
        <f t="shared" si="8"/>
        <v>0.46867923854055216</v>
      </c>
      <c r="G51" s="89">
        <f t="shared" si="8"/>
        <v>0.39799666250619076</v>
      </c>
    </row>
    <row r="52" spans="1:7" outlineLevel="1" x14ac:dyDescent="0.3"/>
    <row r="53" spans="1:7" outlineLevel="1" x14ac:dyDescent="0.3">
      <c r="B53" s="24" t="s">
        <v>333</v>
      </c>
      <c r="C53" s="24"/>
      <c r="D53" s="83">
        <f>AVERAGE(D51:G51)</f>
        <v>0.53115083878721991</v>
      </c>
    </row>
    <row r="54" spans="1:7" outlineLevel="1" x14ac:dyDescent="0.3">
      <c r="B54" s="24" t="s">
        <v>332</v>
      </c>
      <c r="C54" s="24"/>
      <c r="D54" s="83">
        <f>MEDIAN(D51:G51)</f>
        <v>0.43333795052337143</v>
      </c>
    </row>
    <row r="56" spans="1:7" x14ac:dyDescent="0.3">
      <c r="A56" t="s">
        <v>50</v>
      </c>
      <c r="B56" s="127" t="s">
        <v>334</v>
      </c>
      <c r="C56" s="127"/>
      <c r="D56" s="127"/>
      <c r="E56" s="127"/>
      <c r="F56" s="127"/>
      <c r="G56" s="127"/>
    </row>
    <row r="57" spans="1:7" ht="7.2" customHeight="1" x14ac:dyDescent="0.3"/>
    <row r="58" spans="1:7" x14ac:dyDescent="0.3">
      <c r="B58" s="12" t="s">
        <v>48</v>
      </c>
      <c r="C58" s="88">
        <v>44166</v>
      </c>
      <c r="D58" s="88">
        <v>44531</v>
      </c>
      <c r="E58" s="88">
        <v>44896</v>
      </c>
      <c r="F58" s="88">
        <v>45261</v>
      </c>
      <c r="G58" s="88">
        <v>45352</v>
      </c>
    </row>
    <row r="59" spans="1:7" ht="6" customHeight="1" x14ac:dyDescent="0.3"/>
    <row r="60" spans="1:7" outlineLevel="1" x14ac:dyDescent="0.3">
      <c r="B60" t="s">
        <v>331</v>
      </c>
      <c r="D60" s="32">
        <f>D51</f>
        <v>0.97183953673002399</v>
      </c>
      <c r="E60" s="32">
        <f t="shared" ref="E60:G60" si="9">E51</f>
        <v>0.28608791737211287</v>
      </c>
      <c r="F60" s="32">
        <f t="shared" si="9"/>
        <v>0.46867923854055216</v>
      </c>
      <c r="G60" s="32">
        <f t="shared" si="9"/>
        <v>0.39799666250619076</v>
      </c>
    </row>
    <row r="61" spans="1:7" outlineLevel="1" x14ac:dyDescent="0.3">
      <c r="B61" t="s">
        <v>324</v>
      </c>
      <c r="C61" s="32"/>
      <c r="D61" s="32">
        <f t="shared" ref="D61:G61" si="10">D36</f>
        <v>0.65004749448022769</v>
      </c>
      <c r="E61" s="32">
        <f t="shared" si="10"/>
        <v>0.61905142214074393</v>
      </c>
      <c r="F61" s="32">
        <f t="shared" si="10"/>
        <v>-1.7359415448851774</v>
      </c>
      <c r="G61" s="32">
        <f t="shared" si="10"/>
        <v>0.84291411190440368</v>
      </c>
    </row>
    <row r="62" spans="1:7" outlineLevel="1" x14ac:dyDescent="0.3">
      <c r="B62" s="24" t="s">
        <v>335</v>
      </c>
      <c r="C62" s="24"/>
      <c r="D62" s="83">
        <f>D60*D61</f>
        <v>0.63174185588817733</v>
      </c>
      <c r="E62" s="83">
        <f t="shared" ref="E62:G62" si="11">E60*E61</f>
        <v>0.17710313210649012</v>
      </c>
      <c r="F62" s="83">
        <f t="shared" si="11"/>
        <v>-0.81359976140769463</v>
      </c>
      <c r="G62" s="83">
        <f t="shared" si="11"/>
        <v>0.33547700331732244</v>
      </c>
    </row>
    <row r="63" spans="1:7" outlineLevel="1" x14ac:dyDescent="0.3"/>
    <row r="64" spans="1:7" outlineLevel="1" x14ac:dyDescent="0.3">
      <c r="B64" s="24" t="s">
        <v>333</v>
      </c>
      <c r="C64" s="24"/>
      <c r="D64" s="83">
        <f>AVERAGE(D62:G62)</f>
        <v>8.2680557476073807E-2</v>
      </c>
    </row>
    <row r="65" spans="2:4" outlineLevel="1" x14ac:dyDescent="0.3">
      <c r="B65" s="24" t="s">
        <v>332</v>
      </c>
      <c r="C65" s="24"/>
      <c r="D65" s="83">
        <f>MEDIAN(D62:G62)</f>
        <v>0.25629006771190627</v>
      </c>
    </row>
  </sheetData>
  <mergeCells count="3">
    <mergeCell ref="B2:G2"/>
    <mergeCell ref="B38:G38"/>
    <mergeCell ref="B56:G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BDD0-F658-4D9C-B3D7-521D4393185B}">
  <dimension ref="B2:K40"/>
  <sheetViews>
    <sheetView showGridLines="0" topLeftCell="A3" workbookViewId="0">
      <selection activeCell="H19" sqref="H19"/>
    </sheetView>
  </sheetViews>
  <sheetFormatPr defaultRowHeight="14.4" x14ac:dyDescent="0.3"/>
  <cols>
    <col min="1" max="1" width="1.88671875" customWidth="1"/>
    <col min="2" max="2" width="30.109375" customWidth="1"/>
    <col min="3" max="3" width="10.88671875" customWidth="1"/>
    <col min="6" max="6" width="14.33203125" customWidth="1"/>
    <col min="7" max="7" width="11.6640625" customWidth="1"/>
    <col min="8" max="8" width="10.6640625" customWidth="1"/>
    <col min="9" max="9" width="11" customWidth="1"/>
    <col min="10" max="10" width="10.21875" customWidth="1"/>
  </cols>
  <sheetData>
    <row r="2" spans="2:9" x14ac:dyDescent="0.3">
      <c r="B2" s="12" t="s">
        <v>336</v>
      </c>
      <c r="C2" s="13">
        <f>'Intrinsic Growth'!G4</f>
        <v>45352</v>
      </c>
      <c r="D2" s="13">
        <f>C2+365</f>
        <v>45717</v>
      </c>
      <c r="E2" s="13">
        <f>D2+365</f>
        <v>46082</v>
      </c>
      <c r="F2" s="13">
        <f>E2+365</f>
        <v>46447</v>
      </c>
      <c r="G2" s="13">
        <f>F2+366</f>
        <v>46813</v>
      </c>
    </row>
    <row r="3" spans="2:9" x14ac:dyDescent="0.3">
      <c r="C3" s="96"/>
    </row>
    <row r="4" spans="2:9" x14ac:dyDescent="0.3">
      <c r="B4" t="s">
        <v>323</v>
      </c>
      <c r="C4" s="107">
        <f>'Intrinsic Growth'!G35</f>
        <v>5434.3600000000006</v>
      </c>
      <c r="D4" s="106">
        <f>C4*(1+$C$14)</f>
        <v>6827.1324923708753</v>
      </c>
      <c r="E4" s="106">
        <f>D4*(1+$C$14)</f>
        <v>8576.8587411187618</v>
      </c>
      <c r="F4" s="106">
        <f>E4*(1+$C$14)</f>
        <v>10775.022448635544</v>
      </c>
      <c r="G4" s="106">
        <f>F4*(1+$C$14)</f>
        <v>13536.553681593658</v>
      </c>
    </row>
    <row r="5" spans="2:9" x14ac:dyDescent="0.3">
      <c r="B5" t="s">
        <v>173</v>
      </c>
      <c r="C5" s="99">
        <v>0.3</v>
      </c>
      <c r="D5" s="98">
        <v>0.3</v>
      </c>
      <c r="E5" s="98">
        <v>0.3</v>
      </c>
      <c r="F5" s="98">
        <v>0.3</v>
      </c>
      <c r="G5" s="98">
        <v>0.3</v>
      </c>
    </row>
    <row r="6" spans="2:9" x14ac:dyDescent="0.3">
      <c r="B6" t="s">
        <v>337</v>
      </c>
      <c r="C6" s="107">
        <f>C4*(1-C5)</f>
        <v>3804.0520000000001</v>
      </c>
      <c r="D6" s="106">
        <f>D4*(1-D5)</f>
        <v>4778.9927446596121</v>
      </c>
      <c r="E6" s="106">
        <f>E4*(1-E5)</f>
        <v>6003.8011187831326</v>
      </c>
      <c r="F6" s="106">
        <f>F4*(1-F5)</f>
        <v>7542.51571404488</v>
      </c>
      <c r="G6" s="106">
        <f>G4*(1-G5)</f>
        <v>9475.5875771155588</v>
      </c>
    </row>
    <row r="7" spans="2:9" x14ac:dyDescent="0.3">
      <c r="B7" t="s">
        <v>338</v>
      </c>
      <c r="C7" s="97">
        <f>'Intrinsic Growth'!D54</f>
        <v>0.43333795052337143</v>
      </c>
      <c r="D7" s="32">
        <f>C7</f>
        <v>0.43333795052337143</v>
      </c>
      <c r="E7" s="32">
        <f>D7</f>
        <v>0.43333795052337143</v>
      </c>
      <c r="F7" s="32">
        <f>E7</f>
        <v>0.43333795052337143</v>
      </c>
      <c r="G7" s="32">
        <f>F7</f>
        <v>0.43333795052337143</v>
      </c>
    </row>
    <row r="8" spans="2:9" x14ac:dyDescent="0.3">
      <c r="B8" t="s">
        <v>339</v>
      </c>
      <c r="C8" s="107">
        <f>C6*(1-C7)</f>
        <v>2155.6119026356678</v>
      </c>
      <c r="D8" s="106">
        <f>D6*(1-D7)</f>
        <v>2708.0738231227542</v>
      </c>
      <c r="E8" s="106">
        <f>E6*(1-E7)</f>
        <v>3402.1262466197254</v>
      </c>
      <c r="F8" s="106">
        <f>F6*(1-F7)</f>
        <v>4274.057412730348</v>
      </c>
      <c r="G8" s="106">
        <f>G6*(1-G7)</f>
        <v>5369.4558764435842</v>
      </c>
    </row>
    <row r="9" spans="2:9" x14ac:dyDescent="0.3">
      <c r="B9" t="s">
        <v>340</v>
      </c>
      <c r="C9" s="100">
        <v>0.5</v>
      </c>
      <c r="D9">
        <f>C9+1</f>
        <v>1.5</v>
      </c>
      <c r="E9">
        <f>D9+1</f>
        <v>2.5</v>
      </c>
      <c r="F9">
        <f t="shared" ref="F9:G9" si="0">E9+1</f>
        <v>3.5</v>
      </c>
      <c r="G9">
        <f t="shared" si="0"/>
        <v>4.5</v>
      </c>
      <c r="I9" s="126"/>
    </row>
    <row r="10" spans="2:9" x14ac:dyDescent="0.3">
      <c r="B10" t="s">
        <v>341</v>
      </c>
      <c r="C10" s="96"/>
      <c r="D10" s="101">
        <f>1/(1+$C$16)^D9</f>
        <v>0.84228293059653669</v>
      </c>
      <c r="E10" s="101">
        <f t="shared" ref="E10:G10" si="1">1/(1+$C$16)^E9</f>
        <v>0.75121341098833605</v>
      </c>
      <c r="F10" s="101">
        <f t="shared" si="1"/>
        <v>0.66999053209953674</v>
      </c>
      <c r="G10" s="101">
        <f t="shared" si="1"/>
        <v>0.5975496530505765</v>
      </c>
    </row>
    <row r="11" spans="2:9" ht="6" customHeight="1" x14ac:dyDescent="0.3">
      <c r="C11" s="96"/>
    </row>
    <row r="12" spans="2:9" ht="15" thickBot="1" x14ac:dyDescent="0.35">
      <c r="B12" s="102" t="s">
        <v>342</v>
      </c>
      <c r="C12" s="103"/>
      <c r="D12" s="102">
        <f>D8*D10</f>
        <v>2280.9643560116006</v>
      </c>
      <c r="E12" s="102">
        <f t="shared" ref="E12:G12" si="2">E8*E10</f>
        <v>2555.7228623361489</v>
      </c>
      <c r="F12" s="102">
        <f t="shared" si="2"/>
        <v>2863.578000179175</v>
      </c>
      <c r="G12" s="102">
        <f t="shared" si="2"/>
        <v>3208.5164960392431</v>
      </c>
    </row>
    <row r="13" spans="2:9" ht="15" thickTop="1" x14ac:dyDescent="0.3"/>
    <row r="14" spans="2:9" x14ac:dyDescent="0.3">
      <c r="B14" s="96" t="s">
        <v>343</v>
      </c>
      <c r="C14" s="97">
        <f>'Intrinsic Growth'!D65</f>
        <v>0.25629006771190627</v>
      </c>
    </row>
    <row r="15" spans="2:9" x14ac:dyDescent="0.3">
      <c r="B15" s="96" t="s">
        <v>344</v>
      </c>
      <c r="C15" s="97">
        <f>5%</f>
        <v>0.05</v>
      </c>
    </row>
    <row r="16" spans="2:9" x14ac:dyDescent="0.3">
      <c r="B16" s="96" t="s">
        <v>345</v>
      </c>
      <c r="C16" s="97">
        <f>Wacc!O27</f>
        <v>0.121229890569159</v>
      </c>
    </row>
    <row r="18" spans="2:11" x14ac:dyDescent="0.3">
      <c r="B18" s="12" t="s">
        <v>346</v>
      </c>
      <c r="C18" s="95"/>
      <c r="F18" s="129"/>
      <c r="G18" s="129"/>
      <c r="H18" s="129"/>
      <c r="I18" s="129"/>
      <c r="J18" s="129"/>
      <c r="K18" s="129"/>
    </row>
    <row r="19" spans="2:11" ht="14.4" customHeight="1" x14ac:dyDescent="0.3">
      <c r="F19" s="120"/>
      <c r="G19" s="119"/>
      <c r="H19" s="83"/>
      <c r="I19" s="119"/>
      <c r="J19" s="119"/>
      <c r="K19" s="119"/>
    </row>
    <row r="20" spans="2:11" x14ac:dyDescent="0.3">
      <c r="B20" t="s">
        <v>347</v>
      </c>
      <c r="C20" s="106">
        <f>G8*(1+C14)</f>
        <v>6745.5940865934035</v>
      </c>
      <c r="F20" s="119"/>
    </row>
    <row r="21" spans="2:11" x14ac:dyDescent="0.3">
      <c r="B21" t="s">
        <v>345</v>
      </c>
      <c r="C21" s="32">
        <f>C16</f>
        <v>0.121229890569159</v>
      </c>
      <c r="F21" s="119"/>
    </row>
    <row r="22" spans="2:11" x14ac:dyDescent="0.3">
      <c r="B22" t="s">
        <v>348</v>
      </c>
      <c r="C22" s="32">
        <f>C15</f>
        <v>0.05</v>
      </c>
      <c r="F22" s="119"/>
    </row>
    <row r="23" spans="2:11" ht="14.4" customHeight="1" x14ac:dyDescent="0.3">
      <c r="F23" s="83"/>
    </row>
    <row r="24" spans="2:11" x14ac:dyDescent="0.3">
      <c r="B24" s="105" t="s">
        <v>349</v>
      </c>
      <c r="C24" s="105">
        <f>C20/(C21-C22)</f>
        <v>94701.733116435527</v>
      </c>
      <c r="F24" s="119"/>
    </row>
    <row r="26" spans="2:11" x14ac:dyDescent="0.3">
      <c r="B26" s="12" t="s">
        <v>402</v>
      </c>
      <c r="C26" s="95"/>
    </row>
    <row r="27" spans="2:11" ht="6" customHeight="1" x14ac:dyDescent="0.3"/>
    <row r="28" spans="2:11" x14ac:dyDescent="0.3">
      <c r="B28" t="s">
        <v>342</v>
      </c>
      <c r="C28" s="106">
        <f>SUM(D12:G12)</f>
        <v>10908.781714566168</v>
      </c>
    </row>
    <row r="29" spans="2:11" x14ac:dyDescent="0.3">
      <c r="B29" t="s">
        <v>350</v>
      </c>
      <c r="C29" s="106">
        <f>C24*G10</f>
        <v>56588.98776701434</v>
      </c>
    </row>
    <row r="30" spans="2:11" x14ac:dyDescent="0.3">
      <c r="B30" s="24" t="s">
        <v>351</v>
      </c>
      <c r="C30" s="104">
        <f>SUM(C28:C29)</f>
        <v>67497.769481580501</v>
      </c>
    </row>
    <row r="32" spans="2:11" x14ac:dyDescent="0.3">
      <c r="B32" t="s">
        <v>352</v>
      </c>
      <c r="C32">
        <f>'Nestle Data'!X17</f>
        <v>778.85</v>
      </c>
    </row>
    <row r="33" spans="2:4" x14ac:dyDescent="0.3">
      <c r="B33" t="s">
        <v>353</v>
      </c>
      <c r="C33">
        <f>SUM('Intrinsic Growth Data'!N8:N9)</f>
        <v>31</v>
      </c>
    </row>
    <row r="34" spans="2:4" x14ac:dyDescent="0.3">
      <c r="B34" s="24" t="s">
        <v>354</v>
      </c>
      <c r="C34" s="104">
        <f>C30+C32-C33</f>
        <v>68245.619481580507</v>
      </c>
    </row>
    <row r="35" spans="2:4" x14ac:dyDescent="0.3">
      <c r="B35" t="s">
        <v>355</v>
      </c>
      <c r="C35">
        <v>90.56</v>
      </c>
      <c r="D35" s="24" t="s">
        <v>142</v>
      </c>
    </row>
    <row r="36" spans="2:4" ht="6.6" customHeight="1" x14ac:dyDescent="0.3"/>
    <row r="37" spans="2:4" ht="15" thickBot="1" x14ac:dyDescent="0.35">
      <c r="B37" s="103" t="s">
        <v>356</v>
      </c>
      <c r="C37" s="108">
        <f>C34/C35</f>
        <v>753.59562148388363</v>
      </c>
    </row>
    <row r="38" spans="2:4" ht="15" thickTop="1" x14ac:dyDescent="0.3"/>
    <row r="39" spans="2:4" x14ac:dyDescent="0.3">
      <c r="B39" t="s">
        <v>357</v>
      </c>
      <c r="C39" s="106">
        <v>2288.9</v>
      </c>
    </row>
    <row r="40" spans="2:4" x14ac:dyDescent="0.3">
      <c r="B40" t="s">
        <v>358</v>
      </c>
      <c r="C40" s="77">
        <f>C39/C37-1</f>
        <v>2.0373053329224398</v>
      </c>
    </row>
  </sheetData>
  <mergeCells count="1">
    <mergeCell ref="F18:K18"/>
  </mergeCells>
  <pageMargins left="0.7" right="0.7" top="0.75" bottom="0.75" header="0.3" footer="0.3"/>
  <ignoredErrors>
    <ignoredError sqref="C33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66BF-A136-42F2-880B-0BA3CD703208}">
  <sheetPr>
    <tabColor rgb="FFC00000"/>
  </sheetPr>
  <dimension ref="B2:M5"/>
  <sheetViews>
    <sheetView showGridLines="0" workbookViewId="0">
      <selection activeCell="F10" sqref="F10"/>
    </sheetView>
  </sheetViews>
  <sheetFormatPr defaultRowHeight="14.4" x14ac:dyDescent="0.3"/>
  <cols>
    <col min="1" max="1" width="1.88671875" customWidth="1"/>
    <col min="3" max="3" width="13" customWidth="1"/>
    <col min="5" max="5" width="15.77734375" customWidth="1"/>
    <col min="6" max="6" width="10.21875" customWidth="1"/>
    <col min="7" max="7" width="14.109375" customWidth="1"/>
    <col min="8" max="8" width="10.21875" customWidth="1"/>
    <col min="9" max="9" width="10.33203125" customWidth="1"/>
    <col min="10" max="10" width="14.109375" customWidth="1"/>
    <col min="11" max="11" width="15.109375" customWidth="1"/>
    <col min="12" max="12" width="10" customWidth="1"/>
  </cols>
  <sheetData>
    <row r="2" spans="2:13" x14ac:dyDescent="0.3">
      <c r="B2" s="110" t="s">
        <v>371</v>
      </c>
      <c r="C2" s="110" t="s">
        <v>372</v>
      </c>
      <c r="D2" s="111" t="s">
        <v>373</v>
      </c>
      <c r="E2" s="111" t="s">
        <v>374</v>
      </c>
      <c r="F2" s="111" t="s">
        <v>375</v>
      </c>
      <c r="G2" s="111" t="s">
        <v>376</v>
      </c>
      <c r="H2" s="111" t="s">
        <v>377</v>
      </c>
      <c r="I2" s="111" t="s">
        <v>378</v>
      </c>
      <c r="J2" s="111" t="s">
        <v>379</v>
      </c>
      <c r="K2" s="111" t="s">
        <v>380</v>
      </c>
      <c r="L2" t="s">
        <v>369</v>
      </c>
      <c r="M2" t="s">
        <v>60</v>
      </c>
    </row>
    <row r="3" spans="2:13" x14ac:dyDescent="0.3">
      <c r="B3" s="112">
        <v>1</v>
      </c>
      <c r="C3" s="110" t="s">
        <v>381</v>
      </c>
      <c r="D3" s="113">
        <v>2298.1999999999998</v>
      </c>
      <c r="E3" s="113">
        <v>96.42</v>
      </c>
      <c r="F3" s="113">
        <v>369.84</v>
      </c>
      <c r="G3" s="113">
        <v>778.85</v>
      </c>
      <c r="H3" s="113">
        <v>221811.93</v>
      </c>
      <c r="I3" s="113">
        <v>19965.27</v>
      </c>
      <c r="J3" s="113">
        <v>3363.26</v>
      </c>
      <c r="K3" s="113">
        <v>221582.63</v>
      </c>
      <c r="L3" s="113">
        <v>46.3</v>
      </c>
      <c r="M3">
        <f>H3/L3</f>
        <v>4790.7544276457884</v>
      </c>
    </row>
    <row r="4" spans="2:13" x14ac:dyDescent="0.3">
      <c r="B4" s="112">
        <v>2</v>
      </c>
      <c r="C4" s="110" t="s">
        <v>382</v>
      </c>
      <c r="D4" s="113">
        <v>5046.5</v>
      </c>
      <c r="E4" s="113">
        <v>24.09</v>
      </c>
      <c r="F4" s="113">
        <v>2753.56</v>
      </c>
      <c r="G4" s="113">
        <v>446.35</v>
      </c>
      <c r="H4" s="113">
        <v>124057.49</v>
      </c>
      <c r="I4" s="113">
        <v>17243.55</v>
      </c>
      <c r="J4" s="113">
        <v>2128.6999999999998</v>
      </c>
      <c r="K4" s="113">
        <v>121554.24000000001</v>
      </c>
      <c r="L4" s="113">
        <v>37.08</v>
      </c>
      <c r="M4">
        <f t="shared" ref="M4:M5" si="0">H4/L4</f>
        <v>3345.6712513484363</v>
      </c>
    </row>
    <row r="5" spans="2:13" x14ac:dyDescent="0.3">
      <c r="B5" s="112">
        <v>3</v>
      </c>
      <c r="C5" s="110" t="s">
        <v>383</v>
      </c>
      <c r="D5" s="113">
        <v>13.89</v>
      </c>
      <c r="E5" s="113"/>
      <c r="F5" s="113">
        <v>0</v>
      </c>
      <c r="G5" s="113">
        <v>0.4</v>
      </c>
      <c r="H5" s="113">
        <v>42.48</v>
      </c>
      <c r="I5" s="113">
        <v>44.11</v>
      </c>
      <c r="J5" s="113">
        <v>2.27</v>
      </c>
      <c r="K5" s="113">
        <v>43</v>
      </c>
      <c r="L5" s="113">
        <v>13.03</v>
      </c>
      <c r="M5">
        <f t="shared" si="0"/>
        <v>3.2601688411358403</v>
      </c>
    </row>
  </sheetData>
  <hyperlinks>
    <hyperlink ref="B2" r:id="rId1" display="https://www.screener.in/company/compare/00000027/00000054/?order=asc" xr:uid="{262E427F-3ADE-49CE-9980-3545B8B542F3}"/>
    <hyperlink ref="C2" r:id="rId2" display="https://www.screener.in/company/compare/00000027/00000054/?sort=name&amp;order=desc" xr:uid="{7B41AA3F-2160-433D-B35D-250533895F91}"/>
    <hyperlink ref="D2" r:id="rId3" display="https://www.screener.in/company/compare/00000027/00000054/?sort=current+price&amp;order=desc" xr:uid="{7477E181-4C88-48A1-BEEB-6C6C0801812A}"/>
    <hyperlink ref="E2" r:id="rId4" display="https://www.screener.in/company/compare/00000027/00000054/?sort=number+of+equity+shares&amp;order=desc" xr:uid="{DA30952D-A5C2-4A20-8824-C7C9B7AA0725}"/>
    <hyperlink ref="F2" r:id="rId5" display="https://www.screener.in/company/compare/00000027/00000054/?sort=debt&amp;order=desc" xr:uid="{8546A4D6-6875-4323-B372-5A6516252275}"/>
    <hyperlink ref="G2" r:id="rId6" display="https://www.screener.in/company/compare/00000027/00000054/?sort=cash+end+of+last+year&amp;order=desc" xr:uid="{ECB388CB-690F-4704-9B37-D4A2BB76B4D7}"/>
    <hyperlink ref="H2" r:id="rId7" display="https://www.screener.in/company/compare/00000027/00000054/?sort=enterprise+value&amp;order=desc" xr:uid="{6A59E61C-4737-4E12-8961-A07B1822DD76}"/>
    <hyperlink ref="I2" r:id="rId8" display="https://www.screener.in/company/compare/00000027/00000054/?sort=sales&amp;order=desc" xr:uid="{87B30CAC-A8FD-4047-9A2B-51C52B6465C5}"/>
    <hyperlink ref="J2" r:id="rId9" display="https://www.screener.in/company/compare/00000027/00000054/?sort=net+profit&amp;order=desc" xr:uid="{DCAE3E77-F1C3-4574-91FC-BF14D9D62FDF}"/>
    <hyperlink ref="K2" r:id="rId10" display="https://www.screener.in/company/compare/00000027/00000054/?sort=market+capitalization&amp;order=desc" xr:uid="{E2192869-287E-452F-8512-8B7BB8780837}"/>
    <hyperlink ref="C3" r:id="rId11" display="https://www.screener.in/company/NESTLEIND/" xr:uid="{B5159B1A-B287-46CF-8153-7FD8EF0798BD}"/>
    <hyperlink ref="C4" r:id="rId12" display="https://www.screener.in/company/BRITANNIA/consolidated/" xr:uid="{53C13E98-F6FE-45FF-A16E-B4431A13C688}"/>
    <hyperlink ref="C5" r:id="rId13" display="https://www.screener.in/company/530217/" xr:uid="{59939164-EAB4-4A11-9DA8-9044C77788A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0BF1-A0A8-4F40-9598-713DC16D8DF8}">
  <dimension ref="B2:O28"/>
  <sheetViews>
    <sheetView showGridLines="0" tabSelected="1" workbookViewId="0">
      <selection activeCell="M17" sqref="M17"/>
    </sheetView>
  </sheetViews>
  <sheetFormatPr defaultRowHeight="14.4" x14ac:dyDescent="0.3"/>
  <cols>
    <col min="1" max="1" width="1.88671875" customWidth="1"/>
    <col min="2" max="2" width="31.21875" customWidth="1"/>
    <col min="3" max="3" width="15" customWidth="1"/>
    <col min="4" max="4" width="12.5546875" customWidth="1"/>
    <col min="5" max="5" width="17.77734375" customWidth="1"/>
    <col min="6" max="6" width="12.33203125" customWidth="1"/>
    <col min="7" max="7" width="8.88671875" customWidth="1"/>
    <col min="8" max="8" width="14.44140625" customWidth="1"/>
    <col min="12" max="12" width="11.5546875" customWidth="1"/>
    <col min="13" max="13" width="11.6640625" customWidth="1"/>
    <col min="14" max="14" width="11.44140625" customWidth="1"/>
    <col min="15" max="15" width="11.88671875" customWidth="1"/>
  </cols>
  <sheetData>
    <row r="2" spans="2:15" x14ac:dyDescent="0.3">
      <c r="B2" s="127" t="s">
        <v>359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2:15" ht="7.2" customHeight="1" x14ac:dyDescent="0.3"/>
    <row r="4" spans="2:15" x14ac:dyDescent="0.3">
      <c r="B4" s="127" t="s">
        <v>360</v>
      </c>
      <c r="C4" s="127"/>
      <c r="D4" s="127"/>
      <c r="E4" s="127"/>
      <c r="F4" s="127"/>
      <c r="G4" s="127"/>
      <c r="H4" s="127"/>
      <c r="I4" s="127"/>
      <c r="J4" s="127" t="s">
        <v>364</v>
      </c>
      <c r="K4" s="127"/>
      <c r="L4" s="127"/>
      <c r="M4" s="127" t="s">
        <v>367</v>
      </c>
      <c r="N4" s="127"/>
      <c r="O4" s="127"/>
    </row>
    <row r="5" spans="2:15" x14ac:dyDescent="0.3">
      <c r="B5" s="12" t="s">
        <v>384</v>
      </c>
      <c r="C5" s="12" t="s">
        <v>385</v>
      </c>
      <c r="D5" s="12" t="s">
        <v>357</v>
      </c>
      <c r="E5" s="12" t="s">
        <v>361</v>
      </c>
      <c r="F5" s="12" t="s">
        <v>362</v>
      </c>
      <c r="G5" s="12" t="s">
        <v>363</v>
      </c>
      <c r="H5" s="12" t="s">
        <v>351</v>
      </c>
      <c r="I5" s="12"/>
      <c r="J5" s="12" t="s">
        <v>365</v>
      </c>
      <c r="K5" s="12" t="s">
        <v>60</v>
      </c>
      <c r="L5" s="12" t="s">
        <v>366</v>
      </c>
      <c r="M5" s="12" t="s">
        <v>368</v>
      </c>
      <c r="N5" s="12" t="s">
        <v>369</v>
      </c>
      <c r="O5" s="12" t="s">
        <v>370</v>
      </c>
    </row>
    <row r="6" spans="2:15" ht="6.6" customHeight="1" x14ac:dyDescent="0.3"/>
    <row r="7" spans="2:15" x14ac:dyDescent="0.3">
      <c r="B7" s="110" t="s">
        <v>381</v>
      </c>
      <c r="C7" s="110"/>
      <c r="D7" s="114">
        <f>'Relative Valuation Data'!D3</f>
        <v>2298.1999999999998</v>
      </c>
      <c r="E7" s="114">
        <f>'Relative Valuation Data'!E3</f>
        <v>96.42</v>
      </c>
      <c r="F7" s="114">
        <f>E7*D7</f>
        <v>221592.44399999999</v>
      </c>
      <c r="G7" s="114">
        <f>'Relative Valuation Data'!F3-'Relative Valuation Data'!G3</f>
        <v>-409.01000000000005</v>
      </c>
      <c r="H7" s="114">
        <f>F7+G7</f>
        <v>221183.43399999998</v>
      </c>
      <c r="I7" s="114"/>
      <c r="J7" s="114">
        <f>'Relative Valuation Data'!I3</f>
        <v>19965.27</v>
      </c>
      <c r="K7" s="114">
        <f>'Relative Valuation Data'!M3</f>
        <v>4790.7544276457884</v>
      </c>
      <c r="L7" s="114">
        <f>'Relative Valuation Data'!J3</f>
        <v>3363.26</v>
      </c>
      <c r="M7" s="115">
        <f>$H7/J7</f>
        <v>11.078409357849905</v>
      </c>
      <c r="N7" s="115">
        <f>$H7/K7</f>
        <v>46.168810641519592</v>
      </c>
      <c r="O7" s="115">
        <f>F7/L7</f>
        <v>65.886206835035054</v>
      </c>
    </row>
    <row r="8" spans="2:15" x14ac:dyDescent="0.3">
      <c r="B8" s="110" t="s">
        <v>382</v>
      </c>
      <c r="C8" s="110"/>
      <c r="D8" s="114">
        <f>'Relative Valuation Data'!D4</f>
        <v>5046.5</v>
      </c>
      <c r="E8" s="114">
        <f>'Relative Valuation Data'!E4</f>
        <v>24.09</v>
      </c>
      <c r="F8" s="114">
        <f t="shared" ref="F8" si="0">E8*D8</f>
        <v>121570.185</v>
      </c>
      <c r="G8" s="114">
        <f>'Relative Valuation Data'!F4-'Relative Valuation Data'!G4</f>
        <v>2307.21</v>
      </c>
      <c r="H8" s="114">
        <f t="shared" ref="H8:H9" si="1">F8+G8</f>
        <v>123877.395</v>
      </c>
      <c r="I8" s="114"/>
      <c r="J8" s="114">
        <f>'Relative Valuation Data'!I4</f>
        <v>17243.55</v>
      </c>
      <c r="K8" s="114">
        <f>'Relative Valuation Data'!M4</f>
        <v>3345.6712513484363</v>
      </c>
      <c r="L8" s="114">
        <f>'Relative Valuation Data'!J4</f>
        <v>2128.6999999999998</v>
      </c>
      <c r="M8" s="115">
        <f t="shared" ref="M8:M9" si="2">$H8/J8</f>
        <v>7.1839844463582043</v>
      </c>
      <c r="N8" s="115">
        <f t="shared" ref="N8:N9" si="3">$H8/K8</f>
        <v>37.026170742290525</v>
      </c>
      <c r="O8" s="115">
        <f t="shared" ref="O8:O9" si="4">F8/L8</f>
        <v>57.110060130596139</v>
      </c>
    </row>
    <row r="9" spans="2:15" x14ac:dyDescent="0.3">
      <c r="B9" s="110" t="s">
        <v>383</v>
      </c>
      <c r="C9" s="110"/>
      <c r="D9" s="114">
        <f>'Relative Valuation Data'!D5</f>
        <v>13.89</v>
      </c>
      <c r="E9" s="114">
        <f>'Relative Valuation Data'!E5</f>
        <v>0</v>
      </c>
      <c r="F9" s="114">
        <f>E9*D9</f>
        <v>0</v>
      </c>
      <c r="G9" s="114">
        <f>'Relative Valuation Data'!F5-'Relative Valuation Data'!G5</f>
        <v>-0.4</v>
      </c>
      <c r="H9" s="114">
        <f t="shared" si="1"/>
        <v>-0.4</v>
      </c>
      <c r="I9" s="114"/>
      <c r="J9" s="114">
        <f>'Relative Valuation Data'!I5</f>
        <v>44.11</v>
      </c>
      <c r="K9" s="114">
        <f>'Relative Valuation Data'!M5</f>
        <v>3.2601688411358403</v>
      </c>
      <c r="L9" s="114">
        <f>'Relative Valuation Data'!J5</f>
        <v>2.27</v>
      </c>
      <c r="M9" s="115">
        <f t="shared" si="2"/>
        <v>-9.06823849467241E-3</v>
      </c>
      <c r="N9" s="115">
        <f t="shared" si="3"/>
        <v>-0.12269303201506593</v>
      </c>
      <c r="O9" s="115">
        <f t="shared" si="4"/>
        <v>0</v>
      </c>
    </row>
    <row r="11" spans="2:15" x14ac:dyDescent="0.3">
      <c r="B11" s="96" t="s">
        <v>386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116">
        <f>MAX(M7:M9)</f>
        <v>11.078409357849905</v>
      </c>
      <c r="N11" s="116">
        <f t="shared" ref="N11:O11" si="5">MAX(N7:N9)</f>
        <v>46.168810641519592</v>
      </c>
      <c r="O11" s="116">
        <f t="shared" si="5"/>
        <v>65.886206835035054</v>
      </c>
    </row>
    <row r="12" spans="2:15" ht="16.2" x14ac:dyDescent="0.3">
      <c r="B12" s="96" t="s">
        <v>387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>
        <f>QUARTILE(M7:M9,3)</f>
        <v>9.1311969021040547</v>
      </c>
      <c r="N12" s="96">
        <f t="shared" ref="N12:O12" si="6">QUARTILE(N7:N9,3)</f>
        <v>41.597490691905058</v>
      </c>
      <c r="O12" s="96">
        <f t="shared" si="6"/>
        <v>61.498133482815597</v>
      </c>
    </row>
    <row r="13" spans="2:15" x14ac:dyDescent="0.3">
      <c r="B13" s="109" t="s">
        <v>176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17">
        <f>AVERAGE(M7:M9)</f>
        <v>6.0844418552378121</v>
      </c>
      <c r="N13" s="117">
        <f t="shared" ref="N13:O13" si="7">AVERAGE(N7:N9)</f>
        <v>27.690762783931685</v>
      </c>
      <c r="O13" s="117">
        <f t="shared" si="7"/>
        <v>40.998755655210395</v>
      </c>
    </row>
    <row r="14" spans="2:15" x14ac:dyDescent="0.3">
      <c r="B14" s="109" t="s">
        <v>177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17">
        <f>MEDIAN(M7:M9)</f>
        <v>7.1839844463582043</v>
      </c>
      <c r="N14" s="117">
        <f t="shared" ref="N14:O14" si="8">MEDIAN(N7:N9)</f>
        <v>37.026170742290525</v>
      </c>
      <c r="O14" s="117">
        <f t="shared" si="8"/>
        <v>57.110060130596139</v>
      </c>
    </row>
    <row r="15" spans="2:15" ht="16.2" x14ac:dyDescent="0.3">
      <c r="B15" s="96" t="s">
        <v>388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>
        <f>QUARTILE(M7:M9,1)</f>
        <v>3.5874581039317657</v>
      </c>
      <c r="N15" s="96">
        <f t="shared" ref="N15:O15" si="9">QUARTILE(N7:N9,1)</f>
        <v>18.45173885513773</v>
      </c>
      <c r="O15" s="96">
        <f t="shared" si="9"/>
        <v>28.55503006529807</v>
      </c>
    </row>
    <row r="16" spans="2:15" x14ac:dyDescent="0.3">
      <c r="B16" s="96" t="s">
        <v>389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116">
        <f>MIN(M7:M9)</f>
        <v>-9.06823849467241E-3</v>
      </c>
      <c r="N16" s="116">
        <f t="shared" ref="N16:O16" si="10">MIN(N7:N9)</f>
        <v>-0.12269303201506593</v>
      </c>
      <c r="O16" s="116">
        <f t="shared" si="10"/>
        <v>0</v>
      </c>
    </row>
    <row r="17" spans="2:15" x14ac:dyDescent="0.3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</row>
    <row r="19" spans="2:15" x14ac:dyDescent="0.3">
      <c r="B19" s="12" t="s">
        <v>390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368</v>
      </c>
      <c r="N19" s="12" t="s">
        <v>394</v>
      </c>
      <c r="O19" s="12" t="s">
        <v>370</v>
      </c>
    </row>
    <row r="20" spans="2:15" ht="6.6" customHeight="1" x14ac:dyDescent="0.3"/>
    <row r="21" spans="2:15" x14ac:dyDescent="0.3">
      <c r="B21" t="s">
        <v>391</v>
      </c>
      <c r="M21" s="114">
        <f>M14*J8</f>
        <v>123877.395</v>
      </c>
      <c r="N21" s="114">
        <f>N14*K8</f>
        <v>123877.395</v>
      </c>
      <c r="O21" s="118">
        <f>+O23+O22</f>
        <v>123877.395</v>
      </c>
    </row>
    <row r="22" spans="2:15" x14ac:dyDescent="0.3">
      <c r="B22" t="s">
        <v>392</v>
      </c>
      <c r="M22" s="114">
        <f>$G$8</f>
        <v>2307.21</v>
      </c>
      <c r="N22" s="114">
        <f t="shared" ref="N22:O22" si="11">$G$8</f>
        <v>2307.21</v>
      </c>
      <c r="O22" s="114">
        <f t="shared" si="11"/>
        <v>2307.21</v>
      </c>
    </row>
    <row r="23" spans="2:15" x14ac:dyDescent="0.3">
      <c r="B23" t="s">
        <v>395</v>
      </c>
      <c r="M23" s="118">
        <f>M21-M22</f>
        <v>121570.185</v>
      </c>
      <c r="N23" s="118">
        <f t="shared" ref="N23" si="12">N21-N22</f>
        <v>121570.185</v>
      </c>
      <c r="O23" s="118">
        <f>O14*L8</f>
        <v>121570.185</v>
      </c>
    </row>
    <row r="24" spans="2:15" x14ac:dyDescent="0.3">
      <c r="B24" t="s">
        <v>361</v>
      </c>
      <c r="M24" s="114">
        <f>$E$8</f>
        <v>24.09</v>
      </c>
      <c r="N24" s="114">
        <f t="shared" ref="N24:O24" si="13">$E$8</f>
        <v>24.09</v>
      </c>
      <c r="O24" s="114">
        <f t="shared" si="13"/>
        <v>24.09</v>
      </c>
    </row>
    <row r="25" spans="2:15" x14ac:dyDescent="0.3">
      <c r="B25" t="s">
        <v>393</v>
      </c>
      <c r="M25">
        <f>M23/M24</f>
        <v>5046.5</v>
      </c>
      <c r="N25">
        <f t="shared" ref="N25:O25" si="14">N23/N24</f>
        <v>5046.5</v>
      </c>
      <c r="O25">
        <f t="shared" si="14"/>
        <v>5046.5</v>
      </c>
    </row>
    <row r="27" spans="2:15" x14ac:dyDescent="0.3">
      <c r="B27" t="s">
        <v>396</v>
      </c>
    </row>
    <row r="28" spans="2:15" x14ac:dyDescent="0.3">
      <c r="B28" t="s">
        <v>397</v>
      </c>
    </row>
  </sheetData>
  <mergeCells count="4">
    <mergeCell ref="B4:I4"/>
    <mergeCell ref="J4:L4"/>
    <mergeCell ref="M4:O4"/>
    <mergeCell ref="B2:O2"/>
  </mergeCells>
  <hyperlinks>
    <hyperlink ref="B7" r:id="rId1" display="https://www.screener.in/company/NESTLEIND/" xr:uid="{DEFDE7BE-467E-4727-BE00-68F24C0FFF48}"/>
    <hyperlink ref="B8" r:id="rId2" display="https://www.screener.in/company/BRITANNIA/consolidated/" xr:uid="{454D5C7B-2304-4CEA-BA84-D94562D62DB8}"/>
    <hyperlink ref="B9" r:id="rId3" display="https://www.screener.in/company/530217/" xr:uid="{31C2641E-6226-4350-AD4F-9E18632AE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Nestle Data</vt:lpstr>
      <vt:lpstr>3 Statements</vt:lpstr>
      <vt:lpstr>Ratio Analysis()</vt:lpstr>
      <vt:lpstr>Forecasting</vt:lpstr>
      <vt:lpstr>Beta </vt:lpstr>
      <vt:lpstr>Wacc</vt:lpstr>
      <vt:lpstr>RM</vt:lpstr>
      <vt:lpstr>Common Size Statement</vt:lpstr>
      <vt:lpstr>Intrinsic Growth Data</vt:lpstr>
      <vt:lpstr>Intrinsic Growth</vt:lpstr>
      <vt:lpstr>Terminal Value()</vt:lpstr>
      <vt:lpstr>Relative Valuation Data</vt:lpstr>
      <vt:lpstr>Relative Valuation()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khatwani</dc:creator>
  <cp:lastModifiedBy>mohit khatwani</cp:lastModifiedBy>
  <dcterms:created xsi:type="dcterms:W3CDTF">2025-01-31T08:43:45Z</dcterms:created>
  <dcterms:modified xsi:type="dcterms:W3CDTF">2025-02-19T09:51:07Z</dcterms:modified>
</cp:coreProperties>
</file>