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tw\Downloads\"/>
    </mc:Choice>
  </mc:AlternateContent>
  <xr:revisionPtr revIDLastSave="0" documentId="13_ncr:1_{230CE183-3B86-44F2-B2E0-A6A3B106404E}" xr6:coauthVersionLast="47" xr6:coauthVersionMax="47" xr10:uidLastSave="{00000000-0000-0000-0000-000000000000}"/>
  <bookViews>
    <workbookView xWindow="-108" yWindow="-108" windowWidth="23256" windowHeight="12456" firstSheet="9" activeTab="14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  <sheet name="3 Statements" sheetId="7" r:id="rId7"/>
    <sheet name="Ratio Analysis" sheetId="8" r:id="rId8"/>
    <sheet name="Forecasting" sheetId="10" r:id="rId9"/>
    <sheet name="Wacc" sheetId="12" r:id="rId10"/>
    <sheet name="Rm" sheetId="16" r:id="rId11"/>
    <sheet name="Common Size Statement" sheetId="17" r:id="rId12"/>
    <sheet name="Intrinsic Growth Data" sheetId="18" r:id="rId13"/>
    <sheet name="Intrinsic Growth" sheetId="19" r:id="rId14"/>
    <sheet name="Terminal Value" sheetId="20" r:id="rId15"/>
  </sheets>
  <definedNames>
    <definedName name="_xlnm._FilterDatabase" localSheetId="10" hidden="1">Rm!$B$4:$C$29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20" l="1"/>
  <c r="C26" i="20"/>
  <c r="C25" i="20"/>
  <c r="C22" i="20"/>
  <c r="C20" i="20"/>
  <c r="C18" i="20"/>
  <c r="C15" i="20"/>
  <c r="D10" i="20"/>
  <c r="E10" i="20"/>
  <c r="F10" i="20"/>
  <c r="G10" i="20"/>
  <c r="C10" i="20"/>
  <c r="C11" i="20" s="1"/>
  <c r="C19" i="20"/>
  <c r="E9" i="20"/>
  <c r="F9" i="20"/>
  <c r="G9" i="20"/>
  <c r="D9" i="20"/>
  <c r="C8" i="20"/>
  <c r="E7" i="20"/>
  <c r="F7" i="20"/>
  <c r="G7" i="20"/>
  <c r="D7" i="20"/>
  <c r="C7" i="20"/>
  <c r="D6" i="20"/>
  <c r="D8" i="20" s="1"/>
  <c r="D11" i="20" s="1"/>
  <c r="C6" i="20"/>
  <c r="D5" i="20"/>
  <c r="E5" i="20"/>
  <c r="F5" i="20"/>
  <c r="G5" i="20"/>
  <c r="C5" i="20"/>
  <c r="E4" i="20"/>
  <c r="E6" i="20" s="1"/>
  <c r="E8" i="20" s="1"/>
  <c r="F4" i="20"/>
  <c r="F6" i="20" s="1"/>
  <c r="F8" i="20" s="1"/>
  <c r="D4" i="20"/>
  <c r="C13" i="20"/>
  <c r="C4" i="20"/>
  <c r="K32" i="6"/>
  <c r="G2" i="20"/>
  <c r="E2" i="20"/>
  <c r="F2" i="20"/>
  <c r="D2" i="20"/>
  <c r="C2" i="20"/>
  <c r="F11" i="20" l="1"/>
  <c r="E11" i="20"/>
  <c r="G4" i="20"/>
  <c r="G6" i="20" s="1"/>
  <c r="G8" i="20" s="1"/>
  <c r="G11" i="20" s="1"/>
  <c r="D41" i="19" l="1"/>
  <c r="E41" i="19"/>
  <c r="F41" i="19"/>
  <c r="G41" i="19"/>
  <c r="C41" i="19"/>
  <c r="E56" i="19"/>
  <c r="F56" i="19"/>
  <c r="D56" i="19"/>
  <c r="D53" i="19"/>
  <c r="E53" i="19"/>
  <c r="F53" i="19"/>
  <c r="G53" i="19"/>
  <c r="C53" i="19"/>
  <c r="F43" i="19"/>
  <c r="F45" i="19" s="1"/>
  <c r="C43" i="19"/>
  <c r="C45" i="19" s="1"/>
  <c r="D35" i="19"/>
  <c r="D43" i="19" s="1"/>
  <c r="D45" i="19" s="1"/>
  <c r="E35" i="19"/>
  <c r="E43" i="19" s="1"/>
  <c r="E45" i="19" s="1"/>
  <c r="F35" i="19"/>
  <c r="G35" i="19"/>
  <c r="G43" i="19" s="1"/>
  <c r="G45" i="19" s="1"/>
  <c r="C35" i="19"/>
  <c r="C33" i="6"/>
  <c r="D33" i="6"/>
  <c r="E33" i="6"/>
  <c r="F33" i="6"/>
  <c r="G33" i="6"/>
  <c r="H33" i="6"/>
  <c r="I33" i="6"/>
  <c r="J33" i="6"/>
  <c r="K33" i="6"/>
  <c r="B33" i="6"/>
  <c r="C32" i="6"/>
  <c r="D32" i="6"/>
  <c r="E32" i="6"/>
  <c r="F32" i="6"/>
  <c r="G32" i="6"/>
  <c r="H32" i="6"/>
  <c r="I32" i="6"/>
  <c r="J32" i="6"/>
  <c r="B32" i="6"/>
  <c r="D31" i="19"/>
  <c r="E31" i="19"/>
  <c r="F31" i="19"/>
  <c r="G31" i="19"/>
  <c r="C31" i="19"/>
  <c r="B31" i="19"/>
  <c r="D29" i="19"/>
  <c r="E29" i="19"/>
  <c r="F29" i="19"/>
  <c r="G29" i="19"/>
  <c r="C29" i="19"/>
  <c r="D21" i="19"/>
  <c r="D30" i="19" s="1"/>
  <c r="E21" i="19"/>
  <c r="F21" i="19"/>
  <c r="G21" i="19"/>
  <c r="D22" i="19"/>
  <c r="E22" i="19"/>
  <c r="F22" i="19"/>
  <c r="G22" i="19"/>
  <c r="D23" i="19"/>
  <c r="E23" i="19"/>
  <c r="F23" i="19"/>
  <c r="G23" i="19"/>
  <c r="D24" i="19"/>
  <c r="E24" i="19"/>
  <c r="F24" i="19"/>
  <c r="G24" i="19"/>
  <c r="D25" i="19"/>
  <c r="E25" i="19"/>
  <c r="F25" i="19"/>
  <c r="G25" i="19"/>
  <c r="D26" i="19"/>
  <c r="E26" i="19"/>
  <c r="F26" i="19"/>
  <c r="G26" i="19"/>
  <c r="D27" i="19"/>
  <c r="E27" i="19"/>
  <c r="F27" i="19"/>
  <c r="G27" i="19"/>
  <c r="D28" i="19"/>
  <c r="E28" i="19"/>
  <c r="F28" i="19"/>
  <c r="G28" i="19"/>
  <c r="C22" i="19"/>
  <c r="C23" i="19"/>
  <c r="C24" i="19"/>
  <c r="C25" i="19"/>
  <c r="C26" i="19"/>
  <c r="C27" i="19"/>
  <c r="C28" i="19"/>
  <c r="C21" i="19"/>
  <c r="B29" i="19"/>
  <c r="B22" i="19"/>
  <c r="B23" i="19"/>
  <c r="B24" i="19"/>
  <c r="B25" i="19"/>
  <c r="B26" i="19"/>
  <c r="B27" i="19"/>
  <c r="B28" i="19"/>
  <c r="B21" i="19"/>
  <c r="D13" i="19"/>
  <c r="D16" i="19" s="1"/>
  <c r="E13" i="19"/>
  <c r="F13" i="19"/>
  <c r="G13" i="19"/>
  <c r="D14" i="19"/>
  <c r="E14" i="19"/>
  <c r="F14" i="19"/>
  <c r="G14" i="19"/>
  <c r="D15" i="19"/>
  <c r="E15" i="19"/>
  <c r="F15" i="19"/>
  <c r="F16" i="19" s="1"/>
  <c r="G15" i="19"/>
  <c r="G16" i="19" s="1"/>
  <c r="C14" i="19"/>
  <c r="C15" i="19"/>
  <c r="C13" i="19"/>
  <c r="B14" i="19"/>
  <c r="B15" i="19"/>
  <c r="B13" i="19"/>
  <c r="D6" i="19"/>
  <c r="E6" i="19"/>
  <c r="F6" i="19"/>
  <c r="F10" i="19" s="1"/>
  <c r="G6" i="19"/>
  <c r="D7" i="19"/>
  <c r="E7" i="19"/>
  <c r="F7" i="19"/>
  <c r="G7" i="19"/>
  <c r="D8" i="19"/>
  <c r="E8" i="19"/>
  <c r="F8" i="19"/>
  <c r="G8" i="19"/>
  <c r="D9" i="19"/>
  <c r="E9" i="19"/>
  <c r="F9" i="19"/>
  <c r="G9" i="19"/>
  <c r="C7" i="19"/>
  <c r="C10" i="19" s="1"/>
  <c r="C8" i="19"/>
  <c r="C9" i="19"/>
  <c r="C6" i="19"/>
  <c r="B9" i="19"/>
  <c r="B8" i="19"/>
  <c r="B7" i="19"/>
  <c r="B6" i="19"/>
  <c r="D3" i="19"/>
  <c r="D39" i="19" s="1"/>
  <c r="E3" i="19"/>
  <c r="E39" i="19" s="1"/>
  <c r="F3" i="19"/>
  <c r="F39" i="19" s="1"/>
  <c r="G3" i="19"/>
  <c r="G39" i="19" s="1"/>
  <c r="C3" i="19"/>
  <c r="C39" i="19" s="1"/>
  <c r="D31" i="17"/>
  <c r="E31" i="17"/>
  <c r="F31" i="17"/>
  <c r="G31" i="17"/>
  <c r="H31" i="17"/>
  <c r="I31" i="17"/>
  <c r="J31" i="17"/>
  <c r="K31" i="17"/>
  <c r="L31" i="17"/>
  <c r="D32" i="17"/>
  <c r="E32" i="17"/>
  <c r="F32" i="17"/>
  <c r="G32" i="17"/>
  <c r="H32" i="17"/>
  <c r="I32" i="17"/>
  <c r="J32" i="17"/>
  <c r="K32" i="17"/>
  <c r="L32" i="17"/>
  <c r="D33" i="17"/>
  <c r="E33" i="17"/>
  <c r="F33" i="17"/>
  <c r="G33" i="17"/>
  <c r="H33" i="17"/>
  <c r="I33" i="17"/>
  <c r="J33" i="17"/>
  <c r="K33" i="17"/>
  <c r="L33" i="17"/>
  <c r="D34" i="17"/>
  <c r="E34" i="17"/>
  <c r="F34" i="17"/>
  <c r="G34" i="17"/>
  <c r="H34" i="17"/>
  <c r="I34" i="17"/>
  <c r="J34" i="17"/>
  <c r="K34" i="17"/>
  <c r="L34" i="17"/>
  <c r="D35" i="17"/>
  <c r="E35" i="17"/>
  <c r="F35" i="17"/>
  <c r="G35" i="17"/>
  <c r="H35" i="17"/>
  <c r="I35" i="17"/>
  <c r="J35" i="17"/>
  <c r="K35" i="17"/>
  <c r="L35" i="17"/>
  <c r="D36" i="17"/>
  <c r="E36" i="17"/>
  <c r="F36" i="17"/>
  <c r="G36" i="17"/>
  <c r="H36" i="17"/>
  <c r="I36" i="17"/>
  <c r="J36" i="17"/>
  <c r="K36" i="17"/>
  <c r="L36" i="17"/>
  <c r="D37" i="17"/>
  <c r="E37" i="17"/>
  <c r="F37" i="17"/>
  <c r="G37" i="17"/>
  <c r="H37" i="17"/>
  <c r="I37" i="17"/>
  <c r="J37" i="17"/>
  <c r="K37" i="17"/>
  <c r="L37" i="17"/>
  <c r="C37" i="17"/>
  <c r="C34" i="17"/>
  <c r="C35" i="17"/>
  <c r="C36" i="17"/>
  <c r="C31" i="17"/>
  <c r="C32" i="17"/>
  <c r="C33" i="17"/>
  <c r="D30" i="17"/>
  <c r="E30" i="17"/>
  <c r="F30" i="17"/>
  <c r="G30" i="17"/>
  <c r="H30" i="17"/>
  <c r="I30" i="17"/>
  <c r="J30" i="17"/>
  <c r="K30" i="17"/>
  <c r="L30" i="17"/>
  <c r="C30" i="17"/>
  <c r="D25" i="17"/>
  <c r="E25" i="17"/>
  <c r="F25" i="17"/>
  <c r="G25" i="17"/>
  <c r="H25" i="17"/>
  <c r="I25" i="17"/>
  <c r="J25" i="17"/>
  <c r="K25" i="17"/>
  <c r="L25" i="17"/>
  <c r="D26" i="17"/>
  <c r="E26" i="17"/>
  <c r="F26" i="17"/>
  <c r="G26" i="17"/>
  <c r="H26" i="17"/>
  <c r="I26" i="17"/>
  <c r="J26" i="17"/>
  <c r="K26" i="17"/>
  <c r="L26" i="17"/>
  <c r="D27" i="17"/>
  <c r="E27" i="17"/>
  <c r="F27" i="17"/>
  <c r="G27" i="17"/>
  <c r="H27" i="17"/>
  <c r="I27" i="17"/>
  <c r="J27" i="17"/>
  <c r="K27" i="17"/>
  <c r="L27" i="17"/>
  <c r="D28" i="17"/>
  <c r="E28" i="17"/>
  <c r="F28" i="17"/>
  <c r="G28" i="17"/>
  <c r="H28" i="17"/>
  <c r="I28" i="17"/>
  <c r="J28" i="17"/>
  <c r="K28" i="17"/>
  <c r="L28" i="17"/>
  <c r="C25" i="17"/>
  <c r="C26" i="17"/>
  <c r="C27" i="17"/>
  <c r="C28" i="17"/>
  <c r="D24" i="17"/>
  <c r="E24" i="17"/>
  <c r="F24" i="17"/>
  <c r="G24" i="17"/>
  <c r="H24" i="17"/>
  <c r="I24" i="17"/>
  <c r="J24" i="17"/>
  <c r="K24" i="17"/>
  <c r="L24" i="17"/>
  <c r="C24" i="17"/>
  <c r="B21" i="17"/>
  <c r="D6" i="17"/>
  <c r="E6" i="17"/>
  <c r="F6" i="17"/>
  <c r="G6" i="17"/>
  <c r="H6" i="17"/>
  <c r="I6" i="17"/>
  <c r="J6" i="17"/>
  <c r="K6" i="17"/>
  <c r="L6" i="17"/>
  <c r="D7" i="17"/>
  <c r="E7" i="17"/>
  <c r="F7" i="17"/>
  <c r="G7" i="17"/>
  <c r="H7" i="17"/>
  <c r="I7" i="17"/>
  <c r="J7" i="17"/>
  <c r="K7" i="17"/>
  <c r="L7" i="17"/>
  <c r="D8" i="17"/>
  <c r="E8" i="17"/>
  <c r="F8" i="17"/>
  <c r="G8" i="17"/>
  <c r="H8" i="17"/>
  <c r="I8" i="17"/>
  <c r="J8" i="17"/>
  <c r="K8" i="17"/>
  <c r="L8" i="17"/>
  <c r="D9" i="17"/>
  <c r="E9" i="17"/>
  <c r="F9" i="17"/>
  <c r="G9" i="17"/>
  <c r="H9" i="17"/>
  <c r="I9" i="17"/>
  <c r="J9" i="17"/>
  <c r="K9" i="17"/>
  <c r="L9" i="17"/>
  <c r="D10" i="17"/>
  <c r="E10" i="17"/>
  <c r="F10" i="17"/>
  <c r="G10" i="17"/>
  <c r="H10" i="17"/>
  <c r="I10" i="17"/>
  <c r="J10" i="17"/>
  <c r="K10" i="17"/>
  <c r="L10" i="17"/>
  <c r="D11" i="17"/>
  <c r="E11" i="17"/>
  <c r="F11" i="17"/>
  <c r="G11" i="17"/>
  <c r="H11" i="17"/>
  <c r="I11" i="17"/>
  <c r="J11" i="17"/>
  <c r="K11" i="17"/>
  <c r="L11" i="17"/>
  <c r="D12" i="17"/>
  <c r="E12" i="17"/>
  <c r="F12" i="17"/>
  <c r="G12" i="17"/>
  <c r="H12" i="17"/>
  <c r="I12" i="17"/>
  <c r="J12" i="17"/>
  <c r="K12" i="17"/>
  <c r="L12" i="17"/>
  <c r="D13" i="17"/>
  <c r="E13" i="17"/>
  <c r="F13" i="17"/>
  <c r="G13" i="17"/>
  <c r="H13" i="17"/>
  <c r="I13" i="17"/>
  <c r="J13" i="17"/>
  <c r="K13" i="17"/>
  <c r="L13" i="17"/>
  <c r="D14" i="17"/>
  <c r="E14" i="17"/>
  <c r="F14" i="17"/>
  <c r="G14" i="17"/>
  <c r="H14" i="17"/>
  <c r="I14" i="17"/>
  <c r="J14" i="17"/>
  <c r="K14" i="17"/>
  <c r="L14" i="17"/>
  <c r="D15" i="17"/>
  <c r="E15" i="17"/>
  <c r="F15" i="17"/>
  <c r="G15" i="17"/>
  <c r="H15" i="17"/>
  <c r="I15" i="17"/>
  <c r="J15" i="17"/>
  <c r="K15" i="17"/>
  <c r="L15" i="17"/>
  <c r="D16" i="17"/>
  <c r="E16" i="17"/>
  <c r="F16" i="17"/>
  <c r="G16" i="17"/>
  <c r="H16" i="17"/>
  <c r="I16" i="17"/>
  <c r="J16" i="17"/>
  <c r="K16" i="17"/>
  <c r="L16" i="17"/>
  <c r="D17" i="17"/>
  <c r="E17" i="17"/>
  <c r="F17" i="17"/>
  <c r="G17" i="17"/>
  <c r="H17" i="17"/>
  <c r="I17" i="17"/>
  <c r="J17" i="17"/>
  <c r="K17" i="17"/>
  <c r="L17" i="17"/>
  <c r="D18" i="17"/>
  <c r="E18" i="17"/>
  <c r="F18" i="17"/>
  <c r="G18" i="17"/>
  <c r="H18" i="17"/>
  <c r="I18" i="17"/>
  <c r="J18" i="17"/>
  <c r="K18" i="17"/>
  <c r="L18" i="17"/>
  <c r="D19" i="17"/>
  <c r="E19" i="17"/>
  <c r="F19" i="17"/>
  <c r="G19" i="17"/>
  <c r="H19" i="17"/>
  <c r="I19" i="17"/>
  <c r="J19" i="17"/>
  <c r="K19" i="17"/>
  <c r="L19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D5" i="17"/>
  <c r="E5" i="17"/>
  <c r="F5" i="17"/>
  <c r="G5" i="17"/>
  <c r="H5" i="17"/>
  <c r="I5" i="17"/>
  <c r="J5" i="17"/>
  <c r="K5" i="17"/>
  <c r="L5" i="17"/>
  <c r="C5" i="17"/>
  <c r="B2" i="17"/>
  <c r="N27" i="12"/>
  <c r="N25" i="12"/>
  <c r="N24" i="12"/>
  <c r="N22" i="12"/>
  <c r="N21" i="12"/>
  <c r="D22" i="12"/>
  <c r="D21" i="12"/>
  <c r="D20" i="12"/>
  <c r="D30" i="12"/>
  <c r="D28" i="12"/>
  <c r="F6" i="16"/>
  <c r="F4" i="16"/>
  <c r="H30" i="12"/>
  <c r="H29" i="12"/>
  <c r="H28" i="12"/>
  <c r="H27" i="12"/>
  <c r="D29" i="12"/>
  <c r="H23" i="12"/>
  <c r="H21" i="12"/>
  <c r="I30" i="12"/>
  <c r="I28" i="12"/>
  <c r="H22" i="12"/>
  <c r="G29" i="12"/>
  <c r="G27" i="12"/>
  <c r="G28" i="12"/>
  <c r="I27" i="12"/>
  <c r="H20" i="12"/>
  <c r="J16" i="12"/>
  <c r="I16" i="12"/>
  <c r="H16" i="12"/>
  <c r="G16" i="12"/>
  <c r="J15" i="12"/>
  <c r="I15" i="12"/>
  <c r="H15" i="12"/>
  <c r="G15" i="12"/>
  <c r="F16" i="12"/>
  <c r="F15" i="12"/>
  <c r="J10" i="12"/>
  <c r="J11" i="12"/>
  <c r="J12" i="12"/>
  <c r="J9" i="12"/>
  <c r="G30" i="19" l="1"/>
  <c r="G32" i="19" s="1"/>
  <c r="G34" i="19" s="1"/>
  <c r="G36" i="19" s="1"/>
  <c r="G56" i="19" s="1"/>
  <c r="F30" i="19"/>
  <c r="F32" i="19" s="1"/>
  <c r="F34" i="19" s="1"/>
  <c r="F36" i="19" s="1"/>
  <c r="E10" i="19"/>
  <c r="E30" i="19"/>
  <c r="E32" i="19" s="1"/>
  <c r="D32" i="19"/>
  <c r="D10" i="19"/>
  <c r="D18" i="19" s="1"/>
  <c r="C30" i="19"/>
  <c r="C32" i="19" s="1"/>
  <c r="G10" i="19"/>
  <c r="G18" i="19" s="1"/>
  <c r="C16" i="19"/>
  <c r="C18" i="19" s="1"/>
  <c r="C34" i="19" s="1"/>
  <c r="C36" i="19" s="1"/>
  <c r="E16" i="19"/>
  <c r="E18" i="19" s="1"/>
  <c r="F18" i="19"/>
  <c r="H10" i="12"/>
  <c r="H11" i="12"/>
  <c r="H12" i="12"/>
  <c r="H9" i="12"/>
  <c r="G10" i="12"/>
  <c r="G11" i="12"/>
  <c r="G12" i="12"/>
  <c r="G9" i="12"/>
  <c r="D34" i="19" l="1"/>
  <c r="D36" i="19" s="1"/>
  <c r="D42" i="19"/>
  <c r="D46" i="19" s="1"/>
  <c r="D47" i="19" s="1"/>
  <c r="D55" i="19" s="1"/>
  <c r="D57" i="19" s="1"/>
  <c r="E42" i="19"/>
  <c r="E46" i="19" s="1"/>
  <c r="E47" i="19" s="1"/>
  <c r="E55" i="19" s="1"/>
  <c r="E57" i="19" s="1"/>
  <c r="E34" i="19"/>
  <c r="E36" i="19" s="1"/>
  <c r="F42" i="19"/>
  <c r="F46" i="19" s="1"/>
  <c r="F47" i="19" s="1"/>
  <c r="F55" i="19" s="1"/>
  <c r="F57" i="19" s="1"/>
  <c r="G42" i="19"/>
  <c r="G46" i="19" s="1"/>
  <c r="G47" i="19" s="1"/>
  <c r="G55" i="19" s="1"/>
  <c r="G57" i="19" s="1"/>
  <c r="D40" i="8"/>
  <c r="E40" i="8"/>
  <c r="F40" i="8"/>
  <c r="G40" i="8"/>
  <c r="H40" i="8"/>
  <c r="I40" i="8"/>
  <c r="J40" i="8"/>
  <c r="K40" i="8"/>
  <c r="L40" i="8"/>
  <c r="C40" i="8"/>
  <c r="C22" i="8"/>
  <c r="H9" i="8"/>
  <c r="L3" i="8"/>
  <c r="I3" i="8"/>
  <c r="J3" i="8"/>
  <c r="K3" i="8"/>
  <c r="D3" i="8"/>
  <c r="E3" i="8"/>
  <c r="F3" i="8"/>
  <c r="G3" i="8"/>
  <c r="H3" i="8"/>
  <c r="C3" i="8"/>
  <c r="B2" i="8"/>
  <c r="D99" i="7"/>
  <c r="E99" i="7"/>
  <c r="F99" i="7"/>
  <c r="G99" i="7"/>
  <c r="H99" i="7"/>
  <c r="I99" i="7"/>
  <c r="J99" i="7"/>
  <c r="K99" i="7"/>
  <c r="L99" i="7"/>
  <c r="C99" i="7"/>
  <c r="C90" i="7"/>
  <c r="D90" i="7"/>
  <c r="E90" i="7"/>
  <c r="F90" i="7"/>
  <c r="G90" i="7"/>
  <c r="H90" i="7"/>
  <c r="I90" i="7"/>
  <c r="J90" i="7"/>
  <c r="K90" i="7"/>
  <c r="L90" i="7"/>
  <c r="D81" i="7"/>
  <c r="E81" i="7"/>
  <c r="F81" i="7"/>
  <c r="G81" i="7"/>
  <c r="H81" i="7"/>
  <c r="I81" i="7"/>
  <c r="J81" i="7"/>
  <c r="K81" i="7"/>
  <c r="L81" i="7"/>
  <c r="C81" i="7"/>
  <c r="D64" i="7"/>
  <c r="E64" i="7"/>
  <c r="F64" i="7"/>
  <c r="G64" i="7"/>
  <c r="H64" i="7"/>
  <c r="I64" i="7"/>
  <c r="J64" i="7"/>
  <c r="K64" i="7"/>
  <c r="L64" i="7"/>
  <c r="C64" i="7"/>
  <c r="D58" i="7"/>
  <c r="D59" i="7" s="1"/>
  <c r="E58" i="7"/>
  <c r="E59" i="7" s="1"/>
  <c r="E66" i="7" s="1"/>
  <c r="E68" i="7" s="1"/>
  <c r="F58" i="7"/>
  <c r="F59" i="7" s="1"/>
  <c r="F66" i="7" s="1"/>
  <c r="F68" i="7" s="1"/>
  <c r="G58" i="7"/>
  <c r="G59" i="7" s="1"/>
  <c r="G66" i="7" s="1"/>
  <c r="G68" i="7" s="1"/>
  <c r="H58" i="7"/>
  <c r="H59" i="7" s="1"/>
  <c r="H66" i="7" s="1"/>
  <c r="I58" i="7"/>
  <c r="I59" i="7" s="1"/>
  <c r="I66" i="7" s="1"/>
  <c r="J58" i="7"/>
  <c r="J59" i="7" s="1"/>
  <c r="J66" i="7" s="1"/>
  <c r="K58" i="7"/>
  <c r="K59" i="7" s="1"/>
  <c r="K66" i="7" s="1"/>
  <c r="L58" i="7"/>
  <c r="L59" i="7" s="1"/>
  <c r="L66" i="7" s="1"/>
  <c r="C58" i="7"/>
  <c r="C59" i="7" s="1"/>
  <c r="C66" i="7" s="1"/>
  <c r="C68" i="7" s="1"/>
  <c r="C45" i="7"/>
  <c r="D37" i="7"/>
  <c r="D42" i="7" s="1"/>
  <c r="E37" i="7"/>
  <c r="E42" i="7" s="1"/>
  <c r="F37" i="7"/>
  <c r="F42" i="7" s="1"/>
  <c r="E9" i="8" s="1"/>
  <c r="G37" i="7"/>
  <c r="G42" i="7" s="1"/>
  <c r="F9" i="8" s="1"/>
  <c r="H37" i="7"/>
  <c r="H42" i="7" s="1"/>
  <c r="I37" i="7"/>
  <c r="I42" i="7" s="1"/>
  <c r="J37" i="7"/>
  <c r="J42" i="7" s="1"/>
  <c r="I9" i="8" s="1"/>
  <c r="K37" i="7"/>
  <c r="K42" i="7" s="1"/>
  <c r="L37" i="7"/>
  <c r="L42" i="7" s="1"/>
  <c r="C37" i="7"/>
  <c r="C42" i="7" s="1"/>
  <c r="M31" i="7"/>
  <c r="D31" i="7"/>
  <c r="E31" i="7"/>
  <c r="F31" i="7"/>
  <c r="G31" i="7"/>
  <c r="H31" i="7"/>
  <c r="I31" i="7"/>
  <c r="J31" i="7"/>
  <c r="K31" i="7"/>
  <c r="L31" i="7"/>
  <c r="C31" i="7"/>
  <c r="M25" i="7"/>
  <c r="D25" i="7"/>
  <c r="E25" i="7"/>
  <c r="F25" i="7"/>
  <c r="G25" i="7"/>
  <c r="H25" i="7"/>
  <c r="I25" i="7"/>
  <c r="J25" i="7"/>
  <c r="K25" i="7"/>
  <c r="L25" i="7"/>
  <c r="C25" i="7"/>
  <c r="M22" i="7"/>
  <c r="D22" i="7"/>
  <c r="E22" i="7"/>
  <c r="F22" i="7"/>
  <c r="G22" i="7"/>
  <c r="H22" i="7"/>
  <c r="I22" i="7"/>
  <c r="J22" i="7"/>
  <c r="K22" i="7"/>
  <c r="L22" i="7"/>
  <c r="C22" i="7"/>
  <c r="C51" i="6"/>
  <c r="D51" i="6"/>
  <c r="E51" i="6"/>
  <c r="F51" i="6"/>
  <c r="G51" i="6"/>
  <c r="H51" i="6"/>
  <c r="I51" i="6"/>
  <c r="J51" i="6"/>
  <c r="K51" i="6"/>
  <c r="B51" i="6"/>
  <c r="D16" i="7"/>
  <c r="E16" i="7"/>
  <c r="F16" i="7"/>
  <c r="G16" i="7"/>
  <c r="H16" i="7"/>
  <c r="I16" i="7"/>
  <c r="J16" i="7"/>
  <c r="K16" i="7"/>
  <c r="L16" i="7"/>
  <c r="C16" i="7"/>
  <c r="M10" i="7"/>
  <c r="D10" i="7" a="1"/>
  <c r="D10" i="7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C10" i="7" a="1"/>
  <c r="C10" i="7" s="1"/>
  <c r="M7" i="7"/>
  <c r="D7" i="7"/>
  <c r="D38" i="8" s="1"/>
  <c r="E7" i="7"/>
  <c r="E30" i="8" s="1"/>
  <c r="F7" i="7"/>
  <c r="F38" i="8" s="1"/>
  <c r="G7" i="7"/>
  <c r="G38" i="8" s="1"/>
  <c r="H7" i="7"/>
  <c r="I7" i="7"/>
  <c r="J7" i="7"/>
  <c r="J17" i="7" s="1"/>
  <c r="J17" i="8" s="1"/>
  <c r="K7" i="7"/>
  <c r="K17" i="7" s="1"/>
  <c r="K17" i="8" s="1"/>
  <c r="L7" i="7"/>
  <c r="L38" i="8" s="1"/>
  <c r="C7" i="7"/>
  <c r="L3" i="7"/>
  <c r="L3" i="17" s="1"/>
  <c r="L22" i="17" s="1"/>
  <c r="D3" i="7"/>
  <c r="D3" i="17" s="1"/>
  <c r="D22" i="17" s="1"/>
  <c r="E3" i="7"/>
  <c r="E3" i="17" s="1"/>
  <c r="E22" i="17" s="1"/>
  <c r="F3" i="7"/>
  <c r="F3" i="17" s="1"/>
  <c r="F22" i="17" s="1"/>
  <c r="G3" i="7"/>
  <c r="G3" i="17" s="1"/>
  <c r="G22" i="17" s="1"/>
  <c r="H3" i="7"/>
  <c r="H3" i="17" s="1"/>
  <c r="H22" i="17" s="1"/>
  <c r="I3" i="7"/>
  <c r="I3" i="17" s="1"/>
  <c r="I22" i="17" s="1"/>
  <c r="J3" i="7"/>
  <c r="J3" i="17" s="1"/>
  <c r="J22" i="17" s="1"/>
  <c r="K3" i="7"/>
  <c r="K3" i="17" s="1"/>
  <c r="K22" i="17" s="1"/>
  <c r="C3" i="7"/>
  <c r="C3" i="17" s="1"/>
  <c r="C22" i="17" s="1"/>
  <c r="B2" i="7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6" i="1" s="1"/>
  <c r="E19" i="1" s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H13" i="1" s="1"/>
  <c r="I12" i="1"/>
  <c r="J12" i="1"/>
  <c r="J13" i="1" s="1"/>
  <c r="K12" i="1"/>
  <c r="K13" i="1" s="1"/>
  <c r="C15" i="1"/>
  <c r="D15" i="1"/>
  <c r="E15" i="1"/>
  <c r="F15" i="1"/>
  <c r="G15" i="1"/>
  <c r="H15" i="1"/>
  <c r="I15" i="1"/>
  <c r="J15" i="1"/>
  <c r="K15" i="1"/>
  <c r="B15" i="1"/>
  <c r="I13" i="1"/>
  <c r="B7" i="1"/>
  <c r="B4" i="1"/>
  <c r="A1" i="1"/>
  <c r="A1" i="3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3" i="3"/>
  <c r="L15" i="1"/>
  <c r="B12" i="1"/>
  <c r="B11" i="1"/>
  <c r="B10" i="1"/>
  <c r="B9" i="1"/>
  <c r="B8" i="1"/>
  <c r="B3" i="1"/>
  <c r="D59" i="19" l="1"/>
  <c r="D60" i="19"/>
  <c r="D50" i="19"/>
  <c r="D49" i="19"/>
  <c r="K9" i="8"/>
  <c r="D9" i="8"/>
  <c r="G21" i="2"/>
  <c r="K14" i="3"/>
  <c r="J14" i="3"/>
  <c r="C20" i="2"/>
  <c r="L9" i="8"/>
  <c r="I21" i="2"/>
  <c r="C21" i="2"/>
  <c r="C23" i="2"/>
  <c r="J9" i="8"/>
  <c r="L27" i="8"/>
  <c r="L33" i="8" s="1"/>
  <c r="K14" i="1"/>
  <c r="D6" i="1"/>
  <c r="D19" i="1" s="1"/>
  <c r="F14" i="1"/>
  <c r="E23" i="2"/>
  <c r="H23" i="1"/>
  <c r="I17" i="7"/>
  <c r="I17" i="8" s="1"/>
  <c r="M19" i="7"/>
  <c r="M28" i="7" s="1"/>
  <c r="L31" i="8"/>
  <c r="J20" i="2"/>
  <c r="I14" i="3"/>
  <c r="H8" i="7"/>
  <c r="H5" i="8" s="1"/>
  <c r="G31" i="8"/>
  <c r="H23" i="2"/>
  <c r="L28" i="8"/>
  <c r="I28" i="8"/>
  <c r="H28" i="8"/>
  <c r="J30" i="8"/>
  <c r="H30" i="8"/>
  <c r="B14" i="3"/>
  <c r="G30" i="8"/>
  <c r="L6" i="1"/>
  <c r="C16" i="2"/>
  <c r="C9" i="8"/>
  <c r="H27" i="8"/>
  <c r="H33" i="8" s="1"/>
  <c r="K21" i="2"/>
  <c r="G6" i="1"/>
  <c r="G19" i="1" s="1"/>
  <c r="K31" i="8"/>
  <c r="F29" i="8"/>
  <c r="F35" i="8" s="1"/>
  <c r="K38" i="8"/>
  <c r="J14" i="1"/>
  <c r="L11" i="1"/>
  <c r="J31" i="8"/>
  <c r="J38" i="8"/>
  <c r="C6" i="1"/>
  <c r="C19" i="1" s="1"/>
  <c r="I31" i="8"/>
  <c r="K28" i="8"/>
  <c r="I38" i="8"/>
  <c r="I30" i="8"/>
  <c r="K27" i="8"/>
  <c r="K33" i="8" s="1"/>
  <c r="J27" i="8"/>
  <c r="J33" i="8" s="1"/>
  <c r="F30" i="8"/>
  <c r="I27" i="8"/>
  <c r="I33" i="8" s="1"/>
  <c r="B16" i="2"/>
  <c r="C3" i="10" a="1"/>
  <c r="C3" i="10" s="1"/>
  <c r="F14" i="3"/>
  <c r="G29" i="8"/>
  <c r="G35" i="8" s="1"/>
  <c r="G27" i="8"/>
  <c r="G33" i="8" s="1"/>
  <c r="J21" i="2"/>
  <c r="H21" i="2"/>
  <c r="G9" i="8"/>
  <c r="H31" i="8"/>
  <c r="J28" i="8"/>
  <c r="E38" i="8"/>
  <c r="E28" i="8"/>
  <c r="E31" i="8"/>
  <c r="E27" i="8"/>
  <c r="E33" i="8" s="1"/>
  <c r="L68" i="7"/>
  <c r="L39" i="8"/>
  <c r="D28" i="8"/>
  <c r="D27" i="8"/>
  <c r="D33" i="8" s="1"/>
  <c r="D31" i="8"/>
  <c r="D30" i="8"/>
  <c r="K68" i="7"/>
  <c r="K39" i="8"/>
  <c r="E29" i="8"/>
  <c r="E35" i="8" s="1"/>
  <c r="G39" i="8"/>
  <c r="K16" i="2"/>
  <c r="C31" i="8"/>
  <c r="C30" i="8"/>
  <c r="C29" i="8"/>
  <c r="C35" i="8" s="1"/>
  <c r="C28" i="8"/>
  <c r="C38" i="8"/>
  <c r="C27" i="8"/>
  <c r="C33" i="8" s="1"/>
  <c r="F39" i="8"/>
  <c r="J16" i="2"/>
  <c r="I23" i="2"/>
  <c r="E20" i="2"/>
  <c r="L17" i="7"/>
  <c r="L17" i="8" s="1"/>
  <c r="L30" i="8"/>
  <c r="L29" i="8"/>
  <c r="L35" i="8" s="1"/>
  <c r="E39" i="8"/>
  <c r="I68" i="7"/>
  <c r="I39" i="8"/>
  <c r="H68" i="7"/>
  <c r="H39" i="8"/>
  <c r="E14" i="3"/>
  <c r="D20" i="2"/>
  <c r="D3" i="10" a="1"/>
  <c r="J68" i="7"/>
  <c r="J39" i="8"/>
  <c r="D29" i="8"/>
  <c r="D35" i="8" s="1"/>
  <c r="G23" i="2"/>
  <c r="L12" i="1"/>
  <c r="L13" i="1" s="1"/>
  <c r="L14" i="1" s="1"/>
  <c r="H16" i="2"/>
  <c r="K23" i="2"/>
  <c r="F21" i="2"/>
  <c r="F31" i="8"/>
  <c r="F27" i="8"/>
  <c r="F33" i="8" s="1"/>
  <c r="E21" i="2"/>
  <c r="D21" i="2"/>
  <c r="J29" i="8"/>
  <c r="J35" i="8" s="1"/>
  <c r="G28" i="8"/>
  <c r="C39" i="8"/>
  <c r="H38" i="8"/>
  <c r="I23" i="1"/>
  <c r="K29" i="8"/>
  <c r="K35" i="8" s="1"/>
  <c r="B23" i="2"/>
  <c r="I29" i="8"/>
  <c r="I35" i="8" s="1"/>
  <c r="F28" i="8"/>
  <c r="J6" i="1"/>
  <c r="J19" i="1" s="1"/>
  <c r="F16" i="2"/>
  <c r="C14" i="1"/>
  <c r="I6" i="1"/>
  <c r="I19" i="1" s="1"/>
  <c r="H14" i="3"/>
  <c r="L5" i="1"/>
  <c r="G14" i="3"/>
  <c r="D16" i="2"/>
  <c r="D23" i="2"/>
  <c r="K30" i="8"/>
  <c r="H29" i="8"/>
  <c r="H35" i="8" s="1"/>
  <c r="B20" i="2"/>
  <c r="G20" i="2"/>
  <c r="L10" i="1"/>
  <c r="C17" i="7"/>
  <c r="C17" i="8" s="1"/>
  <c r="D66" i="7"/>
  <c r="L23" i="7"/>
  <c r="D13" i="7"/>
  <c r="D14" i="7" s="1"/>
  <c r="D11" i="8" s="1"/>
  <c r="K23" i="7"/>
  <c r="J23" i="7"/>
  <c r="I23" i="7"/>
  <c r="H23" i="7"/>
  <c r="H13" i="7"/>
  <c r="H19" i="7" s="1"/>
  <c r="E26" i="7"/>
  <c r="E18" i="8" s="1"/>
  <c r="F11" i="7"/>
  <c r="G23" i="7"/>
  <c r="F23" i="7"/>
  <c r="J26" i="7"/>
  <c r="J18" i="8" s="1"/>
  <c r="M13" i="7"/>
  <c r="M14" i="7" s="1"/>
  <c r="I26" i="7"/>
  <c r="I18" i="8" s="1"/>
  <c r="H26" i="7"/>
  <c r="H18" i="8" s="1"/>
  <c r="G26" i="7"/>
  <c r="G18" i="8" s="1"/>
  <c r="L8" i="7"/>
  <c r="L5" i="8" s="1"/>
  <c r="M20" i="7"/>
  <c r="I11" i="7"/>
  <c r="I13" i="7"/>
  <c r="I19" i="7" s="1"/>
  <c r="C11" i="7"/>
  <c r="J11" i="7"/>
  <c r="H17" i="7"/>
  <c r="H17" i="8" s="1"/>
  <c r="G8" i="7"/>
  <c r="G5" i="8" s="1"/>
  <c r="H11" i="7"/>
  <c r="G17" i="7"/>
  <c r="G17" i="8" s="1"/>
  <c r="L26" i="7"/>
  <c r="L18" i="8" s="1"/>
  <c r="E17" i="7"/>
  <c r="E17" i="8" s="1"/>
  <c r="D17" i="7"/>
  <c r="D17" i="8" s="1"/>
  <c r="E23" i="7"/>
  <c r="D23" i="7"/>
  <c r="E8" i="7"/>
  <c r="E5" i="8" s="1"/>
  <c r="M23" i="7"/>
  <c r="E11" i="7"/>
  <c r="L11" i="7"/>
  <c r="F8" i="7"/>
  <c r="F5" i="8" s="1"/>
  <c r="J13" i="7"/>
  <c r="J19" i="7" s="1"/>
  <c r="F17" i="7"/>
  <c r="F17" i="8" s="1"/>
  <c r="K26" i="7"/>
  <c r="K18" i="8" s="1"/>
  <c r="K11" i="7"/>
  <c r="K13" i="7"/>
  <c r="G13" i="7"/>
  <c r="G11" i="7"/>
  <c r="F26" i="7"/>
  <c r="F18" i="8" s="1"/>
  <c r="M11" i="7"/>
  <c r="E13" i="7"/>
  <c r="K8" i="7"/>
  <c r="K5" i="8" s="1"/>
  <c r="M26" i="7"/>
  <c r="D11" i="7"/>
  <c r="D26" i="7"/>
  <c r="D18" i="8" s="1"/>
  <c r="D8" i="7"/>
  <c r="D5" i="8" s="1"/>
  <c r="C23" i="7"/>
  <c r="C13" i="7"/>
  <c r="C26" i="7"/>
  <c r="C18" i="8" s="1"/>
  <c r="M8" i="7"/>
  <c r="F13" i="7"/>
  <c r="L13" i="7"/>
  <c r="J8" i="7"/>
  <c r="J5" i="8" s="1"/>
  <c r="I8" i="7"/>
  <c r="I5" i="8" s="1"/>
  <c r="A1" i="2"/>
  <c r="A1" i="4" s="1"/>
  <c r="G14" i="1"/>
  <c r="G24" i="2"/>
  <c r="K20" i="2"/>
  <c r="F24" i="2"/>
  <c r="F20" i="2"/>
  <c r="E24" i="2"/>
  <c r="K6" i="1"/>
  <c r="K19" i="1" s="1"/>
  <c r="F23" i="2"/>
  <c r="B13" i="1"/>
  <c r="B14" i="1" s="1"/>
  <c r="L4" i="1"/>
  <c r="L23" i="1" s="1"/>
  <c r="B6" i="1"/>
  <c r="B19" i="1" s="1"/>
  <c r="L7" i="1"/>
  <c r="D14" i="3"/>
  <c r="J23" i="2"/>
  <c r="D24" i="2"/>
  <c r="I24" i="2"/>
  <c r="B21" i="2"/>
  <c r="L9" i="1"/>
  <c r="N9" i="1" s="1"/>
  <c r="E1" i="3"/>
  <c r="C14" i="3"/>
  <c r="I16" i="2"/>
  <c r="K24" i="2"/>
  <c r="E1" i="2"/>
  <c r="I14" i="1"/>
  <c r="C24" i="2"/>
  <c r="J23" i="1"/>
  <c r="H14" i="1"/>
  <c r="G16" i="2"/>
  <c r="D13" i="1"/>
  <c r="E13" i="1" s="1"/>
  <c r="E14" i="1" s="1"/>
  <c r="L8" i="1"/>
  <c r="N8" i="1" s="1"/>
  <c r="J24" i="2"/>
  <c r="H24" i="2"/>
  <c r="E16" i="2"/>
  <c r="I20" i="2"/>
  <c r="H20" i="2"/>
  <c r="K23" i="1"/>
  <c r="H6" i="1"/>
  <c r="H19" i="1" s="1"/>
  <c r="F6" i="1"/>
  <c r="F19" i="1" s="1"/>
  <c r="E1" i="4"/>
  <c r="N11" i="1" l="1"/>
  <c r="M11" i="1"/>
  <c r="J24" i="1"/>
  <c r="I25" i="1"/>
  <c r="K24" i="1"/>
  <c r="C13" i="10"/>
  <c r="C14" i="10" s="1"/>
  <c r="C15" i="10" s="1"/>
  <c r="C16" i="10" s="1"/>
  <c r="C17" i="10" s="1"/>
  <c r="I24" i="1"/>
  <c r="D14" i="1"/>
  <c r="H25" i="1" s="1"/>
  <c r="L25" i="1"/>
  <c r="J25" i="1"/>
  <c r="H20" i="7"/>
  <c r="H12" i="8" s="1"/>
  <c r="H21" i="8"/>
  <c r="H25" i="8"/>
  <c r="H13" i="8"/>
  <c r="H19" i="8" s="1"/>
  <c r="D68" i="7"/>
  <c r="D39" i="8"/>
  <c r="D3" i="10"/>
  <c r="E5" i="10"/>
  <c r="E6" i="10"/>
  <c r="E7" i="10"/>
  <c r="E8" i="10"/>
  <c r="E9" i="10"/>
  <c r="E10" i="10"/>
  <c r="E11" i="10"/>
  <c r="E12" i="10"/>
  <c r="H14" i="7"/>
  <c r="H11" i="8" s="1"/>
  <c r="K25" i="1"/>
  <c r="H24" i="1"/>
  <c r="J28" i="7"/>
  <c r="J34" i="7" s="1"/>
  <c r="I6" i="8"/>
  <c r="J21" i="8"/>
  <c r="J13" i="8"/>
  <c r="J19" i="8" s="1"/>
  <c r="J25" i="8"/>
  <c r="N23" i="1"/>
  <c r="N4" i="1" s="1"/>
  <c r="M9" i="1"/>
  <c r="I28" i="7"/>
  <c r="H6" i="8"/>
  <c r="I21" i="8"/>
  <c r="I25" i="8"/>
  <c r="I13" i="8"/>
  <c r="I19" i="8" s="1"/>
  <c r="M23" i="1"/>
  <c r="M4" i="1" s="1"/>
  <c r="H28" i="7"/>
  <c r="H34" i="7" s="1"/>
  <c r="I14" i="7"/>
  <c r="I11" i="8" s="1"/>
  <c r="I20" i="7"/>
  <c r="I12" i="8" s="1"/>
  <c r="D19" i="7"/>
  <c r="D28" i="7"/>
  <c r="D32" i="7" s="1"/>
  <c r="J20" i="7"/>
  <c r="J12" i="8" s="1"/>
  <c r="J14" i="7"/>
  <c r="J11" i="8" s="1"/>
  <c r="F19" i="7"/>
  <c r="F14" i="7"/>
  <c r="F11" i="8" s="1"/>
  <c r="G19" i="7"/>
  <c r="G14" i="7"/>
  <c r="G11" i="8" s="1"/>
  <c r="K14" i="7"/>
  <c r="K11" i="8" s="1"/>
  <c r="K19" i="7"/>
  <c r="M29" i="7"/>
  <c r="M34" i="7"/>
  <c r="C14" i="7"/>
  <c r="C11" i="8" s="1"/>
  <c r="C19" i="7"/>
  <c r="E19" i="7"/>
  <c r="E14" i="7"/>
  <c r="E11" i="8" s="1"/>
  <c r="M32" i="7"/>
  <c r="L14" i="7"/>
  <c r="L11" i="8" s="1"/>
  <c r="L19" i="7"/>
  <c r="M8" i="1"/>
  <c r="L19" i="1"/>
  <c r="L24" i="1" s="1"/>
  <c r="M24" i="1" s="1"/>
  <c r="J29" i="7" l="1"/>
  <c r="M25" i="1"/>
  <c r="M14" i="1" s="1"/>
  <c r="N25" i="1"/>
  <c r="N14" i="1" s="1"/>
  <c r="H23" i="8"/>
  <c r="K25" i="8"/>
  <c r="K13" i="8"/>
  <c r="K19" i="8" s="1"/>
  <c r="J6" i="8"/>
  <c r="K21" i="8"/>
  <c r="G21" i="8"/>
  <c r="G25" i="8"/>
  <c r="G13" i="8"/>
  <c r="G19" i="8" s="1"/>
  <c r="F6" i="8"/>
  <c r="M6" i="1"/>
  <c r="M10" i="1" s="1"/>
  <c r="M12" i="1" s="1"/>
  <c r="M13" i="1" s="1"/>
  <c r="F21" i="8"/>
  <c r="F13" i="8"/>
  <c r="F19" i="8" s="1"/>
  <c r="F25" i="8"/>
  <c r="E6" i="8"/>
  <c r="J32" i="7"/>
  <c r="I7" i="8"/>
  <c r="G6" i="8"/>
  <c r="E13" i="8"/>
  <c r="E19" i="8" s="1"/>
  <c r="E25" i="8"/>
  <c r="E21" i="8"/>
  <c r="D6" i="8"/>
  <c r="D14" i="10"/>
  <c r="D15" i="10"/>
  <c r="D16" i="10"/>
  <c r="D17" i="10"/>
  <c r="D13" i="10"/>
  <c r="E13" i="10" s="1"/>
  <c r="M35" i="7"/>
  <c r="H7" i="8"/>
  <c r="I29" i="7"/>
  <c r="I32" i="7"/>
  <c r="I34" i="7"/>
  <c r="I8" i="8"/>
  <c r="J23" i="8"/>
  <c r="J34" i="8"/>
  <c r="J36" i="8" s="1"/>
  <c r="J14" i="8"/>
  <c r="H32" i="7"/>
  <c r="H29" i="7"/>
  <c r="E4" i="10"/>
  <c r="L25" i="8"/>
  <c r="L13" i="8"/>
  <c r="L19" i="8" s="1"/>
  <c r="K6" i="8"/>
  <c r="L21" i="8"/>
  <c r="L6" i="8"/>
  <c r="C25" i="8"/>
  <c r="C13" i="8"/>
  <c r="C19" i="8" s="1"/>
  <c r="C21" i="8"/>
  <c r="D29" i="7"/>
  <c r="D20" i="7"/>
  <c r="D12" i="8" s="1"/>
  <c r="D25" i="8"/>
  <c r="D13" i="8"/>
  <c r="D19" i="8" s="1"/>
  <c r="D21" i="8"/>
  <c r="C6" i="8"/>
  <c r="D34" i="7"/>
  <c r="H35" i="7"/>
  <c r="H15" i="8" s="1"/>
  <c r="H39" i="7"/>
  <c r="G20" i="7"/>
  <c r="G12" i="8" s="1"/>
  <c r="G28" i="7"/>
  <c r="F20" i="7"/>
  <c r="F12" i="8" s="1"/>
  <c r="F28" i="7"/>
  <c r="L28" i="7"/>
  <c r="L20" i="7"/>
  <c r="L12" i="8" s="1"/>
  <c r="E20" i="7"/>
  <c r="E12" i="8" s="1"/>
  <c r="E28" i="7"/>
  <c r="D7" i="8" s="1"/>
  <c r="C28" i="7"/>
  <c r="C7" i="8" s="1"/>
  <c r="C20" i="7"/>
  <c r="C12" i="8" s="1"/>
  <c r="J39" i="7"/>
  <c r="J35" i="7"/>
  <c r="J15" i="8" s="1"/>
  <c r="K28" i="7"/>
  <c r="J7" i="8" s="1"/>
  <c r="K20" i="7"/>
  <c r="K12" i="8" s="1"/>
  <c r="N24" i="1"/>
  <c r="N6" i="1" s="1"/>
  <c r="E14" i="10" l="1"/>
  <c r="M15" i="1"/>
  <c r="E15" i="10"/>
  <c r="F7" i="8"/>
  <c r="E16" i="10"/>
  <c r="E7" i="8"/>
  <c r="H14" i="8"/>
  <c r="H34" i="8"/>
  <c r="H36" i="8" s="1"/>
  <c r="G7" i="8"/>
  <c r="H8" i="8"/>
  <c r="I23" i="8"/>
  <c r="I39" i="7"/>
  <c r="I43" i="7" s="1"/>
  <c r="I45" i="7" s="1"/>
  <c r="I22" i="8" s="1"/>
  <c r="I24" i="8" s="1"/>
  <c r="I35" i="7"/>
  <c r="I15" i="8" s="1"/>
  <c r="D39" i="7"/>
  <c r="D43" i="7" s="1"/>
  <c r="D45" i="7" s="1"/>
  <c r="D22" i="8" s="1"/>
  <c r="D23" i="8"/>
  <c r="I14" i="8"/>
  <c r="I34" i="8"/>
  <c r="I36" i="8" s="1"/>
  <c r="K7" i="8"/>
  <c r="L7" i="8"/>
  <c r="M5" i="1"/>
  <c r="D14" i="8"/>
  <c r="D34" i="8"/>
  <c r="D36" i="8" s="1"/>
  <c r="E17" i="10"/>
  <c r="D35" i="7"/>
  <c r="D15" i="8" s="1"/>
  <c r="L29" i="7"/>
  <c r="L34" i="7"/>
  <c r="L32" i="7"/>
  <c r="F34" i="7"/>
  <c r="F29" i="7"/>
  <c r="F32" i="7"/>
  <c r="K29" i="7"/>
  <c r="K34" i="7"/>
  <c r="K32" i="7"/>
  <c r="G34" i="7"/>
  <c r="G29" i="7"/>
  <c r="G32" i="7"/>
  <c r="J43" i="7"/>
  <c r="J45" i="7" s="1"/>
  <c r="J22" i="8" s="1"/>
  <c r="J24" i="8" s="1"/>
  <c r="H43" i="7"/>
  <c r="H45" i="7" s="1"/>
  <c r="H22" i="8" s="1"/>
  <c r="H24" i="8" s="1"/>
  <c r="E34" i="7"/>
  <c r="E29" i="7"/>
  <c r="E32" i="7"/>
  <c r="C34" i="7"/>
  <c r="C23" i="8" s="1"/>
  <c r="C24" i="8" s="1"/>
  <c r="C32" i="7"/>
  <c r="C29" i="7"/>
  <c r="N10" i="1"/>
  <c r="N12" i="1" s="1"/>
  <c r="N13" i="1" s="1"/>
  <c r="N15" i="1" s="1"/>
  <c r="N5" i="1"/>
  <c r="J40" i="7" l="1"/>
  <c r="D24" i="8"/>
  <c r="I40" i="7"/>
  <c r="C8" i="8"/>
  <c r="E8" i="8"/>
  <c r="F23" i="8"/>
  <c r="K8" i="8"/>
  <c r="L23" i="8"/>
  <c r="L8" i="8"/>
  <c r="L34" i="8"/>
  <c r="L36" i="8" s="1"/>
  <c r="L14" i="8"/>
  <c r="G14" i="8"/>
  <c r="G34" i="8"/>
  <c r="G36" i="8" s="1"/>
  <c r="C34" i="8"/>
  <c r="C36" i="8" s="1"/>
  <c r="C14" i="8"/>
  <c r="J8" i="8"/>
  <c r="K23" i="8"/>
  <c r="K14" i="8"/>
  <c r="K34" i="8"/>
  <c r="K36" i="8" s="1"/>
  <c r="E14" i="8"/>
  <c r="E34" i="8"/>
  <c r="E36" i="8" s="1"/>
  <c r="F8" i="8"/>
  <c r="G23" i="8"/>
  <c r="G8" i="8"/>
  <c r="D8" i="8"/>
  <c r="E23" i="8"/>
  <c r="F14" i="8"/>
  <c r="F34" i="8"/>
  <c r="F36" i="8" s="1"/>
  <c r="E35" i="7"/>
  <c r="E15" i="8" s="1"/>
  <c r="E39" i="7"/>
  <c r="F35" i="7"/>
  <c r="F15" i="8" s="1"/>
  <c r="F39" i="7"/>
  <c r="L35" i="7"/>
  <c r="L15" i="8" s="1"/>
  <c r="L39" i="7"/>
  <c r="G35" i="7"/>
  <c r="G15" i="8" s="1"/>
  <c r="G39" i="7"/>
  <c r="C39" i="7"/>
  <c r="D40" i="7" s="1"/>
  <c r="C35" i="7"/>
  <c r="C15" i="8" s="1"/>
  <c r="K35" i="7"/>
  <c r="K15" i="8" s="1"/>
  <c r="K39" i="7"/>
  <c r="K40" i="7" l="1"/>
  <c r="K43" i="7"/>
  <c r="K45" i="7" s="1"/>
  <c r="K22" i="8" s="1"/>
  <c r="K24" i="8" s="1"/>
  <c r="G40" i="7"/>
  <c r="G43" i="7"/>
  <c r="G45" i="7" s="1"/>
  <c r="G22" i="8" s="1"/>
  <c r="G24" i="8" s="1"/>
  <c r="H40" i="7"/>
  <c r="L40" i="7"/>
  <c r="L43" i="7"/>
  <c r="L45" i="7" s="1"/>
  <c r="L22" i="8" s="1"/>
  <c r="L24" i="8" s="1"/>
  <c r="F40" i="7"/>
  <c r="F43" i="7"/>
  <c r="F45" i="7" s="1"/>
  <c r="F22" i="8" s="1"/>
  <c r="F24" i="8" s="1"/>
  <c r="E40" i="7"/>
  <c r="E43" i="7"/>
  <c r="E45" i="7" s="1"/>
  <c r="E22" i="8" s="1"/>
  <c r="E2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Ritika Khatwani</author>
  </authors>
  <commentList>
    <comment ref="I7" authorId="0" shapeId="0" xr:uid="{DBB4F135-D07C-4939-952A-0A92DEC83E1C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we have to calculate beta for every peer company through company and nifty weekly return and then regression then x variable is the raw beta and that is the beta we will write here
</t>
        </r>
      </text>
    </comment>
    <comment ref="D20" authorId="0" shapeId="0" xr:uid="{A1B759C1-041F-4292-A6E3-49E1AE9E049B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current year interest/total debt
</t>
        </r>
      </text>
    </comment>
    <comment ref="G27" authorId="0" shapeId="0" xr:uid="{E2C36310-FB23-4901-8C04-3DDECC04FFC9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1 company's debt
</t>
        </r>
      </text>
    </comment>
    <comment ref="H27" authorId="0" shapeId="0" xr:uid="{379889A7-5DA6-4F70-9092-CB3219E5C038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capital structure total debt/ lock total capital
</t>
        </r>
      </text>
    </comment>
    <comment ref="B28" authorId="0" shapeId="0" xr:uid="{F147CE63-45E8-4795-B7F7-7DA0CBB2BDA0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rf-rm = erp
</t>
        </r>
      </text>
    </comment>
    <comment ref="D28" authorId="0" shapeId="0" xr:uid="{F0FB0751-689F-4DAB-93BE-8BD856709EEB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total market return from rm - rf from cost of equity
</t>
        </r>
      </text>
    </comment>
    <comment ref="G28" authorId="0" shapeId="0" xr:uid="{3CFDA9F8-F8A2-4A45-A7B8-DA14B47F3D29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1 company's market cap
</t>
        </r>
      </text>
    </comment>
    <comment ref="H28" authorId="0" shapeId="0" xr:uid="{8D57B966-D5AB-43FB-9EAC-9F1E0E4BA1D2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capital structure market capitalization/lock total capitalization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Ritika Khatwani</author>
  </authors>
  <commentList>
    <comment ref="B2" authorId="0" shapeId="0" xr:uid="{F0CA55B7-6F81-495F-BB4C-631E35189595}">
      <text>
        <r>
          <rPr>
            <b/>
            <sz val="9"/>
            <color indexed="81"/>
            <rFont val="Tahoma"/>
            <family val="2"/>
          </rPr>
          <t>Ritika Khatwani:</t>
        </r>
        <r>
          <rPr>
            <sz val="9"/>
            <color indexed="81"/>
            <rFont val="Tahoma"/>
            <family val="2"/>
          </rPr>
          <t xml:space="preserve">
from prime investor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<sst xmlns="http://schemas.openxmlformats.org/spreadsheetml/2006/main" count="517" uniqueCount="368">
  <si>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</si>
  <si>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</si>
  <si>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</si>
  <si>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</si>
  <si>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</si>
  <si>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</si>
  <si>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</si>
  <si>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</si>
  <si>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</si>
  <si>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</si>
  <si>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</si>
  <si>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</si>
  <si>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</si>
  <si>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</si>
  <si>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</si>
  <si>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</si>
  <si>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</si>
  <si>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</si>
  <si>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</si>
  <si>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</si>
  <si>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</si>
  <si>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</si>
  <si>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</si>
  <si>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</si>
  <si>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</si>
  <si>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</si>
  <si>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</si>
  <si>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</si>
  <si>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</si>
  <si>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</si>
  <si>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</si>
  <si>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</si>
  <si>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</si>
  <si>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</si>
  <si>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</si>
  <si>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</si>
  <si>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</si>
  <si>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</si>
  <si>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</si>
  <si>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</si>
  <si>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</si>
  <si>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</si>
  <si>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</si>
  <si>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</si>
  <si>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</si>
  <si>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</si>
  <si>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</si>
  <si>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</si>
  <si>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</si>
  <si>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</si>
  <si>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</si>
  <si>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</si>
  <si>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</si>
  <si>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</si>
  <si>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</si>
  <si>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</si>
  <si>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</si>
  <si>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</si>
  <si>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</si>
  <si>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</si>
  <si>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</si>
  <si>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</si>
  <si>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GODREJ CONSUMER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</si>
  <si>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</si>
  <si>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</si>
  <si>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</si>
  <si>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</si>
  <si>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</si>
  <si>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</si>
  <si>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</si>
  <si>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</si>
  <si>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</si>
  <si>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</si>
  <si>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</si>
  <si>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</si>
  <si>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</si>
  <si>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</si>
  <si>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</si>
  <si>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</si>
  <si>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</si>
  <si>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</si>
  <si>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</si>
  <si>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</si>
  <si>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</si>
  <si>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</si>
  <si>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</si>
  <si>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</si>
  <si>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</si>
  <si>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</si>
  <si>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</si>
  <si>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</si>
  <si>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</si>
  <si>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</si>
  <si>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</si>
  <si>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#</t>
  </si>
  <si>
    <t>Income Statement</t>
  </si>
  <si>
    <t xml:space="preserve">COGS </t>
  </si>
  <si>
    <t>COGS % Sales</t>
  </si>
  <si>
    <t>Gross Profit</t>
  </si>
  <si>
    <t>Gross Margin</t>
  </si>
  <si>
    <t>S&amp;G Exp</t>
  </si>
  <si>
    <t>S&amp;G Exp % Sales</t>
  </si>
  <si>
    <t>EBITDA</t>
  </si>
  <si>
    <t>EBITDA Margins</t>
  </si>
  <si>
    <t>Interest % Sales</t>
  </si>
  <si>
    <t>Dep % Sales</t>
  </si>
  <si>
    <t>Earnings Before Tax</t>
  </si>
  <si>
    <t>EBT % Sales</t>
  </si>
  <si>
    <t>Effective Tax Rate</t>
  </si>
  <si>
    <t>Net Profit</t>
  </si>
  <si>
    <t>Net Margins</t>
  </si>
  <si>
    <t>No of Equity Share</t>
  </si>
  <si>
    <t>Earnings Per Share</t>
  </si>
  <si>
    <t>Eps % Growth</t>
  </si>
  <si>
    <t>Dividend Per Share</t>
  </si>
  <si>
    <t>Dividend Payout Ratio</t>
  </si>
  <si>
    <t>Retained Earnings</t>
  </si>
  <si>
    <t>Balance Sheet</t>
  </si>
  <si>
    <t>Total Liabities</t>
  </si>
  <si>
    <t>Fixed Asset Net Block</t>
  </si>
  <si>
    <t>Total Non Current Assets</t>
  </si>
  <si>
    <t>Total Current Assets</t>
  </si>
  <si>
    <t>Total Assets</t>
  </si>
  <si>
    <t>CHECK</t>
  </si>
  <si>
    <t>Cash Flow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</si>
  <si>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</si>
  <si>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</si>
  <si>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</si>
  <si>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</si>
  <si>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</si>
  <si>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</si>
  <si>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Operating Activity -</t>
  </si>
  <si>
    <t>Cash from Operating Activities</t>
  </si>
  <si>
    <t>Fixed assets purchased</t>
  </si>
  <si>
    <t>Fixed assets sold</t>
  </si>
  <si>
    <t>Investments purchased</t>
  </si>
  <si>
    <t>Investments sold</t>
  </si>
  <si>
    <t>Interest received</t>
  </si>
  <si>
    <t>Other investing items</t>
  </si>
  <si>
    <t>Investing Activity -</t>
  </si>
  <si>
    <t>Cash from Investing Activities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</si>
  <si>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</si>
  <si>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</si>
  <si>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</si>
  <si>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</si>
  <si>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</si>
  <si>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</si>
  <si>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Financing Activity -</t>
  </si>
  <si>
    <t>Cash from Financing Activities</t>
  </si>
  <si>
    <t>Year</t>
  </si>
  <si>
    <t>EBITDA Growth</t>
  </si>
  <si>
    <t>EBIT Growth</t>
  </si>
  <si>
    <t>Net Profit Growth</t>
  </si>
  <si>
    <t>Dividend Growth</t>
  </si>
  <si>
    <t>EBITDA Margin</t>
  </si>
  <si>
    <t>EBIT Margin</t>
  </si>
  <si>
    <t>Net Profit Margin</t>
  </si>
  <si>
    <t>Sales Exp % Sales</t>
  </si>
  <si>
    <t>Depreciation % Sales</t>
  </si>
  <si>
    <t>Operating Income % Sales</t>
  </si>
  <si>
    <t>Return on Capital Employed</t>
  </si>
  <si>
    <t>Return on Equity %</t>
  </si>
  <si>
    <t>Retained Earnings 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</si>
  <si>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</si>
  <si>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</si>
  <si>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</si>
  <si>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</si>
  <si>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</si>
  <si>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</si>
  <si>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</si>
  <si>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</si>
  <si>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</t>
  </si>
  <si>
    <t>CFO / Sales</t>
  </si>
  <si>
    <t>CFO / Total Assets</t>
  </si>
  <si>
    <t>CFO / Total Debt</t>
  </si>
  <si>
    <t>EBT Margin</t>
  </si>
  <si>
    <t>EBITDA - DEP/SALES</t>
  </si>
  <si>
    <t>EBITDA-DEP/SUM OF 3</t>
  </si>
  <si>
    <t>NET PROFIT/SUM OF 2</t>
  </si>
  <si>
    <t>Retained Earnings*Return on Equity</t>
  </si>
  <si>
    <t>EBITDA-DEP/INTEREST</t>
  </si>
  <si>
    <t>SALES/SUM OF 2</t>
  </si>
  <si>
    <t>SUM OF DEBTOR,INVENTORY-PAYABLE</t>
  </si>
  <si>
    <t>Year Weight</t>
  </si>
  <si>
    <t>Weighted Average Cost Of Capital</t>
  </si>
  <si>
    <t>All Figures are in INR unless stated otherwise</t>
  </si>
  <si>
    <t>peer comps</t>
  </si>
  <si>
    <t>Name of the Company</t>
  </si>
  <si>
    <t>Country</t>
  </si>
  <si>
    <t>Total Debt</t>
  </si>
  <si>
    <t>Total Equity</t>
  </si>
  <si>
    <r>
      <t xml:space="preserve">Tax Rate </t>
    </r>
    <r>
      <rPr>
        <b/>
        <vertAlign val="superscript"/>
        <sz val="11"/>
        <color theme="0"/>
        <rFont val="Calibri"/>
        <family val="2"/>
      </rPr>
      <t>1</t>
    </r>
  </si>
  <si>
    <t>Debt/Equity</t>
  </si>
  <si>
    <t>Debt/Capital</t>
  </si>
  <si>
    <r>
      <t xml:space="preserve">Leveraged Beta </t>
    </r>
    <r>
      <rPr>
        <b/>
        <vertAlign val="superscript"/>
        <sz val="11"/>
        <color theme="0"/>
        <rFont val="Calibri"/>
        <family val="2"/>
      </rPr>
      <t>2</t>
    </r>
  </si>
  <si>
    <r>
      <t xml:space="preserve">Unleveraged Beta </t>
    </r>
    <r>
      <rPr>
        <b/>
        <vertAlign val="superscript"/>
        <sz val="11"/>
        <color theme="0"/>
        <rFont val="Calibri"/>
        <family val="2"/>
      </rPr>
      <t>3</t>
    </r>
  </si>
  <si>
    <t>Britannia Industries Ltd</t>
  </si>
  <si>
    <t>India</t>
  </si>
  <si>
    <t>Hindustan Unilever Ltd</t>
  </si>
  <si>
    <t>ITC Ltd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</si>
  <si>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</si>
  <si>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</si>
  <si>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</si>
  <si>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</si>
  <si>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</si>
  <si>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</si>
  <si>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</si>
  <si>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</si>
  <si>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</si>
  <si>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</si>
  <si>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</si>
  <si>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</si>
  <si>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</si>
  <si>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</si>
  <si>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</si>
  <si>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</si>
  <si>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</si>
  <si>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</si>
  <si>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</si>
  <si>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</si>
  <si>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</si>
  <si>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</si>
  <si>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</si>
  <si>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IT IS THE STRENGTH OF REGRESSION</t>
  </si>
  <si>
    <t>Average</t>
  </si>
  <si>
    <t>Median</t>
  </si>
  <si>
    <t>Cost Of Debt</t>
  </si>
  <si>
    <t>Pre-Tax Cost Of Debt</t>
  </si>
  <si>
    <t>Tax rate</t>
  </si>
  <si>
    <t>Post-Tax Cost Of Debt</t>
  </si>
  <si>
    <t>Cost Of Equity</t>
  </si>
  <si>
    <t>Risk Free Rate (rf)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</si>
  <si>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</si>
  <si>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Cost of Equity</t>
  </si>
  <si>
    <t>Levered Beta</t>
  </si>
  <si>
    <t>Comps Median Unlevered Beta</t>
  </si>
  <si>
    <t>Target Debt/Equity</t>
  </si>
  <si>
    <t>Tax Rate</t>
  </si>
  <si>
    <t xml:space="preserve">Levered Beta </t>
  </si>
  <si>
    <t>Capital Structure</t>
  </si>
  <si>
    <t>Current</t>
  </si>
  <si>
    <t>Target</t>
  </si>
  <si>
    <t>Total Capitalization</t>
  </si>
  <si>
    <t>Equity Weight</t>
  </si>
  <si>
    <t>Cost of Debt</t>
  </si>
  <si>
    <t>Debt Weight</t>
  </si>
  <si>
    <t>WACC</t>
  </si>
  <si>
    <t>Nestle India Ltd</t>
  </si>
  <si>
    <t>capital structure target debt/equity</t>
  </si>
  <si>
    <t>average debt/capital</t>
  </si>
  <si>
    <t>unlevereged beta median</t>
  </si>
  <si>
    <t>i29-i27</t>
  </si>
  <si>
    <t>i27/i28</t>
  </si>
  <si>
    <t>H20*(1+(1-H21)*H22)</t>
  </si>
  <si>
    <t>levered beta</t>
  </si>
  <si>
    <t>h27/h28</t>
  </si>
  <si>
    <t>10 yr bond from investing.com</t>
  </si>
  <si>
    <t>Annual</t>
  </si>
  <si>
    <t>−14.65%</t>
  </si>
  <si>
    <t>−16.18%</t>
  </si>
  <si>
    <t>−51.79%</t>
  </si>
  <si>
    <t>−24.62%</t>
  </si>
  <si>
    <t>−4.06%</t>
  </si>
  <si>
    <t>Nifty Returns</t>
  </si>
  <si>
    <t>Average Return</t>
  </si>
  <si>
    <t>Dividend Yield</t>
  </si>
  <si>
    <t>Total Market Return</t>
  </si>
  <si>
    <r>
      <t xml:space="preserve">1.32% </t>
    </r>
    <r>
      <rPr>
        <vertAlign val="superscript"/>
        <sz val="11"/>
        <color theme="1"/>
        <rFont val="Calibri"/>
        <family val="2"/>
        <scheme val="minor"/>
      </rPr>
      <t>1</t>
    </r>
  </si>
  <si>
    <t>1 ko superscript krna h</t>
  </si>
  <si>
    <t>d27+(d28*d29)</t>
  </si>
  <si>
    <t>d20*(1-d21)</t>
  </si>
  <si>
    <t>Total Liabilities</t>
  </si>
  <si>
    <t>Equity Capital</t>
  </si>
  <si>
    <r>
      <t>Borrowings </t>
    </r>
    <r>
      <rPr>
        <sz val="11"/>
        <color rgb="FF665EFD"/>
        <rFont val="Calibri"/>
        <family val="2"/>
        <scheme val="minor"/>
      </rPr>
      <t>-</t>
    </r>
  </si>
  <si>
    <t>Long term Borrowings</t>
  </si>
  <si>
    <t>Short term Borrowings</t>
  </si>
  <si>
    <t>Lease Liabilities</t>
  </si>
  <si>
    <t>Other Borrowings</t>
  </si>
  <si>
    <r>
      <t>Other Liabilities </t>
    </r>
    <r>
      <rPr>
        <sz val="11"/>
        <color rgb="FF665EFD"/>
        <rFont val="Calibri"/>
        <family val="2"/>
        <scheme val="minor"/>
      </rPr>
      <t>-</t>
    </r>
  </si>
  <si>
    <t>Non controlling int</t>
  </si>
  <si>
    <t>Trade Payables</t>
  </si>
  <si>
    <t>Advance from Customers</t>
  </si>
  <si>
    <t>Other liability items</t>
  </si>
  <si>
    <r>
      <t>Fixed Assets </t>
    </r>
    <r>
      <rPr>
        <sz val="11"/>
        <color rgb="FF665EFD"/>
        <rFont val="Calibri"/>
        <family val="2"/>
        <scheme val="minor"/>
      </rPr>
      <t>-</t>
    </r>
  </si>
  <si>
    <t>Land</t>
  </si>
  <si>
    <t>Building</t>
  </si>
  <si>
    <t>Plant Machinery</t>
  </si>
  <si>
    <t>Ships Vessels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</si>
  <si>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</si>
  <si>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</si>
  <si>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</si>
  <si>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</si>
  <si>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</si>
  <si>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</si>
  <si>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</si>
  <si>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</si>
  <si>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</si>
  <si>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r>
      <t>Other Assets </t>
    </r>
    <r>
      <rPr>
        <sz val="11"/>
        <color rgb="FF665EFD"/>
        <rFont val="Calibri"/>
        <family val="2"/>
        <scheme val="minor"/>
      </rPr>
      <t>-</t>
    </r>
  </si>
  <si>
    <t>Inventories</t>
  </si>
  <si>
    <t>Trade receivables</t>
  </si>
  <si>
    <t>Cash Equivalents</t>
  </si>
  <si>
    <t>Loans n Advances</t>
  </si>
  <si>
    <t>Other asset items</t>
  </si>
  <si>
    <t>Particulars</t>
  </si>
  <si>
    <t>Calculation Of ROIC</t>
  </si>
  <si>
    <t>Reinvestment Rate * Return on capital (ROIC) = for business</t>
  </si>
  <si>
    <t>Retention Ratio * Return on equity = for equity</t>
  </si>
  <si>
    <t>Current Asset</t>
  </si>
  <si>
    <t>Total Current Asset</t>
  </si>
  <si>
    <t>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</si>
  <si>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</si>
  <si>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</si>
  <si>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</si>
  <si>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</si>
  <si>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</si>
  <si>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</si>
  <si>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</si>
  <si>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</si>
  <si>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</si>
  <si>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</t>
  </si>
  <si>
    <t>EBIT (1-T)</t>
  </si>
  <si>
    <t>Reinvestment</t>
  </si>
  <si>
    <t>Reinvestment Rate</t>
  </si>
  <si>
    <t>4 year average</t>
  </si>
  <si>
    <t>4 year median</t>
  </si>
  <si>
    <t>Calculation Of Growth Rate</t>
  </si>
  <si>
    <t>Intrinsic Growth</t>
  </si>
  <si>
    <t>sum of 30 + 31</t>
  </si>
  <si>
    <t>sum of both net</t>
  </si>
  <si>
    <t>ebit/invested capital</t>
  </si>
  <si>
    <t>sum of fixed assets purchased and sold</t>
  </si>
  <si>
    <t>current - previous net working capital</t>
  </si>
  <si>
    <t>ebit * (1-tax)</t>
  </si>
  <si>
    <t>sum of net capex and change in working capital</t>
  </si>
  <si>
    <t>reinvestment/ebit (1-tax)</t>
  </si>
  <si>
    <t>55*56</t>
  </si>
  <si>
    <t>Total Current Liabilities</t>
  </si>
  <si>
    <t>current assets - current liabilities</t>
  </si>
  <si>
    <t>net profit / no of equity share</t>
  </si>
  <si>
    <t>dividend / no of equity share</t>
  </si>
  <si>
    <t>dividend per share / earning per share</t>
  </si>
  <si>
    <t>1-dividend payout ratio</t>
  </si>
  <si>
    <t xml:space="preserve">Equity Risk Premium </t>
  </si>
  <si>
    <t xml:space="preserve">Calculation of PV of FCFF </t>
  </si>
  <si>
    <t>Expected Growth Rate</t>
  </si>
  <si>
    <t>Less: Reinvestment Rate</t>
  </si>
  <si>
    <t>FCFF</t>
  </si>
  <si>
    <t>Mid Year Convention</t>
  </si>
  <si>
    <t>Discounting Factor</t>
  </si>
  <si>
    <t>PV OF FCFF</t>
  </si>
  <si>
    <t>Growth ka median</t>
  </si>
  <si>
    <t>previous * 1 + lock expected growth rate</t>
  </si>
  <si>
    <t>reinvestment rate ka median</t>
  </si>
  <si>
    <t>ebit 1-t * 1- reinvestment rate</t>
  </si>
  <si>
    <t>1/1+lock wacc ^ mid year convention</t>
  </si>
  <si>
    <t>fcff * discounting factor</t>
  </si>
  <si>
    <t>Terminal Growth</t>
  </si>
  <si>
    <t>Calculation of Terminal Value</t>
  </si>
  <si>
    <t>FCFF (n+1)</t>
  </si>
  <si>
    <t>fcff of last year * 1 + expected growth rate</t>
  </si>
  <si>
    <t>Terminal Value</t>
  </si>
  <si>
    <t>fcff (n+1)/wacc - expected growth rate</t>
  </si>
  <si>
    <t>Calculation of Enterprise Value</t>
  </si>
  <si>
    <t>PV of Terminal Value</t>
  </si>
  <si>
    <t>terminal value * discounting factor last year ka</t>
  </si>
  <si>
    <t>Enterprise Value</t>
  </si>
  <si>
    <t>sum of 25,26</t>
  </si>
  <si>
    <t>sum of pv of fcff of 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</si>
</sst>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#,##0;\(#,##0\);\-"/>
    <numFmt numFmtId="167" formatCode="#,##0.00;\(#,##0.00\);\-"/>
    <numFmt numFmtId="168" formatCode="0.00\x"/>
    <numFmt numFmtId="169" formatCode="0.0"/>
    <numFmt numFmtId="174" formatCode="0.00000000000%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rgb="FF22222F"/>
      <name val="Arial"/>
      <family val="2"/>
    </font>
    <font>
      <b/>
      <sz val="11"/>
      <color rgb="FF22222F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</font>
    <font>
      <b/>
      <i/>
      <sz val="11"/>
      <color theme="1"/>
      <name val="Calibri"/>
      <family val="2"/>
    </font>
    <font>
      <b/>
      <vertAlign val="superscript"/>
      <sz val="11"/>
      <color theme="0"/>
      <name val="Calibri"/>
      <family val="2"/>
    </font>
    <font>
      <sz val="11"/>
      <color rgb="FF002060"/>
      <name val="Calibri"/>
      <family val="2"/>
    </font>
    <font>
      <u/>
      <sz val="11"/>
      <color rgb="FF002060"/>
      <name val="Calibri"/>
      <family val="2"/>
    </font>
    <font>
      <sz val="11"/>
      <color rgb="FF002060"/>
      <name val="Arial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</font>
    <font>
      <sz val="11"/>
      <color rgb="FF22222F"/>
      <name val="Arial"/>
      <family val="2"/>
    </font>
    <font>
      <sz val="11"/>
      <color rgb="FF21252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181818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Inherit"/>
    </font>
    <font>
      <sz val="11"/>
      <color theme="1"/>
      <name val="Calibri"/>
      <family val="2"/>
      <scheme val="minor"/>
    </font>
    <font>
      <sz val="11"/>
      <color rgb="FF665EFD"/>
      <name val="Calibri"/>
      <family val="2"/>
      <scheme val="minor"/>
    </font>
    <font>
      <b/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DBE4F0"/>
      </bottom>
      <diagonal/>
    </border>
    <border>
      <left/>
      <right/>
      <top style="medium">
        <color rgb="FFDBE4F0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130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5" fillId="6" borderId="0" xfId="0" applyFont="1" applyFill="1"/>
    <xf numFmtId="17" fontId="5" fillId="6" borderId="0" xfId="0" applyNumberFormat="1" applyFont="1" applyFill="1"/>
    <xf numFmtId="0" fontId="5" fillId="6" borderId="0" xfId="0" applyFont="1" applyFill="1" applyAlignment="1">
      <alignment horizontal="right"/>
    </xf>
    <xf numFmtId="0" fontId="5" fillId="7" borderId="0" xfId="0" applyFont="1" applyFill="1"/>
    <xf numFmtId="10" fontId="0" fillId="0" borderId="0" xfId="6" applyNumberFormat="1" applyFont="1"/>
    <xf numFmtId="0" fontId="10" fillId="0" borderId="0" xfId="0" applyFont="1"/>
    <xf numFmtId="10" fontId="10" fillId="0" borderId="0" xfId="6" applyNumberFormat="1" applyFont="1"/>
    <xf numFmtId="43" fontId="0" fillId="0" borderId="0" xfId="0" applyNumberFormat="1"/>
    <xf numFmtId="2" fontId="0" fillId="0" borderId="0" xfId="0" applyNumberFormat="1"/>
    <xf numFmtId="166" fontId="0" fillId="0" borderId="0" xfId="0" applyNumberFormat="1"/>
    <xf numFmtId="4" fontId="0" fillId="0" borderId="0" xfId="0" applyNumberFormat="1"/>
    <xf numFmtId="43" fontId="1" fillId="0" borderId="0" xfId="1" applyFont="1" applyFill="1" applyBorder="1"/>
    <xf numFmtId="0" fontId="11" fillId="9" borderId="0" xfId="0" applyFont="1" applyFill="1" applyAlignment="1">
      <alignment horizontal="left" vertical="center"/>
    </xf>
    <xf numFmtId="167" fontId="11" fillId="9" borderId="0" xfId="0" applyNumberFormat="1" applyFont="1" applyFill="1" applyAlignment="1">
      <alignment horizontal="right" vertical="center" wrapText="1"/>
    </xf>
    <xf numFmtId="167" fontId="0" fillId="0" borderId="0" xfId="0" applyNumberFormat="1"/>
    <xf numFmtId="0" fontId="12" fillId="9" borderId="0" xfId="0" applyFont="1" applyFill="1" applyAlignment="1">
      <alignment horizontal="left" vertical="center"/>
    </xf>
    <xf numFmtId="167" fontId="1" fillId="0" borderId="0" xfId="0" applyNumberFormat="1" applyFont="1"/>
    <xf numFmtId="0" fontId="11" fillId="8" borderId="0" xfId="0" applyFont="1" applyFill="1" applyAlignment="1">
      <alignment horizontal="left" vertical="center"/>
    </xf>
    <xf numFmtId="167" fontId="11" fillId="8" borderId="0" xfId="0" applyNumberFormat="1" applyFont="1" applyFill="1" applyAlignment="1">
      <alignment horizontal="right" vertical="center" wrapText="1"/>
    </xf>
    <xf numFmtId="168" fontId="0" fillId="0" borderId="0" xfId="0" applyNumberFormat="1"/>
    <xf numFmtId="0" fontId="2" fillId="6" borderId="0" xfId="0" applyFont="1" applyFill="1"/>
    <xf numFmtId="17" fontId="0" fillId="0" borderId="0" xfId="0" applyNumberFormat="1"/>
    <xf numFmtId="17" fontId="0" fillId="10" borderId="0" xfId="0" applyNumberFormat="1" applyFill="1"/>
    <xf numFmtId="0" fontId="15" fillId="0" borderId="0" xfId="0" applyFont="1"/>
    <xf numFmtId="0" fontId="13" fillId="6" borderId="0" xfId="0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0" fontId="14" fillId="0" borderId="0" xfId="0" applyFont="1" applyAlignment="1">
      <alignment horizontal="center"/>
    </xf>
    <xf numFmtId="0" fontId="16" fillId="0" borderId="0" xfId="0" applyFont="1"/>
    <xf numFmtId="0" fontId="21" fillId="11" borderId="0" xfId="2" applyFont="1" applyFill="1" applyAlignment="1" applyProtection="1">
      <alignment horizontal="left" vertical="center"/>
    </xf>
    <xf numFmtId="0" fontId="20" fillId="0" borderId="0" xfId="0" applyFont="1"/>
    <xf numFmtId="169" fontId="22" fillId="8" borderId="0" xfId="0" applyNumberFormat="1" applyFont="1" applyFill="1" applyAlignment="1">
      <alignment horizontal="right" vertical="center" wrapText="1"/>
    </xf>
    <xf numFmtId="9" fontId="22" fillId="8" borderId="0" xfId="0" applyNumberFormat="1" applyFont="1" applyFill="1" applyAlignment="1">
      <alignment horizontal="right" vertical="center" wrapText="1"/>
    </xf>
    <xf numFmtId="10" fontId="0" fillId="12" borderId="0" xfId="6" applyNumberFormat="1" applyFont="1" applyFill="1"/>
    <xf numFmtId="9" fontId="0" fillId="0" borderId="0" xfId="6" applyFont="1"/>
    <xf numFmtId="0" fontId="0" fillId="0" borderId="1" xfId="0" applyBorder="1"/>
    <xf numFmtId="0" fontId="16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Continuous"/>
    </xf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9" fontId="0" fillId="0" borderId="4" xfId="0" applyNumberFormat="1" applyBorder="1"/>
    <xf numFmtId="10" fontId="0" fillId="0" borderId="4" xfId="6" applyNumberFormat="1" applyFont="1" applyBorder="1"/>
    <xf numFmtId="2" fontId="0" fillId="0" borderId="4" xfId="0" applyNumberFormat="1" applyBorder="1"/>
    <xf numFmtId="0" fontId="1" fillId="0" borderId="3" xfId="0" applyFont="1" applyBorder="1"/>
    <xf numFmtId="0" fontId="1" fillId="0" borderId="4" xfId="0" applyFont="1" applyBorder="1"/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10" fontId="0" fillId="13" borderId="0" xfId="0" applyNumberFormat="1" applyFill="1"/>
    <xf numFmtId="10" fontId="0" fillId="13" borderId="3" xfId="6" applyNumberFormat="1" applyFont="1" applyFill="1" applyBorder="1"/>
    <xf numFmtId="169" fontId="20" fillId="0" borderId="0" xfId="0" applyNumberFormat="1" applyFont="1" applyAlignment="1">
      <alignment horizontal="center"/>
    </xf>
    <xf numFmtId="169" fontId="20" fillId="0" borderId="4" xfId="0" applyNumberFormat="1" applyFont="1" applyBorder="1" applyAlignment="1">
      <alignment horizontal="center"/>
    </xf>
    <xf numFmtId="10" fontId="0" fillId="0" borderId="4" xfId="0" applyNumberFormat="1" applyBorder="1"/>
    <xf numFmtId="169" fontId="24" fillId="0" borderId="0" xfId="0" applyNumberFormat="1" applyFont="1" applyAlignment="1">
      <alignment horizontal="center"/>
    </xf>
    <xf numFmtId="10" fontId="0" fillId="13" borderId="0" xfId="6" applyNumberFormat="1" applyFont="1" applyFill="1"/>
    <xf numFmtId="10" fontId="0" fillId="0" borderId="0" xfId="6" applyNumberFormat="1" applyFont="1" applyBorder="1" applyAlignment="1">
      <alignment vertical="center"/>
    </xf>
    <xf numFmtId="0" fontId="14" fillId="13" borderId="0" xfId="0" applyFont="1" applyFill="1"/>
    <xf numFmtId="10" fontId="14" fillId="13" borderId="0" xfId="0" applyNumberFormat="1" applyFont="1" applyFill="1"/>
    <xf numFmtId="0" fontId="25" fillId="9" borderId="0" xfId="0" applyFont="1" applyFill="1" applyAlignment="1">
      <alignment horizontal="right" vertical="center" wrapText="1"/>
    </xf>
    <xf numFmtId="0" fontId="11" fillId="8" borderId="0" xfId="0" applyFont="1" applyFill="1" applyAlignment="1">
      <alignment horizontal="right" vertical="center" wrapText="1"/>
    </xf>
    <xf numFmtId="0" fontId="26" fillId="0" borderId="0" xfId="0" applyFont="1"/>
    <xf numFmtId="10" fontId="0" fillId="11" borderId="0" xfId="6" applyNumberFormat="1" applyFont="1" applyFill="1"/>
    <xf numFmtId="2" fontId="0" fillId="0" borderId="0" xfId="6" applyNumberFormat="1" applyFont="1"/>
    <xf numFmtId="10" fontId="0" fillId="0" borderId="3" xfId="0" applyNumberFormat="1" applyBorder="1"/>
    <xf numFmtId="2" fontId="0" fillId="0" borderId="4" xfId="6" applyNumberFormat="1" applyFont="1" applyBorder="1"/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right" vertical="center" wrapText="1"/>
    </xf>
    <xf numFmtId="10" fontId="29" fillId="0" borderId="0" xfId="0" applyNumberFormat="1" applyFont="1" applyAlignment="1">
      <alignment horizontal="right" vertical="center" wrapText="1"/>
    </xf>
    <xf numFmtId="9" fontId="1" fillId="0" borderId="0" xfId="6" applyFont="1"/>
    <xf numFmtId="10" fontId="0" fillId="0" borderId="0" xfId="6" applyNumberFormat="1" applyFont="1" applyAlignment="1">
      <alignment horizontal="right"/>
    </xf>
    <xf numFmtId="0" fontId="31" fillId="11" borderId="5" xfId="0" applyFont="1" applyFill="1" applyBorder="1" applyAlignment="1">
      <alignment horizontal="left" wrapText="1"/>
    </xf>
    <xf numFmtId="0" fontId="31" fillId="11" borderId="5" xfId="0" applyFont="1" applyFill="1" applyBorder="1" applyAlignment="1">
      <alignment horizontal="right" wrapText="1"/>
    </xf>
    <xf numFmtId="0" fontId="32" fillId="9" borderId="7" xfId="0" applyFont="1" applyFill="1" applyBorder="1" applyAlignment="1">
      <alignment horizontal="left" vertical="center" indent="2"/>
    </xf>
    <xf numFmtId="0" fontId="0" fillId="9" borderId="0" xfId="0" applyFill="1" applyAlignment="1">
      <alignment horizontal="left" vertical="center"/>
    </xf>
    <xf numFmtId="0" fontId="32" fillId="8" borderId="7" xfId="0" applyFont="1" applyFill="1" applyBorder="1" applyAlignment="1">
      <alignment horizontal="left" vertical="center" indent="2"/>
    </xf>
    <xf numFmtId="0" fontId="0" fillId="8" borderId="0" xfId="0" applyFill="1" applyAlignment="1">
      <alignment horizontal="left" vertical="center"/>
    </xf>
    <xf numFmtId="0" fontId="32" fillId="8" borderId="7" xfId="0" applyFont="1" applyFill="1" applyBorder="1" applyAlignment="1">
      <alignment horizontal="left" vertical="center"/>
    </xf>
    <xf numFmtId="17" fontId="2" fillId="6" borderId="6" xfId="0" applyNumberFormat="1" applyFont="1" applyFill="1" applyBorder="1" applyAlignment="1">
      <alignment horizontal="right" vertical="center" wrapText="1"/>
    </xf>
    <xf numFmtId="0" fontId="1" fillId="9" borderId="0" xfId="0" applyFont="1" applyFill="1" applyAlignment="1">
      <alignment horizontal="left" vertical="center" indent="2"/>
    </xf>
    <xf numFmtId="0" fontId="1" fillId="8" borderId="0" xfId="0" applyFont="1" applyFill="1" applyAlignment="1">
      <alignment horizontal="left" vertical="center" indent="2"/>
    </xf>
    <xf numFmtId="0" fontId="2" fillId="11" borderId="0" xfId="0" applyFont="1" applyFill="1"/>
    <xf numFmtId="17" fontId="2" fillId="11" borderId="0" xfId="0" applyNumberFormat="1" applyFont="1" applyFill="1" applyAlignment="1">
      <alignment horizontal="right" vertical="center" wrapText="1"/>
    </xf>
    <xf numFmtId="0" fontId="1" fillId="8" borderId="0" xfId="0" applyFont="1" applyFill="1" applyAlignment="1">
      <alignment horizontal="left" vertical="center"/>
    </xf>
    <xf numFmtId="167" fontId="0" fillId="9" borderId="0" xfId="0" applyNumberFormat="1" applyFill="1" applyAlignment="1">
      <alignment horizontal="right" vertical="center" wrapText="1"/>
    </xf>
    <xf numFmtId="167" fontId="0" fillId="8" borderId="0" xfId="0" applyNumberFormat="1" applyFill="1" applyAlignment="1">
      <alignment horizontal="right" vertical="center" wrapText="1"/>
    </xf>
    <xf numFmtId="167" fontId="32" fillId="9" borderId="7" xfId="0" applyNumberFormat="1" applyFont="1" applyFill="1" applyBorder="1" applyAlignment="1">
      <alignment horizontal="right" vertical="center" wrapText="1"/>
    </xf>
    <xf numFmtId="167" fontId="32" fillId="8" borderId="7" xfId="0" applyNumberFormat="1" applyFont="1" applyFill="1" applyBorder="1" applyAlignment="1">
      <alignment horizontal="right" vertical="center" wrapText="1"/>
    </xf>
    <xf numFmtId="0" fontId="13" fillId="6" borderId="0" xfId="0" applyFont="1" applyFill="1"/>
    <xf numFmtId="17" fontId="34" fillId="6" borderId="0" xfId="0" applyNumberFormat="1" applyFont="1" applyFill="1" applyAlignment="1">
      <alignment horizontal="right" vertical="center" wrapText="1"/>
    </xf>
    <xf numFmtId="4" fontId="1" fillId="0" borderId="0" xfId="0" applyNumberFormat="1" applyFont="1"/>
    <xf numFmtId="43" fontId="1" fillId="0" borderId="0" xfId="0" applyNumberFormat="1" applyFont="1"/>
    <xf numFmtId="10" fontId="1" fillId="0" borderId="0" xfId="6" applyNumberFormat="1" applyFont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 vertical="center"/>
    </xf>
    <xf numFmtId="17" fontId="13" fillId="6" borderId="0" xfId="0" applyNumberFormat="1" applyFont="1" applyFill="1"/>
    <xf numFmtId="0" fontId="1" fillId="0" borderId="8" xfId="0" applyFont="1" applyBorder="1"/>
    <xf numFmtId="2" fontId="1" fillId="0" borderId="8" xfId="0" applyNumberFormat="1" applyFont="1" applyBorder="1"/>
    <xf numFmtId="174" fontId="0" fillId="0" borderId="0" xfId="0" applyNumberFormat="1"/>
    <xf numFmtId="0" fontId="0" fillId="6" borderId="0" xfId="0" applyFill="1"/>
    <xf numFmtId="0" fontId="0" fillId="11" borderId="0" xfId="0" applyFill="1"/>
    <xf numFmtId="0" fontId="0" fillId="10" borderId="0" xfId="0" applyFill="1"/>
    <xf numFmtId="2" fontId="0" fillId="10" borderId="0" xfId="0" applyNumberFormat="1" applyFill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066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Forecasting!$D$2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Forecasting!$C$3:$C$12</c:f>
              <c:numCache>
                <c:formatCode>mmm\-yy</c:formatCode>
                <c:ptCount val="10"/>
                <c:pt idx="0">
                  <c:v>42094</c:v>
                </c:pt>
                <c:pt idx="1">
                  <c:v>42460</c:v>
                </c:pt>
                <c:pt idx="2">
                  <c:v>42825</c:v>
                </c:pt>
                <c:pt idx="3">
                  <c:v>43190</c:v>
                </c:pt>
                <c:pt idx="4">
                  <c:v>43555</c:v>
                </c:pt>
                <c:pt idx="5">
                  <c:v>43921</c:v>
                </c:pt>
                <c:pt idx="6">
                  <c:v>44286</c:v>
                </c:pt>
                <c:pt idx="7">
                  <c:v>44651</c:v>
                </c:pt>
                <c:pt idx="8">
                  <c:v>45016</c:v>
                </c:pt>
                <c:pt idx="9">
                  <c:v>45382</c:v>
                </c:pt>
              </c:numCache>
            </c:numRef>
          </c:xVal>
          <c:yVal>
            <c:numRef>
              <c:f>Forecasting!$D$3:$D$12</c:f>
              <c:numCache>
                <c:formatCode>General</c:formatCode>
                <c:ptCount val="10"/>
                <c:pt idx="0">
                  <c:v>8273.15</c:v>
                </c:pt>
                <c:pt idx="1">
                  <c:v>8423.8799999999992</c:v>
                </c:pt>
                <c:pt idx="2">
                  <c:v>9267.91</c:v>
                </c:pt>
                <c:pt idx="3">
                  <c:v>9847.43</c:v>
                </c:pt>
                <c:pt idx="4">
                  <c:v>10314.34</c:v>
                </c:pt>
                <c:pt idx="5">
                  <c:v>9910.7999999999993</c:v>
                </c:pt>
                <c:pt idx="6">
                  <c:v>11028.62</c:v>
                </c:pt>
                <c:pt idx="7">
                  <c:v>12276.5</c:v>
                </c:pt>
                <c:pt idx="8">
                  <c:v>13315.97</c:v>
                </c:pt>
                <c:pt idx="9">
                  <c:v>14096.11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2-4B5C-9B41-4DBA41F95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77680"/>
        <c:axId val="313579600"/>
      </c:scatterChart>
      <c:valAx>
        <c:axId val="3135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79600"/>
        <c:crosses val="autoZero"/>
        <c:crossBetween val="midCat"/>
      </c:valAx>
      <c:valAx>
        <c:axId val="3135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7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2</xdr:row>
      <xdr:rowOff>133350</xdr:rowOff>
    </xdr:from>
    <xdr:to>
      <xdr:col>21</xdr:col>
      <xdr:colOff>76200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09099-211F-F0A6-1E09-98CD02C4E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screener.in/company/DMART/consolidated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/>
  <cols>
    <col min="1" max="1" width="20.6640625" customWidth="1"/>
    <col min="2" max="6" width="13.44140625" customWidth="1"/>
    <col min="7" max="7" width="14.77734375" bestFit="1" customWidth="1"/>
    <col min="8" max="11" width="13.44140625" customWidth="1"/>
    <col min="12" max="12" width="13.33203125" customWidth="1"/>
    <col min="13" max="14" width="12.109375" customWidth="1"/>
  </cols>
  <sheetData>
    <row r="1" spans="1:14" s="2" customFormat="1">
      <c r="A1" s="2">
        <f>'Data Sheet'!B1</f>
        <v>0</v>
      </c>
      <c r="H1" t="str">
        <f>UPDATE</f>
        <v/>
      </c>
      <c r="J1" s="3"/>
      <c r="K1" s="3"/>
      <c r="M1" s="2" t="s">
        <v>0</v>
      </c>
    </row>
    <row r="3" spans="1:14" s="2" customFormat="1">
      <c r="A3" s="11" t="s">
        <v>1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2</v>
      </c>
      <c r="M3" s="13" t="s">
        <v>3</v>
      </c>
      <c r="N3" s="13" t="s">
        <v>4</v>
      </c>
    </row>
    <row r="4" spans="1:14" s="2" customFormat="1">
      <c r="A4" s="2" t="s">
        <v>5</v>
      </c>
      <c r="B4" s="1">
        <f>'Data Sheet'!B17</f>
        <v>8273.15</v>
      </c>
      <c r="C4" s="1">
        <f>'Data Sheet'!C17</f>
        <v>8423.8799999999992</v>
      </c>
      <c r="D4" s="1">
        <f>'Data Sheet'!D17</f>
        <v>9267.91</v>
      </c>
      <c r="E4" s="1">
        <f>'Data Sheet'!E17</f>
        <v>9847.43</v>
      </c>
      <c r="F4" s="1">
        <f>'Data Sheet'!F17</f>
        <v>10314.34</v>
      </c>
      <c r="G4" s="1">
        <f>'Data Sheet'!G17</f>
        <v>9910.7999999999993</v>
      </c>
      <c r="H4" s="1">
        <f>'Data Sheet'!H17</f>
        <v>11028.62</v>
      </c>
      <c r="I4" s="1">
        <f>'Data Sheet'!I17</f>
        <v>12276.5</v>
      </c>
      <c r="J4" s="1">
        <f>'Data Sheet'!J17</f>
        <v>13315.97</v>
      </c>
      <c r="K4" s="1">
        <f>'Data Sheet'!K17</f>
        <v>14096.11</v>
      </c>
      <c r="L4" s="1">
        <f>SUM(Quarters!H4:K4)</f>
        <v>14151.95</v>
      </c>
      <c r="M4" s="1">
        <f>$K4+M23*K4</f>
        <v>15297.670976054465</v>
      </c>
      <c r="N4" s="1">
        <f>$K4+N23*L4</f>
        <v>14925.2273885943</v>
      </c>
    </row>
    <row r="5" spans="1:14">
      <c r="A5" t="s">
        <v>6</v>
      </c>
      <c r="B5" s="6">
        <f>SUM('Data Sheet'!B18,'Data Sheet'!B20:B24, -1*'Data Sheet'!B19)</f>
        <v>6894.2</v>
      </c>
      <c r="C5" s="6">
        <f>SUM('Data Sheet'!C18,'Data Sheet'!C20:C24, -1*'Data Sheet'!C19)</f>
        <v>6766.5</v>
      </c>
      <c r="D5" s="6">
        <f>SUM('Data Sheet'!D18,'Data Sheet'!D20:D24, -1*'Data Sheet'!D19)</f>
        <v>7361.2000000000016</v>
      </c>
      <c r="E5" s="6">
        <f>SUM('Data Sheet'!E18,'Data Sheet'!E20:E24, -1*'Data Sheet'!E19)</f>
        <v>7763.03</v>
      </c>
      <c r="F5" s="6">
        <f>SUM('Data Sheet'!F18,'Data Sheet'!F20:F24, -1*'Data Sheet'!F19)</f>
        <v>8182.7699999999995</v>
      </c>
      <c r="G5" s="6">
        <f>SUM('Data Sheet'!G18,'Data Sheet'!G20:G24, -1*'Data Sheet'!G19)</f>
        <v>7757.0499999999993</v>
      </c>
      <c r="H5" s="6">
        <f>SUM('Data Sheet'!H18,'Data Sheet'!H20:H24, -1*'Data Sheet'!H19)</f>
        <v>8629.3599999999988</v>
      </c>
      <c r="I5" s="6">
        <f>SUM('Data Sheet'!I18,'Data Sheet'!I20:I24, -1*'Data Sheet'!I19)</f>
        <v>9867.32</v>
      </c>
      <c r="J5" s="6">
        <f>SUM('Data Sheet'!J18,'Data Sheet'!J20:J24, -1*'Data Sheet'!J19)</f>
        <v>10872.770000000002</v>
      </c>
      <c r="K5" s="6">
        <f>SUM('Data Sheet'!K18,'Data Sheet'!K20:K24, -1*'Data Sheet'!K19)</f>
        <v>11138.79</v>
      </c>
      <c r="L5" s="6">
        <f>SUM(Quarters!H5:K5)</f>
        <v>11156.22</v>
      </c>
      <c r="M5" s="6">
        <f t="shared" ref="M5:N5" si="0">M4-M6</f>
        <v>12059.41109857499</v>
      </c>
      <c r="N5" s="6">
        <f t="shared" si="0"/>
        <v>11988.32341428469</v>
      </c>
    </row>
    <row r="6" spans="1:14" s="2" customFormat="1">
      <c r="A6" s="2" t="s">
        <v>7</v>
      </c>
      <c r="B6" s="1">
        <f>B4-B5</f>
        <v>1378.9499999999998</v>
      </c>
      <c r="C6" s="1">
        <f t="shared" ref="C6:K6" si="1">C4-C5</f>
        <v>1657.3799999999992</v>
      </c>
      <c r="D6" s="1">
        <f t="shared" si="1"/>
        <v>1906.7099999999982</v>
      </c>
      <c r="E6" s="1">
        <f t="shared" si="1"/>
        <v>2084.4000000000005</v>
      </c>
      <c r="F6" s="1">
        <f t="shared" si="1"/>
        <v>2131.5700000000006</v>
      </c>
      <c r="G6" s="1">
        <f t="shared" si="1"/>
        <v>2153.75</v>
      </c>
      <c r="H6" s="1">
        <f t="shared" si="1"/>
        <v>2399.260000000002</v>
      </c>
      <c r="I6" s="1">
        <f t="shared" si="1"/>
        <v>2409.1800000000003</v>
      </c>
      <c r="J6" s="1">
        <f t="shared" si="1"/>
        <v>2443.1999999999971</v>
      </c>
      <c r="K6" s="1">
        <f t="shared" si="1"/>
        <v>2957.3199999999997</v>
      </c>
      <c r="L6" s="1">
        <f>SUM(Quarters!H6:K6)</f>
        <v>2995.73</v>
      </c>
      <c r="M6" s="1">
        <f>M4*M24</f>
        <v>3238.2598774794742</v>
      </c>
      <c r="N6" s="1">
        <f>N4*N24</f>
        <v>2936.9039743096087</v>
      </c>
    </row>
    <row r="7" spans="1:14">
      <c r="A7" t="s">
        <v>8</v>
      </c>
      <c r="B7" s="6">
        <f>'Data Sheet'!B25</f>
        <v>73.010000000000005</v>
      </c>
      <c r="C7" s="6">
        <f>'Data Sheet'!C25</f>
        <v>-262.04000000000002</v>
      </c>
      <c r="D7" s="6">
        <f>'Data Sheet'!D25</f>
        <v>76.180000000000007</v>
      </c>
      <c r="E7" s="6">
        <f>'Data Sheet'!E25</f>
        <v>283.27999999999997</v>
      </c>
      <c r="F7" s="6">
        <f>'Data Sheet'!F25</f>
        <v>361.95</v>
      </c>
      <c r="G7" s="6">
        <f>'Data Sheet'!G25</f>
        <v>32.06</v>
      </c>
      <c r="H7" s="6">
        <f>'Data Sheet'!H25</f>
        <v>22.6</v>
      </c>
      <c r="I7" s="6">
        <f>'Data Sheet'!I25</f>
        <v>78.27</v>
      </c>
      <c r="J7" s="6">
        <f>'Data Sheet'!J25</f>
        <v>114.3</v>
      </c>
      <c r="K7" s="6">
        <f>'Data Sheet'!K25</f>
        <v>-2208.56</v>
      </c>
      <c r="L7" s="6">
        <f>SUM(Quarters!H7:K7)</f>
        <v>-2097.4299999999998</v>
      </c>
      <c r="M7" s="6">
        <v>0</v>
      </c>
      <c r="N7" s="6">
        <v>0</v>
      </c>
    </row>
    <row r="8" spans="1:14">
      <c r="A8" t="s">
        <v>9</v>
      </c>
      <c r="B8" s="6">
        <f>'Data Sheet'!B26</f>
        <v>90.78</v>
      </c>
      <c r="C8" s="6">
        <f>'Data Sheet'!C26</f>
        <v>100.63</v>
      </c>
      <c r="D8" s="6">
        <f>'Data Sheet'!D26</f>
        <v>141.57</v>
      </c>
      <c r="E8" s="6">
        <f>'Data Sheet'!E26</f>
        <v>155.68</v>
      </c>
      <c r="F8" s="6">
        <f>'Data Sheet'!F26</f>
        <v>169.98</v>
      </c>
      <c r="G8" s="6">
        <f>'Data Sheet'!G26</f>
        <v>197.28</v>
      </c>
      <c r="H8" s="6">
        <f>'Data Sheet'!H26</f>
        <v>203.85</v>
      </c>
      <c r="I8" s="6">
        <f>'Data Sheet'!I26</f>
        <v>209.93</v>
      </c>
      <c r="J8" s="6">
        <f>'Data Sheet'!J26</f>
        <v>236.29</v>
      </c>
      <c r="K8" s="6">
        <f>'Data Sheet'!K26</f>
        <v>240.96</v>
      </c>
      <c r="L8" s="6">
        <f>SUM(Quarters!H8:K8)</f>
        <v>211.36</v>
      </c>
      <c r="M8" s="6">
        <f>+$L8</f>
        <v>211.36</v>
      </c>
      <c r="N8" s="6">
        <f>+$L8</f>
        <v>211.36</v>
      </c>
    </row>
    <row r="9" spans="1:14">
      <c r="A9" t="s">
        <v>10</v>
      </c>
      <c r="B9" s="6">
        <f>'Data Sheet'!B27</f>
        <v>112.46</v>
      </c>
      <c r="C9" s="6">
        <f>'Data Sheet'!C27</f>
        <v>128.04</v>
      </c>
      <c r="D9" s="6">
        <f>'Data Sheet'!D27</f>
        <v>154.19</v>
      </c>
      <c r="E9" s="6">
        <f>'Data Sheet'!E27</f>
        <v>173.12</v>
      </c>
      <c r="F9" s="6">
        <f>'Data Sheet'!F27</f>
        <v>238.21</v>
      </c>
      <c r="G9" s="6">
        <f>'Data Sheet'!G27</f>
        <v>228.13</v>
      </c>
      <c r="H9" s="6">
        <f>'Data Sheet'!H27</f>
        <v>137.65</v>
      </c>
      <c r="I9" s="6">
        <f>'Data Sheet'!I27</f>
        <v>122.26</v>
      </c>
      <c r="J9" s="6">
        <f>'Data Sheet'!J27</f>
        <v>188.48</v>
      </c>
      <c r="K9" s="6">
        <f>'Data Sheet'!K27</f>
        <v>309.57</v>
      </c>
      <c r="L9" s="6">
        <f>SUM(Quarters!H9:K9)</f>
        <v>339.02</v>
      </c>
      <c r="M9" s="6">
        <f>+$L9</f>
        <v>339.02</v>
      </c>
      <c r="N9" s="6">
        <f>+$L9</f>
        <v>339.02</v>
      </c>
    </row>
    <row r="10" spans="1:14">
      <c r="A10" t="s">
        <v>11</v>
      </c>
      <c r="B10" s="6">
        <f>'Data Sheet'!B28</f>
        <v>1248.72</v>
      </c>
      <c r="C10" s="6">
        <f>'Data Sheet'!C28</f>
        <v>1166.67</v>
      </c>
      <c r="D10" s="6">
        <f>'Data Sheet'!D28</f>
        <v>1687.13</v>
      </c>
      <c r="E10" s="6">
        <f>'Data Sheet'!E28</f>
        <v>2038.88</v>
      </c>
      <c r="F10" s="6">
        <f>'Data Sheet'!F28</f>
        <v>2085.33</v>
      </c>
      <c r="G10" s="6">
        <f>'Data Sheet'!G28</f>
        <v>1760.4</v>
      </c>
      <c r="H10" s="6">
        <f>'Data Sheet'!H28</f>
        <v>2080.36</v>
      </c>
      <c r="I10" s="6">
        <f>'Data Sheet'!I28</f>
        <v>2155.2600000000002</v>
      </c>
      <c r="J10" s="6">
        <f>'Data Sheet'!J28</f>
        <v>2132.73</v>
      </c>
      <c r="K10" s="6">
        <f>'Data Sheet'!K28</f>
        <v>198.23</v>
      </c>
      <c r="L10" s="6">
        <f>SUM(Quarters!H10:K10)</f>
        <v>347.91999999999996</v>
      </c>
      <c r="M10" s="6">
        <f>M6+M7-SUM(M8:M9)</f>
        <v>2687.8798774794741</v>
      </c>
      <c r="N10" s="6">
        <f>N6+N7-SUM(N8:N9)</f>
        <v>2386.5239743096085</v>
      </c>
    </row>
    <row r="11" spans="1:14">
      <c r="A11" t="s">
        <v>12</v>
      </c>
      <c r="B11" s="6">
        <f>'Data Sheet'!B29</f>
        <v>272.29000000000002</v>
      </c>
      <c r="C11" s="6">
        <f>'Data Sheet'!C29</f>
        <v>336.05</v>
      </c>
      <c r="D11" s="6">
        <f>'Data Sheet'!D29</f>
        <v>379.16</v>
      </c>
      <c r="E11" s="6">
        <f>'Data Sheet'!E29</f>
        <v>404.7</v>
      </c>
      <c r="F11" s="6">
        <f>'Data Sheet'!F29</f>
        <v>-256.2</v>
      </c>
      <c r="G11" s="6">
        <f>'Data Sheet'!G29</f>
        <v>263.82</v>
      </c>
      <c r="H11" s="6">
        <f>'Data Sheet'!H29</f>
        <v>359.54</v>
      </c>
      <c r="I11" s="6">
        <f>'Data Sheet'!I29</f>
        <v>371.87</v>
      </c>
      <c r="J11" s="6">
        <f>'Data Sheet'!J29</f>
        <v>430.27</v>
      </c>
      <c r="K11" s="6">
        <f>'Data Sheet'!K29</f>
        <v>758.78</v>
      </c>
      <c r="L11" s="6">
        <f>SUM(Quarters!H11:K11)</f>
        <v>800.82</v>
      </c>
      <c r="M11" s="7">
        <f>IF($L10&gt;0,$L11/$L10,0)</f>
        <v>2.3017360312715569</v>
      </c>
      <c r="N11" s="7">
        <f>IF($L10&gt;0,$L11/$L10,0)</f>
        <v>2.3017360312715569</v>
      </c>
    </row>
    <row r="12" spans="1:14" s="2" customFormat="1">
      <c r="A12" s="2" t="s">
        <v>13</v>
      </c>
      <c r="B12" s="1">
        <f>'Data Sheet'!B30</f>
        <v>907.12</v>
      </c>
      <c r="C12" s="1">
        <f>'Data Sheet'!C30</f>
        <v>827.61</v>
      </c>
      <c r="D12" s="1">
        <f>'Data Sheet'!D30</f>
        <v>1304.08</v>
      </c>
      <c r="E12" s="1">
        <f>'Data Sheet'!E30</f>
        <v>1634.18</v>
      </c>
      <c r="F12" s="1">
        <f>'Data Sheet'!F30</f>
        <v>2341.5300000000002</v>
      </c>
      <c r="G12" s="1">
        <f>'Data Sheet'!G30</f>
        <v>1496.58</v>
      </c>
      <c r="H12" s="1">
        <f>'Data Sheet'!H30</f>
        <v>1720.82</v>
      </c>
      <c r="I12" s="1">
        <f>'Data Sheet'!I30</f>
        <v>1783.39</v>
      </c>
      <c r="J12" s="1">
        <f>'Data Sheet'!J30</f>
        <v>1702.46</v>
      </c>
      <c r="K12" s="1">
        <f>'Data Sheet'!K30</f>
        <v>-560.54999999999995</v>
      </c>
      <c r="L12" s="1">
        <f>SUM(Quarters!H12:K12)</f>
        <v>-452.90000000000003</v>
      </c>
      <c r="M12" s="1">
        <f>M10-M11*M10</f>
        <v>-3498.9100842448088</v>
      </c>
      <c r="N12" s="1">
        <f>N10-N11*N10</f>
        <v>-3106.6242468522128</v>
      </c>
    </row>
    <row r="13" spans="1:14">
      <c r="A13" t="s">
        <v>56</v>
      </c>
      <c r="B13" s="6">
        <f>IF('Data Sheet'!B93&gt;0,B12/'Data Sheet'!B93,0)</f>
        <v>8.8811435284903073</v>
      </c>
      <c r="C13" s="6">
        <f>IF('Data Sheet'!C93&gt;0,C12/'Data Sheet'!C93,0)</f>
        <v>8.1011158966327326</v>
      </c>
      <c r="D13" s="6">
        <f>IF('Data Sheet'!D93&gt;0,D12/'Data Sheet'!D93,0)</f>
        <v>12.76257584654531</v>
      </c>
      <c r="E13" s="6">
        <f>IF('Data Sheet'!E93&gt;0,E12/'Data Sheet'!E93,0)</f>
        <v>15.990019569471624</v>
      </c>
      <c r="F13" s="6">
        <f>IF('Data Sheet'!F93&gt;0,F12/'Data Sheet'!F93,0)</f>
        <v>22.906769712385053</v>
      </c>
      <c r="G13" s="6">
        <f>IF('Data Sheet'!G93&gt;0,G12/'Data Sheet'!G93,0)</f>
        <v>14.639342658710749</v>
      </c>
      <c r="H13" s="6">
        <f>IF('Data Sheet'!H93&gt;0,H12/'Data Sheet'!H93,0)</f>
        <v>16.829535452322737</v>
      </c>
      <c r="I13" s="6">
        <f>IF('Data Sheet'!I93&gt;0,I12/'Data Sheet'!I93,0)</f>
        <v>17.439761392528847</v>
      </c>
      <c r="J13" s="6">
        <f>IF('Data Sheet'!J93&gt;0,J12/'Data Sheet'!J93,0)</f>
        <v>16.646719468074703</v>
      </c>
      <c r="K13" s="6">
        <f>IF('Data Sheet'!K93&gt;0,K12/'Data Sheet'!K93,0)</f>
        <v>-5.4805436057880321</v>
      </c>
      <c r="L13" s="6">
        <f>IF('Data Sheet'!$B6&gt;0,'Profit &amp; Loss'!L12/'Data Sheet'!$B6,0)</f>
        <v>-4.4236449838204441</v>
      </c>
      <c r="M13" s="6">
        <f>IF('Data Sheet'!$B6&gt;0,'Profit &amp; Loss'!M12/'Data Sheet'!$B6,0)</f>
        <v>-34.175173422407404</v>
      </c>
      <c r="N13" s="6">
        <f>IF('Data Sheet'!$B6&gt;0,'Profit &amp; Loss'!N12/'Data Sheet'!$B6,0)</f>
        <v>-30.343569808352296</v>
      </c>
    </row>
    <row r="14" spans="1:14">
      <c r="A14" t="s">
        <v>15</v>
      </c>
      <c r="B14" s="6">
        <f>IF(B15&gt;0,B15/B13,"")</f>
        <v>39.070419128670963</v>
      </c>
      <c r="C14" s="6">
        <f t="shared" ref="C14:K14" si="2">IF(C15&gt;0,C15/C13,"")</f>
        <v>56.815629583982798</v>
      </c>
      <c r="D14" s="6">
        <f t="shared" si="2"/>
        <v>43.654196981780267</v>
      </c>
      <c r="E14" s="6">
        <f t="shared" si="2"/>
        <v>45.597192475737067</v>
      </c>
      <c r="F14" s="6">
        <f t="shared" si="2"/>
        <v>29.947478785238712</v>
      </c>
      <c r="G14" s="6">
        <f t="shared" si="2"/>
        <v>35.578783292573739</v>
      </c>
      <c r="H14" s="6">
        <f t="shared" si="2"/>
        <v>43.355326239815902</v>
      </c>
      <c r="I14" s="6">
        <f t="shared" si="2"/>
        <v>42.850356904546956</v>
      </c>
      <c r="J14" s="6">
        <f t="shared" si="2"/>
        <v>58.158606075913681</v>
      </c>
      <c r="K14" s="6">
        <f t="shared" si="2"/>
        <v>-228.40799928641516</v>
      </c>
      <c r="L14" s="6">
        <f t="shared" ref="L14" si="3">IF(L13&gt;0,L15/L13,0)</f>
        <v>0</v>
      </c>
      <c r="M14" s="6">
        <f>M25</f>
        <v>50.504481490230319</v>
      </c>
      <c r="N14" s="6">
        <f>N25</f>
        <v>0</v>
      </c>
    </row>
    <row r="15" spans="1:14" s="2" customFormat="1">
      <c r="A15" s="2" t="s">
        <v>57</v>
      </c>
      <c r="B15" s="1">
        <f>'Data Sheet'!B90</f>
        <v>346.99</v>
      </c>
      <c r="C15" s="1">
        <f>'Data Sheet'!C90</f>
        <v>460.27</v>
      </c>
      <c r="D15" s="1">
        <f>'Data Sheet'!D90</f>
        <v>557.14</v>
      </c>
      <c r="E15" s="1">
        <f>'Data Sheet'!E90</f>
        <v>729.1</v>
      </c>
      <c r="F15" s="1">
        <f>'Data Sheet'!F90</f>
        <v>686</v>
      </c>
      <c r="G15" s="1">
        <f>'Data Sheet'!G90</f>
        <v>520.85</v>
      </c>
      <c r="H15" s="1">
        <f>'Data Sheet'!H90</f>
        <v>729.65</v>
      </c>
      <c r="I15" s="1">
        <f>'Data Sheet'!I90</f>
        <v>747.3</v>
      </c>
      <c r="J15" s="1">
        <f>'Data Sheet'!J90</f>
        <v>968.15</v>
      </c>
      <c r="K15" s="1">
        <f>'Data Sheet'!K90</f>
        <v>1251.8</v>
      </c>
      <c r="L15" s="1">
        <f>'Data Sheet'!B8</f>
        <v>1265.9000000000001</v>
      </c>
      <c r="M15" s="8">
        <f>M13*M14</f>
        <v>-1725.9994135373859</v>
      </c>
      <c r="N15" s="9">
        <f>N13*N14</f>
        <v>0</v>
      </c>
    </row>
    <row r="17" spans="1:14" s="2" customFormat="1">
      <c r="A17" s="2" t="s">
        <v>14</v>
      </c>
    </row>
    <row r="18" spans="1:14">
      <c r="A18" t="s">
        <v>16</v>
      </c>
      <c r="B18" s="5">
        <f>IF('Data Sheet'!B30&gt;0, 'Data Sheet'!B31/'Data Sheet'!B30, 0)</f>
        <v>0.20638945233265721</v>
      </c>
      <c r="C18" s="5">
        <f>IF('Data Sheet'!C30&gt;0, 'Data Sheet'!C31/'Data Sheet'!C30, 0)</f>
        <v>0.23657278186585468</v>
      </c>
      <c r="D18" s="5">
        <f>IF('Data Sheet'!D30&gt;0, 'Data Sheet'!D31/'Data Sheet'!D30, 0)</f>
        <v>0.39177044353107171</v>
      </c>
      <c r="E18" s="5">
        <f>IF('Data Sheet'!E30&gt;0, 'Data Sheet'!E31/'Data Sheet'!E30, 0)</f>
        <v>0.41690633834706087</v>
      </c>
      <c r="F18" s="5">
        <f>IF('Data Sheet'!F30&gt;0, 'Data Sheet'!F31/'Data Sheet'!F30, 0)</f>
        <v>0.43655216888103077</v>
      </c>
      <c r="G18" s="5">
        <f>IF('Data Sheet'!G30&gt;0, 'Data Sheet'!G31/'Data Sheet'!G30, 0)</f>
        <v>0.54647262424995657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</v>
      </c>
      <c r="K18" s="5">
        <f>IF('Data Sheet'!K30&gt;0, 'Data Sheet'!K31/'Data Sheet'!K30, 0)</f>
        <v>0</v>
      </c>
    </row>
    <row r="19" spans="1:14">
      <c r="A19" t="s">
        <v>17</v>
      </c>
      <c r="B19" s="5">
        <f t="shared" ref="B19:L19" si="4">IF(B6&gt;0,B6/B4,0)</f>
        <v>0.1666777466865704</v>
      </c>
      <c r="C19" s="5">
        <f t="shared" ref="C19:K19" si="5">IF(C6&gt;0,C6/C4,0)</f>
        <v>0.19674781692046889</v>
      </c>
      <c r="D19" s="5">
        <f t="shared" si="5"/>
        <v>0.20573246826954494</v>
      </c>
      <c r="E19" s="5">
        <f t="shared" si="5"/>
        <v>0.21166944065609</v>
      </c>
      <c r="F19" s="5">
        <f t="shared" si="5"/>
        <v>0.20666082366879515</v>
      </c>
      <c r="G19" s="5">
        <f t="shared" si="5"/>
        <v>0.21731343584776205</v>
      </c>
      <c r="H19" s="5">
        <f t="shared" si="5"/>
        <v>0.21754852375002509</v>
      </c>
      <c r="I19" s="5">
        <f t="shared" si="5"/>
        <v>0.19624322893332793</v>
      </c>
      <c r="J19" s="5">
        <f t="shared" si="5"/>
        <v>0.18347893544368132</v>
      </c>
      <c r="K19" s="5">
        <f t="shared" si="5"/>
        <v>0.20979688722633405</v>
      </c>
      <c r="L19" s="5">
        <f t="shared" si="4"/>
        <v>0.21168319560201951</v>
      </c>
    </row>
    <row r="20" spans="1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>
      <c r="A22" s="11"/>
      <c r="B22" s="12"/>
      <c r="C22" s="12"/>
      <c r="D22" s="12"/>
      <c r="E22" s="12"/>
      <c r="F22" s="12"/>
      <c r="G22" s="12" t="s">
        <v>18</v>
      </c>
      <c r="H22" s="12" t="s">
        <v>64</v>
      </c>
      <c r="I22" s="12" t="s">
        <v>65</v>
      </c>
      <c r="J22" s="12" t="s">
        <v>66</v>
      </c>
      <c r="K22" s="12" t="s">
        <v>67</v>
      </c>
      <c r="L22" s="13" t="s">
        <v>68</v>
      </c>
      <c r="M22" s="13" t="s">
        <v>19</v>
      </c>
      <c r="N22" s="13" t="s">
        <v>20</v>
      </c>
    </row>
    <row r="23" spans="1:14" s="2" customFormat="1">
      <c r="A23"/>
      <c r="B23"/>
      <c r="C23"/>
      <c r="D23"/>
      <c r="E23"/>
      <c r="F23"/>
      <c r="G23" t="s">
        <v>21</v>
      </c>
      <c r="H23" s="5">
        <f>IF(B4=0,"",POWER($K4/B4,1/9)-1)</f>
        <v>6.099726554656959E-2</v>
      </c>
      <c r="I23" s="5">
        <f>IF(D4=0,"",POWER($K4/D4,1/7)-1)</f>
        <v>6.1736583451819982E-2</v>
      </c>
      <c r="J23" s="5">
        <f>IF(F4=0,"",POWER($K4/F4,1/5)-1)</f>
        <v>6.44654439211787E-2</v>
      </c>
      <c r="K23" s="5">
        <f>IF(H4=0,"",POWER($K4/H4, 1/3)-1)</f>
        <v>8.5240607235220534E-2</v>
      </c>
      <c r="L23" s="5">
        <f>IF(ISERROR(MAX(IF(J4=0,"",(K4-J4)/J4),IF(K4=0,"",(L4-K4)/K4))),"",MAX(IF(J4=0,"",(K4-J4)/J4),IF(K4=0,"",(L4-K4)/K4)))</f>
        <v>5.8586794653337403E-2</v>
      </c>
      <c r="M23" s="16">
        <f>MAX(K23:L23)</f>
        <v>8.5240607235220534E-2</v>
      </c>
      <c r="N23" s="16">
        <f>MIN(H23:L23)</f>
        <v>5.8586794653337403E-2</v>
      </c>
    </row>
    <row r="24" spans="1:14">
      <c r="G24" t="s">
        <v>17</v>
      </c>
      <c r="H24" s="5">
        <f>IF(SUM(B4:$K$4)=0,"",SUMPRODUCT(B19:$K$19,B4:$K$4)/SUM(B4:$K$4))</f>
        <v>0.20159972332836648</v>
      </c>
      <c r="I24" s="5">
        <f>IF(SUM(E4:$K$4)=0,"",SUMPRODUCT(E19:$K$19,E4:$K$4)/SUM(E4:$K$4))</f>
        <v>0.20520766428719872</v>
      </c>
      <c r="J24" s="5">
        <f>IF(SUM(G4:$K$4)=0,"",SUMPRODUCT(G19:$K$19,G4:$K$4)/SUM(G4:$K$4))</f>
        <v>0.20391089925446987</v>
      </c>
      <c r="K24" s="5">
        <f>IF(SUM(I4:$K$4)=0, "", SUMPRODUCT(I19:$K$19,I4:$K$4)/SUM(I4:$K$4))</f>
        <v>0.19677448777456882</v>
      </c>
      <c r="L24" s="5">
        <f>L19</f>
        <v>0.21168319560201951</v>
      </c>
      <c r="M24" s="16">
        <f>MAX(K24:L24)</f>
        <v>0.21168319560201951</v>
      </c>
      <c r="N24" s="16">
        <f>MIN(H24:L24)</f>
        <v>0.19677448777456882</v>
      </c>
    </row>
    <row r="25" spans="1:14">
      <c r="G25" t="s">
        <v>22</v>
      </c>
      <c r="H25" s="6">
        <f>IF(ISERROR(AVERAGEIF(B14:$L14,"&gt;0")),"",AVERAGEIF(B14:$L14,"&gt;0"))</f>
        <v>43.891998829806681</v>
      </c>
      <c r="I25" s="6">
        <f>IF(ISERROR(AVERAGEIF(E14:$L14,"&gt;0")),"",AVERAGEIF(E14:$L14,"&gt;0"))</f>
        <v>42.581290628971004</v>
      </c>
      <c r="J25" s="6">
        <f>IF(ISERROR(AVERAGEIF(G14:$L14,"&gt;0")),"",AVERAGEIF(G14:$L14,"&gt;0"))</f>
        <v>44.98576812821257</v>
      </c>
      <c r="K25" s="6">
        <f>IF(ISERROR(AVERAGEIF(I14:$L14,"&gt;0")),"",AVERAGEIF(I14:$L14,"&gt;0"))</f>
        <v>50.504481490230319</v>
      </c>
      <c r="L25" s="6">
        <f>L14</f>
        <v>0</v>
      </c>
      <c r="M25" s="1">
        <f>MAX(K25:L25)</f>
        <v>50.504481490230319</v>
      </c>
      <c r="N25" s="1">
        <f>MIN(H25:L25)</f>
        <v>0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/>
  <cols>
    <col min="1" max="1" width="20.6640625" customWidth="1"/>
    <col min="2" max="11" width="13.44140625" bestFit="1" customWidth="1"/>
  </cols>
  <sheetData>
    <row r="1" spans="1:11" s="2" customFormat="1">
      <c r="A1" s="2">
        <f>'Profit &amp; Loss'!A1</f>
        <v>0</v>
      </c>
      <c r="E1" t="str">
        <f>UPDATE</f>
        <v/>
      </c>
      <c r="J1" s="2" t="s">
        <v>0</v>
      </c>
    </row>
    <row r="3" spans="1:11" s="2" customFormat="1">
      <c r="A3" s="11" t="s">
        <v>1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>
      <c r="A4" s="2" t="s">
        <v>5</v>
      </c>
      <c r="B4" s="1">
        <f>'Data Sheet'!B42</f>
        <v>3391.92</v>
      </c>
      <c r="C4" s="1">
        <f>'Data Sheet'!C42</f>
        <v>3598.92</v>
      </c>
      <c r="D4" s="1">
        <f>'Data Sheet'!D42</f>
        <v>3200.16</v>
      </c>
      <c r="E4" s="1">
        <f>'Data Sheet'!E42</f>
        <v>3448.91</v>
      </c>
      <c r="F4" s="1">
        <f>'Data Sheet'!F42</f>
        <v>3601.95</v>
      </c>
      <c r="G4" s="1">
        <f>'Data Sheet'!G42</f>
        <v>3659.64</v>
      </c>
      <c r="H4" s="1">
        <f>'Data Sheet'!H42</f>
        <v>3385.61</v>
      </c>
      <c r="I4" s="1">
        <f>'Data Sheet'!I42</f>
        <v>3331.58</v>
      </c>
      <c r="J4" s="1">
        <f>'Data Sheet'!J42</f>
        <v>3666.33</v>
      </c>
      <c r="K4" s="1">
        <f>'Data Sheet'!K42</f>
        <v>3768.43</v>
      </c>
    </row>
    <row r="5" spans="1:11">
      <c r="A5" t="s">
        <v>6</v>
      </c>
      <c r="B5" s="6">
        <f>'Data Sheet'!B43</f>
        <v>2849.81</v>
      </c>
      <c r="C5" s="6">
        <f>'Data Sheet'!C43</f>
        <v>2872.28</v>
      </c>
      <c r="D5" s="6">
        <f>'Data Sheet'!D43</f>
        <v>2559.29</v>
      </c>
      <c r="E5" s="6">
        <f>'Data Sheet'!E43</f>
        <v>2806.07</v>
      </c>
      <c r="F5" s="6">
        <f>'Data Sheet'!F43</f>
        <v>2897.78</v>
      </c>
      <c r="G5" s="6">
        <f>'Data Sheet'!G43</f>
        <v>2818.92</v>
      </c>
      <c r="H5" s="6">
        <f>'Data Sheet'!H43</f>
        <v>2629.89</v>
      </c>
      <c r="I5" s="6">
        <f>'Data Sheet'!I43</f>
        <v>2607.15</v>
      </c>
      <c r="J5" s="6">
        <f>'Data Sheet'!J43</f>
        <v>2906.69</v>
      </c>
      <c r="K5" s="6">
        <f>'Data Sheet'!K43</f>
        <v>3012.49</v>
      </c>
    </row>
    <row r="6" spans="1:11" s="2" customFormat="1">
      <c r="A6" s="2" t="s">
        <v>7</v>
      </c>
      <c r="B6" s="1">
        <f>'Data Sheet'!B50</f>
        <v>542.11</v>
      </c>
      <c r="C6" s="1">
        <f>'Data Sheet'!C50</f>
        <v>726.64</v>
      </c>
      <c r="D6" s="1">
        <f>'Data Sheet'!D50</f>
        <v>640.87</v>
      </c>
      <c r="E6" s="1">
        <f>'Data Sheet'!E50</f>
        <v>642.84</v>
      </c>
      <c r="F6" s="1">
        <f>'Data Sheet'!F50</f>
        <v>704.17</v>
      </c>
      <c r="G6" s="1">
        <f>'Data Sheet'!G50</f>
        <v>840.72</v>
      </c>
      <c r="H6" s="1">
        <f>'Data Sheet'!H50</f>
        <v>755.72</v>
      </c>
      <c r="I6" s="1">
        <f>'Data Sheet'!I50</f>
        <v>724.43</v>
      </c>
      <c r="J6" s="1">
        <f>'Data Sheet'!J50</f>
        <v>759.64</v>
      </c>
      <c r="K6" s="1">
        <f>'Data Sheet'!K50</f>
        <v>755.94</v>
      </c>
    </row>
    <row r="7" spans="1:11">
      <c r="A7" t="s">
        <v>8</v>
      </c>
      <c r="B7" s="6">
        <f>'Data Sheet'!B44</f>
        <v>17.2</v>
      </c>
      <c r="C7" s="6">
        <f>'Data Sheet'!C44</f>
        <v>35.71</v>
      </c>
      <c r="D7" s="6">
        <f>'Data Sheet'!D44</f>
        <v>35.74</v>
      </c>
      <c r="E7" s="6">
        <f>'Data Sheet'!E44</f>
        <v>-12.67</v>
      </c>
      <c r="F7" s="6">
        <f>'Data Sheet'!F44</f>
        <v>53.39</v>
      </c>
      <c r="G7" s="6">
        <f>'Data Sheet'!G44</f>
        <v>63.19</v>
      </c>
      <c r="H7" s="6">
        <f>'Data Sheet'!H44</f>
        <v>-2311.81</v>
      </c>
      <c r="I7" s="6">
        <f>'Data Sheet'!I44</f>
        <v>56.81</v>
      </c>
      <c r="J7" s="6">
        <f>'Data Sheet'!J44</f>
        <v>80.209999999999994</v>
      </c>
      <c r="K7" s="6">
        <f>'Data Sheet'!K44</f>
        <v>77.36</v>
      </c>
    </row>
    <row r="8" spans="1:11">
      <c r="A8" t="s">
        <v>9</v>
      </c>
      <c r="B8" s="6">
        <f>'Data Sheet'!B45</f>
        <v>53.32</v>
      </c>
      <c r="C8" s="6">
        <f>'Data Sheet'!C45</f>
        <v>57.32</v>
      </c>
      <c r="D8" s="6">
        <f>'Data Sheet'!D45</f>
        <v>68.59</v>
      </c>
      <c r="E8" s="6">
        <f>'Data Sheet'!E45</f>
        <v>76.290000000000006</v>
      </c>
      <c r="F8" s="6">
        <f>'Data Sheet'!F45</f>
        <v>60.88</v>
      </c>
      <c r="G8" s="6">
        <f>'Data Sheet'!G45</f>
        <v>53.88</v>
      </c>
      <c r="H8" s="6">
        <f>'Data Sheet'!H45</f>
        <v>49.91</v>
      </c>
      <c r="I8" s="6">
        <f>'Data Sheet'!I45</f>
        <v>49.46</v>
      </c>
      <c r="J8" s="6">
        <f>'Data Sheet'!J45</f>
        <v>50.1</v>
      </c>
      <c r="K8" s="6">
        <f>'Data Sheet'!K45</f>
        <v>61.89</v>
      </c>
    </row>
    <row r="9" spans="1:11">
      <c r="A9" t="s">
        <v>10</v>
      </c>
      <c r="B9" s="6">
        <f>'Data Sheet'!B46</f>
        <v>48.25</v>
      </c>
      <c r="C9" s="6">
        <f>'Data Sheet'!C46</f>
        <v>39.92</v>
      </c>
      <c r="D9" s="6">
        <f>'Data Sheet'!D46</f>
        <v>52.51</v>
      </c>
      <c r="E9" s="6">
        <f>'Data Sheet'!E46</f>
        <v>74</v>
      </c>
      <c r="F9" s="6">
        <f>'Data Sheet'!F46</f>
        <v>77.31</v>
      </c>
      <c r="G9" s="6">
        <f>'Data Sheet'!G46</f>
        <v>66.59</v>
      </c>
      <c r="H9" s="6">
        <f>'Data Sheet'!H46</f>
        <v>78.47</v>
      </c>
      <c r="I9" s="6">
        <f>'Data Sheet'!I46</f>
        <v>87.75</v>
      </c>
      <c r="J9" s="6">
        <f>'Data Sheet'!J46</f>
        <v>83.09</v>
      </c>
      <c r="K9" s="6">
        <f>'Data Sheet'!K46</f>
        <v>89.71</v>
      </c>
    </row>
    <row r="10" spans="1:11">
      <c r="A10" t="s">
        <v>11</v>
      </c>
      <c r="B10" s="6">
        <f>'Data Sheet'!B47</f>
        <v>457.74</v>
      </c>
      <c r="C10" s="6">
        <f>'Data Sheet'!C47</f>
        <v>665.11</v>
      </c>
      <c r="D10" s="6">
        <f>'Data Sheet'!D47</f>
        <v>555.51</v>
      </c>
      <c r="E10" s="6">
        <f>'Data Sheet'!E47</f>
        <v>479.88</v>
      </c>
      <c r="F10" s="6">
        <f>'Data Sheet'!F47</f>
        <v>619.37</v>
      </c>
      <c r="G10" s="6">
        <f>'Data Sheet'!G47</f>
        <v>783.44</v>
      </c>
      <c r="H10" s="6">
        <f>'Data Sheet'!H47</f>
        <v>-1684.47</v>
      </c>
      <c r="I10" s="6">
        <f>'Data Sheet'!I47</f>
        <v>644.03</v>
      </c>
      <c r="J10" s="6">
        <f>'Data Sheet'!J47</f>
        <v>706.66</v>
      </c>
      <c r="K10" s="6">
        <f>'Data Sheet'!K47</f>
        <v>681.7</v>
      </c>
    </row>
    <row r="11" spans="1:11">
      <c r="A11" t="s">
        <v>12</v>
      </c>
      <c r="B11" s="6">
        <f>'Data Sheet'!B48</f>
        <v>98.88</v>
      </c>
      <c r="C11" s="6">
        <f>'Data Sheet'!C48</f>
        <v>118.77</v>
      </c>
      <c r="D11" s="6">
        <f>'Data Sheet'!D48</f>
        <v>103.37</v>
      </c>
      <c r="E11" s="6">
        <f>'Data Sheet'!E48</f>
        <v>161.06</v>
      </c>
      <c r="F11" s="6">
        <f>'Data Sheet'!F48</f>
        <v>186.6</v>
      </c>
      <c r="G11" s="6">
        <f>'Data Sheet'!G48</f>
        <v>202.38</v>
      </c>
      <c r="H11" s="6">
        <f>'Data Sheet'!H48</f>
        <v>208.74</v>
      </c>
      <c r="I11" s="6">
        <f>'Data Sheet'!I48</f>
        <v>193.34</v>
      </c>
      <c r="J11" s="6">
        <f>'Data Sheet'!J48</f>
        <v>215.35</v>
      </c>
      <c r="K11" s="6">
        <f>'Data Sheet'!K48</f>
        <v>183.39</v>
      </c>
    </row>
    <row r="12" spans="1:11" s="2" customFormat="1">
      <c r="A12" s="2" t="s">
        <v>13</v>
      </c>
      <c r="B12" s="1">
        <f>'Data Sheet'!B49</f>
        <v>358.86</v>
      </c>
      <c r="C12" s="1">
        <f>'Data Sheet'!C49</f>
        <v>546.34</v>
      </c>
      <c r="D12" s="1">
        <f>'Data Sheet'!D49</f>
        <v>452.14</v>
      </c>
      <c r="E12" s="1">
        <f>'Data Sheet'!E49</f>
        <v>318.82</v>
      </c>
      <c r="F12" s="1">
        <f>'Data Sheet'!F49</f>
        <v>432.77</v>
      </c>
      <c r="G12" s="1">
        <f>'Data Sheet'!G49</f>
        <v>581.05999999999995</v>
      </c>
      <c r="H12" s="1">
        <f>'Data Sheet'!H49</f>
        <v>-1893.21</v>
      </c>
      <c r="I12" s="1">
        <f>'Data Sheet'!I49</f>
        <v>450.69</v>
      </c>
      <c r="J12" s="1">
        <f>'Data Sheet'!J49</f>
        <v>491.31</v>
      </c>
      <c r="K12" s="1">
        <f>'Data Sheet'!K49</f>
        <v>498.31</v>
      </c>
    </row>
    <row r="14" spans="1:11" s="2" customFormat="1">
      <c r="A14" s="2" t="s">
        <v>17</v>
      </c>
      <c r="B14" s="10">
        <f>IF(B4&gt;0,B6/B4,"")</f>
        <v>0.15982393452675769</v>
      </c>
      <c r="C14" s="10">
        <f t="shared" ref="C14:K14" si="0">IF(C4&gt;0,C6/C4,"")</f>
        <v>0.20190501594922922</v>
      </c>
      <c r="D14" s="10">
        <f t="shared" si="0"/>
        <v>0.20026186190690468</v>
      </c>
      <c r="E14" s="10">
        <f t="shared" si="0"/>
        <v>0.18638932300349967</v>
      </c>
      <c r="F14" s="10">
        <f t="shared" si="0"/>
        <v>0.19549688363247686</v>
      </c>
      <c r="G14" s="10">
        <f t="shared" si="0"/>
        <v>0.2297275141817228</v>
      </c>
      <c r="H14" s="10">
        <f t="shared" si="0"/>
        <v>0.2232153142269783</v>
      </c>
      <c r="I14" s="10">
        <f t="shared" si="0"/>
        <v>0.21744337521536328</v>
      </c>
      <c r="J14" s="10">
        <f t="shared" si="0"/>
        <v>0.20719356959138976</v>
      </c>
      <c r="K14" s="10">
        <f t="shared" si="0"/>
        <v>0.20059812707148603</v>
      </c>
    </row>
    <row r="22" s="23" customFormat="1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/>
  <cols>
    <col min="1" max="1" width="22.77734375" bestFit="1" customWidth="1"/>
    <col min="2" max="2" width="13.44140625" customWidth="1"/>
    <col min="3" max="11" width="15.44140625" customWidth="1"/>
  </cols>
  <sheetData>
    <row r="1" spans="1:11" s="2" customFormat="1">
      <c r="A1" s="2">
        <f>'Profit &amp; Loss'!A1</f>
        <v>0</v>
      </c>
      <c r="E1" t="str">
        <f>UPDATE</f>
        <v/>
      </c>
      <c r="G1"/>
      <c r="J1" s="2" t="s">
        <v>0</v>
      </c>
    </row>
    <row r="2" spans="1:11">
      <c r="G2" s="2"/>
      <c r="H2" s="2"/>
    </row>
    <row r="3" spans="1:11">
      <c r="A3" s="11" t="s">
        <v>1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>
      <c r="A4" t="s">
        <v>23</v>
      </c>
      <c r="B4" s="14">
        <f>'Data Sheet'!B58</f>
        <v>34.04</v>
      </c>
      <c r="C4" s="14">
        <f>'Data Sheet'!C58</f>
        <v>34.049999999999997</v>
      </c>
      <c r="D4" s="14">
        <f>'Data Sheet'!D58</f>
        <v>34.06</v>
      </c>
      <c r="E4" s="14">
        <f>'Data Sheet'!E58</f>
        <v>68.13</v>
      </c>
      <c r="F4" s="14">
        <f>'Data Sheet'!F58</f>
        <v>102.22</v>
      </c>
      <c r="G4" s="14">
        <f>'Data Sheet'!G58</f>
        <v>102.23</v>
      </c>
      <c r="H4" s="14">
        <f>'Data Sheet'!H58</f>
        <v>102.25</v>
      </c>
      <c r="I4" s="14">
        <f>'Data Sheet'!I58</f>
        <v>102.26</v>
      </c>
      <c r="J4" s="14">
        <f>'Data Sheet'!J58</f>
        <v>102.27</v>
      </c>
      <c r="K4" s="14">
        <f>'Data Sheet'!K58</f>
        <v>102.28</v>
      </c>
    </row>
    <row r="5" spans="1:11">
      <c r="A5" t="s">
        <v>24</v>
      </c>
      <c r="B5" s="14">
        <f>'Data Sheet'!B59</f>
        <v>4276.6499999999996</v>
      </c>
      <c r="C5" s="14">
        <f>'Data Sheet'!C59</f>
        <v>4232.91</v>
      </c>
      <c r="D5" s="14">
        <f>'Data Sheet'!D59</f>
        <v>5267.89</v>
      </c>
      <c r="E5" s="14">
        <f>'Data Sheet'!E59</f>
        <v>6190.18</v>
      </c>
      <c r="F5" s="14">
        <f>'Data Sheet'!F59</f>
        <v>7164.7</v>
      </c>
      <c r="G5" s="14">
        <f>'Data Sheet'!G59</f>
        <v>7796.13</v>
      </c>
      <c r="H5" s="14">
        <f>'Data Sheet'!H59</f>
        <v>9336.65</v>
      </c>
      <c r="I5" s="14">
        <f>'Data Sheet'!I59</f>
        <v>11453.67</v>
      </c>
      <c r="J5" s="14">
        <f>'Data Sheet'!J59</f>
        <v>13691.96</v>
      </c>
      <c r="K5" s="14">
        <f>'Data Sheet'!K59</f>
        <v>12496.29</v>
      </c>
    </row>
    <row r="6" spans="1:11">
      <c r="A6" t="s">
        <v>70</v>
      </c>
      <c r="B6" s="14">
        <f>'Data Sheet'!B60</f>
        <v>2717.15</v>
      </c>
      <c r="C6" s="14">
        <f>'Data Sheet'!C60</f>
        <v>2891.12</v>
      </c>
      <c r="D6" s="14">
        <f>'Data Sheet'!D60</f>
        <v>4000.93</v>
      </c>
      <c r="E6" s="14">
        <f>'Data Sheet'!E60</f>
        <v>3507.57</v>
      </c>
      <c r="F6" s="14">
        <f>'Data Sheet'!F60</f>
        <v>3382.05</v>
      </c>
      <c r="G6" s="14">
        <f>'Data Sheet'!G60</f>
        <v>3574.97</v>
      </c>
      <c r="H6" s="14">
        <f>'Data Sheet'!H60</f>
        <v>1863.97</v>
      </c>
      <c r="I6" s="14">
        <f>'Data Sheet'!I60</f>
        <v>1704.34</v>
      </c>
      <c r="J6" s="14">
        <f>'Data Sheet'!J60</f>
        <v>1129.58</v>
      </c>
      <c r="K6" s="14">
        <f>'Data Sheet'!K60</f>
        <v>3222.2</v>
      </c>
    </row>
    <row r="7" spans="1:11">
      <c r="A7" t="s">
        <v>71</v>
      </c>
      <c r="B7" s="14">
        <f>'Data Sheet'!B61</f>
        <v>2097.1799999999998</v>
      </c>
      <c r="C7" s="14">
        <f>'Data Sheet'!C61</f>
        <v>2520.66</v>
      </c>
      <c r="D7" s="14">
        <f>'Data Sheet'!D61</f>
        <v>3637.37</v>
      </c>
      <c r="E7" s="14">
        <f>'Data Sheet'!E61</f>
        <v>4097.8900000000003</v>
      </c>
      <c r="F7" s="14">
        <f>'Data Sheet'!F61</f>
        <v>3444.58</v>
      </c>
      <c r="G7" s="14">
        <f>'Data Sheet'!G61</f>
        <v>3406.95</v>
      </c>
      <c r="H7" s="14">
        <f>'Data Sheet'!H61</f>
        <v>2940.92</v>
      </c>
      <c r="I7" s="14">
        <f>'Data Sheet'!I61</f>
        <v>2821.85</v>
      </c>
      <c r="J7" s="14">
        <f>'Data Sheet'!J61</f>
        <v>2513.4499999999998</v>
      </c>
      <c r="K7" s="14">
        <f>'Data Sheet'!K61</f>
        <v>2571.31</v>
      </c>
    </row>
    <row r="8" spans="1:11" s="2" customFormat="1">
      <c r="A8" s="2" t="s">
        <v>25</v>
      </c>
      <c r="B8" s="15" t="e">
        <f>'Data Sheet'!#REF!</f>
        <v>#REF!</v>
      </c>
      <c r="C8" s="15" t="e">
        <f>'Data Sheet'!#REF!</f>
        <v>#REF!</v>
      </c>
      <c r="D8" s="15" t="e">
        <f>'Data Sheet'!#REF!</f>
        <v>#REF!</v>
      </c>
      <c r="E8" s="15" t="e">
        <f>'Data Sheet'!#REF!</f>
        <v>#REF!</v>
      </c>
      <c r="F8" s="15" t="e">
        <f>'Data Sheet'!#REF!</f>
        <v>#REF!</v>
      </c>
      <c r="G8" s="15" t="e">
        <f>'Data Sheet'!#REF!</f>
        <v>#REF!</v>
      </c>
      <c r="H8" s="15" t="e">
        <f>'Data Sheet'!#REF!</f>
        <v>#REF!</v>
      </c>
      <c r="I8" s="15" t="e">
        <f>'Data Sheet'!#REF!</f>
        <v>#REF!</v>
      </c>
      <c r="J8" s="15" t="e">
        <f>'Data Sheet'!#REF!</f>
        <v>#REF!</v>
      </c>
      <c r="K8" s="15" t="e">
        <f>'Data Sheet'!#REF!</f>
        <v>#REF!</v>
      </c>
    </row>
    <row r="9" spans="1:11" s="2" customFormat="1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t="s">
        <v>26</v>
      </c>
      <c r="B10" s="14">
        <f>'Data Sheet'!B63</f>
        <v>5550.95</v>
      </c>
      <c r="C10" s="14">
        <f>'Data Sheet'!C63</f>
        <v>5931.41</v>
      </c>
      <c r="D10" s="14">
        <f>'Data Sheet'!D63</f>
        <v>8082.89</v>
      </c>
      <c r="E10" s="14">
        <f>'Data Sheet'!E63</f>
        <v>8315</v>
      </c>
      <c r="F10" s="14">
        <f>'Data Sheet'!F63</f>
        <v>8670.26</v>
      </c>
      <c r="G10" s="14">
        <f>'Data Sheet'!G63</f>
        <v>9231.4</v>
      </c>
      <c r="H10" s="14">
        <f>'Data Sheet'!H63</f>
        <v>8904.77</v>
      </c>
      <c r="I10" s="14">
        <f>'Data Sheet'!I63</f>
        <v>9219.2999999999993</v>
      </c>
      <c r="J10" s="14">
        <f>'Data Sheet'!J63</f>
        <v>9933.66</v>
      </c>
      <c r="K10" s="14">
        <f>'Data Sheet'!K63</f>
        <v>10440.24</v>
      </c>
    </row>
    <row r="11" spans="1:11">
      <c r="A11" t="s">
        <v>27</v>
      </c>
      <c r="B11" s="14">
        <f>'Data Sheet'!B64</f>
        <v>224.61</v>
      </c>
      <c r="C11" s="14">
        <f>'Data Sheet'!C64</f>
        <v>43.66</v>
      </c>
      <c r="D11" s="14">
        <f>'Data Sheet'!D64</f>
        <v>97.43</v>
      </c>
      <c r="E11" s="14">
        <f>'Data Sheet'!E64</f>
        <v>83.88</v>
      </c>
      <c r="F11" s="14">
        <f>'Data Sheet'!F64</f>
        <v>52.06</v>
      </c>
      <c r="G11" s="14">
        <f>'Data Sheet'!G64</f>
        <v>57.04</v>
      </c>
      <c r="H11" s="14">
        <f>'Data Sheet'!H64</f>
        <v>57.43</v>
      </c>
      <c r="I11" s="14">
        <f>'Data Sheet'!I64</f>
        <v>116.44</v>
      </c>
      <c r="J11" s="14">
        <f>'Data Sheet'!J64</f>
        <v>45.42</v>
      </c>
      <c r="K11" s="14">
        <f>'Data Sheet'!K64</f>
        <v>83.36</v>
      </c>
    </row>
    <row r="12" spans="1:11">
      <c r="A12" t="s">
        <v>28</v>
      </c>
      <c r="B12" s="14">
        <f>'Data Sheet'!B65</f>
        <v>185.69</v>
      </c>
      <c r="C12" s="14">
        <f>'Data Sheet'!C65</f>
        <v>189.5</v>
      </c>
      <c r="D12" s="14">
        <f>'Data Sheet'!D65</f>
        <v>933.54</v>
      </c>
      <c r="E12" s="14">
        <f>'Data Sheet'!E65</f>
        <v>997.28</v>
      </c>
      <c r="F12" s="14">
        <f>'Data Sheet'!F65</f>
        <v>515.98</v>
      </c>
      <c r="G12" s="14">
        <f>'Data Sheet'!G65</f>
        <v>671.98</v>
      </c>
      <c r="H12" s="14">
        <f>'Data Sheet'!H65</f>
        <v>679.1</v>
      </c>
      <c r="I12" s="14">
        <f>'Data Sheet'!I65</f>
        <v>1015.43</v>
      </c>
      <c r="J12" s="14">
        <f>'Data Sheet'!J65</f>
        <v>3028.98</v>
      </c>
      <c r="K12" s="14">
        <f>'Data Sheet'!K65</f>
        <v>3503.67</v>
      </c>
    </row>
    <row r="13" spans="1:11">
      <c r="A13" t="s">
        <v>72</v>
      </c>
      <c r="B13" s="14">
        <f>'Data Sheet'!B66</f>
        <v>3163.77</v>
      </c>
      <c r="C13" s="14">
        <f>'Data Sheet'!C66</f>
        <v>3514.17</v>
      </c>
      <c r="D13" s="14">
        <f>'Data Sheet'!D66</f>
        <v>3826.39</v>
      </c>
      <c r="E13" s="14">
        <f>'Data Sheet'!E66</f>
        <v>4467.6099999999997</v>
      </c>
      <c r="F13" s="14">
        <f>'Data Sheet'!F66</f>
        <v>4855.25</v>
      </c>
      <c r="G13" s="14">
        <f>'Data Sheet'!G66</f>
        <v>4919.8599999999997</v>
      </c>
      <c r="H13" s="14">
        <f>'Data Sheet'!H66</f>
        <v>4602.49</v>
      </c>
      <c r="I13" s="14">
        <f>'Data Sheet'!I66</f>
        <v>5730.95</v>
      </c>
      <c r="J13" s="14">
        <f>'Data Sheet'!J66</f>
        <v>4429.2</v>
      </c>
      <c r="K13" s="14">
        <f>'Data Sheet'!K66</f>
        <v>4364.8100000000004</v>
      </c>
    </row>
    <row r="14" spans="1:11" s="2" customFormat="1">
      <c r="A14" s="2" t="s">
        <v>25</v>
      </c>
      <c r="B14" s="14" t="e">
        <f>'Data Sheet'!#REF!</f>
        <v>#REF!</v>
      </c>
      <c r="C14" s="14" t="e">
        <f>'Data Sheet'!#REF!</f>
        <v>#REF!</v>
      </c>
      <c r="D14" s="14" t="e">
        <f>'Data Sheet'!#REF!</f>
        <v>#REF!</v>
      </c>
      <c r="E14" s="14" t="e">
        <f>'Data Sheet'!#REF!</f>
        <v>#REF!</v>
      </c>
      <c r="F14" s="14" t="e">
        <f>'Data Sheet'!#REF!</f>
        <v>#REF!</v>
      </c>
      <c r="G14" s="14" t="e">
        <f>'Data Sheet'!#REF!</f>
        <v>#REF!</v>
      </c>
      <c r="H14" s="14" t="e">
        <f>'Data Sheet'!#REF!</f>
        <v>#REF!</v>
      </c>
      <c r="I14" s="14" t="e">
        <f>'Data Sheet'!#REF!</f>
        <v>#REF!</v>
      </c>
      <c r="J14" s="14" t="e">
        <f>'Data Sheet'!#REF!</f>
        <v>#REF!</v>
      </c>
      <c r="K14" s="14" t="e">
        <f>'Data Sheet'!#REF!</f>
        <v>#REF!</v>
      </c>
    </row>
    <row r="15" spans="1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t="s">
        <v>29</v>
      </c>
      <c r="B16" s="4">
        <f>B13-B7</f>
        <v>1066.5900000000001</v>
      </c>
      <c r="C16" s="4">
        <f t="shared" ref="C16:K16" si="0">C13-C7</f>
        <v>993.51000000000022</v>
      </c>
      <c r="D16" s="4">
        <f t="shared" si="0"/>
        <v>189.01999999999998</v>
      </c>
      <c r="E16" s="4">
        <f t="shared" si="0"/>
        <v>369.71999999999935</v>
      </c>
      <c r="F16" s="4">
        <f t="shared" si="0"/>
        <v>1410.67</v>
      </c>
      <c r="G16" s="4">
        <f t="shared" si="0"/>
        <v>1512.9099999999999</v>
      </c>
      <c r="H16" s="4">
        <f t="shared" si="0"/>
        <v>1661.5699999999997</v>
      </c>
      <c r="I16" s="4">
        <f t="shared" si="0"/>
        <v>2909.1</v>
      </c>
      <c r="J16" s="4">
        <f t="shared" si="0"/>
        <v>1915.75</v>
      </c>
      <c r="K16" s="4">
        <f t="shared" si="0"/>
        <v>1793.5000000000005</v>
      </c>
    </row>
    <row r="17" spans="1:11">
      <c r="A17" t="s">
        <v>43</v>
      </c>
      <c r="B17" s="4">
        <f>'Data Sheet'!B67</f>
        <v>804.58</v>
      </c>
      <c r="C17" s="4">
        <f>'Data Sheet'!C67</f>
        <v>1118.01</v>
      </c>
      <c r="D17" s="4">
        <f>'Data Sheet'!D67</f>
        <v>1028.74</v>
      </c>
      <c r="E17" s="4">
        <f>'Data Sheet'!E67</f>
        <v>1245.5</v>
      </c>
      <c r="F17" s="4">
        <f>'Data Sheet'!F67</f>
        <v>1292.9000000000001</v>
      </c>
      <c r="G17" s="4">
        <f>'Data Sheet'!G67</f>
        <v>1157.25</v>
      </c>
      <c r="H17" s="4">
        <f>'Data Sheet'!H67</f>
        <v>1004.5</v>
      </c>
      <c r="I17" s="4">
        <f>'Data Sheet'!I67</f>
        <v>1116.32</v>
      </c>
      <c r="J17" s="4">
        <f>'Data Sheet'!J67</f>
        <v>1245.28</v>
      </c>
      <c r="K17" s="4">
        <f>'Data Sheet'!K67</f>
        <v>1535.37</v>
      </c>
    </row>
    <row r="18" spans="1:11">
      <c r="A18" t="s">
        <v>44</v>
      </c>
      <c r="B18" s="4">
        <f>'Data Sheet'!B68</f>
        <v>1071.71</v>
      </c>
      <c r="C18" s="4">
        <f>'Data Sheet'!C68</f>
        <v>1306.98</v>
      </c>
      <c r="D18" s="4">
        <f>'Data Sheet'!D68</f>
        <v>1412.5</v>
      </c>
      <c r="E18" s="4">
        <f>'Data Sheet'!E68</f>
        <v>1577.72</v>
      </c>
      <c r="F18" s="4">
        <f>'Data Sheet'!F68</f>
        <v>1558.59</v>
      </c>
      <c r="G18" s="4">
        <f>'Data Sheet'!G68</f>
        <v>1703.12</v>
      </c>
      <c r="H18" s="4">
        <f>'Data Sheet'!H68</f>
        <v>1716.25</v>
      </c>
      <c r="I18" s="4">
        <f>'Data Sheet'!I68</f>
        <v>2129.85</v>
      </c>
      <c r="J18" s="4">
        <f>'Data Sheet'!J68</f>
        <v>1537.15</v>
      </c>
      <c r="K18" s="4">
        <f>'Data Sheet'!K68</f>
        <v>1270.92</v>
      </c>
    </row>
    <row r="20" spans="1:11">
      <c r="A20" t="s">
        <v>45</v>
      </c>
      <c r="B20" s="4">
        <f>IF('Profit &amp; Loss'!B4&gt;0,'Balance Sheet'!B17/('Profit &amp; Loss'!B4/365),0)</f>
        <v>35.496963067271842</v>
      </c>
      <c r="C20" s="4">
        <f>IF('Profit &amp; Loss'!C4&gt;0,'Balance Sheet'!C17/('Profit &amp; Loss'!C4/365),0)</f>
        <v>48.442481374378559</v>
      </c>
      <c r="D20" s="4">
        <f>IF('Profit &amp; Loss'!D4&gt;0,'Balance Sheet'!D17/('Profit &amp; Loss'!D4/365),0)</f>
        <v>40.515078372578067</v>
      </c>
      <c r="E20" s="4">
        <f>IF('Profit &amp; Loss'!E4&gt;0,'Balance Sheet'!E17/('Profit &amp; Loss'!E4/365),0)</f>
        <v>46.165090790185864</v>
      </c>
      <c r="F20" s="4">
        <f>IF('Profit &amp; Loss'!F4&gt;0,'Balance Sheet'!F17/('Profit &amp; Loss'!F4/365),0)</f>
        <v>45.752660858571659</v>
      </c>
      <c r="G20" s="4">
        <f>IF('Profit &amp; Loss'!G4&gt;0,'Balance Sheet'!G17/('Profit &amp; Loss'!G4/365),0)</f>
        <v>42.619793558542199</v>
      </c>
      <c r="H20" s="4">
        <f>IF('Profit &amp; Loss'!H4&gt;0,'Balance Sheet'!H17/('Profit &amp; Loss'!H4/365),0)</f>
        <v>33.244639855213073</v>
      </c>
      <c r="I20" s="4">
        <f>IF('Profit &amp; Loss'!I4&gt;0,'Balance Sheet'!I17/('Profit &amp; Loss'!I4/365),0)</f>
        <v>33.189980857736323</v>
      </c>
      <c r="J20" s="4">
        <f>IF('Profit &amp; Loss'!J4&gt;0,'Balance Sheet'!J17/('Profit &amp; Loss'!J4/365),0)</f>
        <v>34.133990989766424</v>
      </c>
      <c r="K20" s="4">
        <f>IF('Profit &amp; Loss'!K4&gt;0,'Balance Sheet'!K17/('Profit &amp; Loss'!K4/365),0)</f>
        <v>39.756361861534842</v>
      </c>
    </row>
    <row r="21" spans="1:11">
      <c r="A21" t="s">
        <v>46</v>
      </c>
      <c r="B21" s="4">
        <f>IF('Balance Sheet'!B18&gt;0,'Profit &amp; Loss'!B4/'Balance Sheet'!B18,0)</f>
        <v>7.7195789905851386</v>
      </c>
      <c r="C21" s="4">
        <f>IF('Balance Sheet'!C18&gt;0,'Profit &amp; Loss'!C4/'Balance Sheet'!C18,0)</f>
        <v>6.4453013818115039</v>
      </c>
      <c r="D21" s="4">
        <f>IF('Balance Sheet'!D18&gt;0,'Profit &amp; Loss'!D4/'Balance Sheet'!D18,0)</f>
        <v>6.5613522123893802</v>
      </c>
      <c r="E21" s="4">
        <f>IF('Balance Sheet'!E18&gt;0,'Profit &amp; Loss'!E4/'Balance Sheet'!E18,0)</f>
        <v>6.2415574373146061</v>
      </c>
      <c r="F21" s="4">
        <f>IF('Balance Sheet'!F18&gt;0,'Profit &amp; Loss'!F4/'Balance Sheet'!F18,0)</f>
        <v>6.6177378271386322</v>
      </c>
      <c r="G21" s="4">
        <f>IF('Balance Sheet'!G18&gt;0,'Profit &amp; Loss'!G4/'Balance Sheet'!G18,0)</f>
        <v>5.8192024049978865</v>
      </c>
      <c r="H21" s="4">
        <f>IF('Balance Sheet'!H18&gt;0,'Profit &amp; Loss'!H4/'Balance Sheet'!H18,0)</f>
        <v>6.4259985433357611</v>
      </c>
      <c r="I21" s="4">
        <f>IF('Balance Sheet'!I18&gt;0,'Profit &amp; Loss'!I4/'Balance Sheet'!I18,0)</f>
        <v>5.7640209404418155</v>
      </c>
      <c r="J21" s="4">
        <f>IF('Balance Sheet'!J18&gt;0,'Profit &amp; Loss'!J4/'Balance Sheet'!J18,0)</f>
        <v>8.6627655075952248</v>
      </c>
      <c r="K21" s="4">
        <f>IF('Balance Sheet'!K18&gt;0,'Profit &amp; Loss'!K4/'Balance Sheet'!K18,0)</f>
        <v>11.091264595725931</v>
      </c>
    </row>
    <row r="23" spans="1:11" s="2" customFormat="1">
      <c r="A23" s="2" t="s">
        <v>58</v>
      </c>
      <c r="B23" s="10">
        <f>IF(SUM('Balance Sheet'!B4:B5)&gt;0,'Profit &amp; Loss'!B12/SUM('Balance Sheet'!B4:B5),"")</f>
        <v>0.21043498836613167</v>
      </c>
      <c r="C23" s="10">
        <f>IF(SUM('Balance Sheet'!C4:C5)&gt;0,'Profit &amp; Loss'!C12/SUM('Balance Sheet'!C4:C5),"")</f>
        <v>0.19395775915405816</v>
      </c>
      <c r="D23" s="10">
        <f>IF(SUM('Balance Sheet'!D4:D5)&gt;0,'Profit &amp; Loss'!D12/SUM('Balance Sheet'!D4:D5),"")</f>
        <v>0.24596233461273678</v>
      </c>
      <c r="E23" s="10">
        <f>IF(SUM('Balance Sheet'!E4:E5)&gt;0,'Profit &amp; Loss'!E12/SUM('Balance Sheet'!E4:E5),"")</f>
        <v>0.26112161270374906</v>
      </c>
      <c r="F23" s="10">
        <f>IF(SUM('Balance Sheet'!F4:F5)&gt;0,'Profit &amp; Loss'!F12/SUM('Balance Sheet'!F4:F5),"")</f>
        <v>0.32221766580614625</v>
      </c>
      <c r="G23" s="10">
        <f>IF(SUM('Balance Sheet'!G4:G5)&gt;0,'Profit &amp; Loss'!G12/SUM('Balance Sheet'!G4:G5),"")</f>
        <v>0.18947984138479379</v>
      </c>
      <c r="H23" s="10">
        <f>IF(SUM('Balance Sheet'!H4:H5)&gt;0,'Profit &amp; Loss'!H12/SUM('Balance Sheet'!H4:H5),"")</f>
        <v>0.18231149816186207</v>
      </c>
      <c r="I23" s="10">
        <f>IF(SUM('Balance Sheet'!I4:I5)&gt;0,'Profit &amp; Loss'!I12/SUM('Balance Sheet'!I4:I5),"")</f>
        <v>0.15432682614034526</v>
      </c>
      <c r="J23" s="10">
        <f>IF(SUM('Balance Sheet'!J4:J5)&gt;0,'Profit &amp; Loss'!J12/SUM('Balance Sheet'!J4:J5),"")</f>
        <v>0.12341826981281305</v>
      </c>
      <c r="K23" s="10">
        <f>IF(SUM('Balance Sheet'!K4:K5)&gt;0,'Profit &amp; Loss'!K12/SUM('Balance Sheet'!K4:K5),"")</f>
        <v>-4.4493144856916293E-2</v>
      </c>
    </row>
    <row r="24" spans="1:11" s="2" customFormat="1">
      <c r="A24" s="2" t="s">
        <v>59</v>
      </c>
      <c r="B24" s="10"/>
      <c r="C24" s="10">
        <f>IF((B4+B5+B6+C4+C5+C6)&gt;0,('Profit &amp; Loss'!C10+'Profit &amp; Loss'!C9)*2/(B4+B5+B6+C4+C5+C6),"")</f>
        <v>0.18253451309467419</v>
      </c>
      <c r="D24" s="10">
        <f>IF((C4+C5+C6+D4+D5+D6)&gt;0,('Profit &amp; Loss'!D10+'Profit &amp; Loss'!D9)*2/(C4+C5+C6+D4+D5+D6),"")</f>
        <v>0.22371963725080435</v>
      </c>
      <c r="E24" s="10">
        <f>IF((D4+D5+D6+E4+E5+E6)&gt;0,('Profit &amp; Loss'!E10+'Profit &amp; Loss'!E9)*2/(D4+D5+D6+E4+E5+E6),"")</f>
        <v>0.23200250042477852</v>
      </c>
      <c r="F24" s="10">
        <f>IF((E4+E5+E6+F4+F5+F6)&gt;0,('Profit &amp; Loss'!F10+'Profit &amp; Loss'!F9)*2/(E4+E5+E6+F4+F5+F6),"")</f>
        <v>0.22763233626502277</v>
      </c>
      <c r="G24" s="10">
        <f>IF((F4+F5+F6+G4+G5+G6)&gt;0,('Profit &amp; Loss'!G10+'Profit &amp; Loss'!G9)*2/(F4+F5+F6+G4+G5+G6),"")</f>
        <v>0.17977606306758337</v>
      </c>
      <c r="H24" s="10">
        <f>IF((G4+G5+G6+H4+H5+H6)&gt;0,('Profit &amp; Loss'!H10+'Profit &amp; Loss'!H9)*2/(G4+G5+G6+H4+H5+H6),"")</f>
        <v>0.19476558864077415</v>
      </c>
      <c r="I24" s="10">
        <f>IF((H4+H5+H6+I4+I5+I6)&gt;0,('Profit &amp; Loss'!I10+'Profit &amp; Loss'!I9)*2/(H4+H5+H6+I4+I5+I6),"")</f>
        <v>0.18544208924429048</v>
      </c>
      <c r="J24" s="10">
        <f>IF((I4+I5+I6+J4+J5+J6)&gt;0,('Profit &amp; Loss'!J10+'Profit &amp; Loss'!J9)*2/(I4+I5+I6+J4+J5+J6),"")</f>
        <v>0.16471781232525595</v>
      </c>
      <c r="K24" s="10">
        <f>IF((J4+J5+J6+K4+K5+K6)&gt;0,('Profit &amp; Loss'!K10+'Profit &amp; Loss'!K9)*2/(J4+J5+J6+K4+K5+K6),"")</f>
        <v>3.3033464760292702E-2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/>
  <cols>
    <col min="1" max="1" width="26.77734375" bestFit="1" customWidth="1"/>
    <col min="2" max="6" width="13.44140625" customWidth="1"/>
    <col min="7" max="11" width="13.44140625" bestFit="1" customWidth="1"/>
  </cols>
  <sheetData>
    <row r="1" spans="1:11" s="2" customFormat="1">
      <c r="A1" s="2">
        <f>'Balance Sheet'!A1</f>
        <v>0</v>
      </c>
      <c r="E1" t="str">
        <f>UPDATE</f>
        <v/>
      </c>
      <c r="F1"/>
      <c r="J1" s="2" t="s">
        <v>0</v>
      </c>
    </row>
    <row r="3" spans="1:11" s="2" customFormat="1">
      <c r="A3" s="11" t="s">
        <v>1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>
      <c r="A4" s="2" t="s">
        <v>31</v>
      </c>
      <c r="B4" s="1">
        <f>'Data Sheet'!B82</f>
        <v>1026.73</v>
      </c>
      <c r="C4" s="1">
        <f>'Data Sheet'!C82</f>
        <v>847.37</v>
      </c>
      <c r="D4" s="1">
        <f>'Data Sheet'!D82</f>
        <v>1860.22</v>
      </c>
      <c r="E4" s="1">
        <f>'Data Sheet'!E82</f>
        <v>1723.35</v>
      </c>
      <c r="F4" s="1">
        <f>'Data Sheet'!F82</f>
        <v>1728.85</v>
      </c>
      <c r="G4" s="1">
        <f>'Data Sheet'!G82</f>
        <v>1588.11</v>
      </c>
      <c r="H4" s="1">
        <f>'Data Sheet'!H82</f>
        <v>2029.63</v>
      </c>
      <c r="I4" s="1">
        <f>'Data Sheet'!I82</f>
        <v>1450.57</v>
      </c>
      <c r="J4" s="1">
        <f>'Data Sheet'!J82</f>
        <v>2150.65</v>
      </c>
      <c r="K4" s="1">
        <f>'Data Sheet'!K82</f>
        <v>2069.9499999999998</v>
      </c>
    </row>
    <row r="5" spans="1:11">
      <c r="A5" t="s">
        <v>32</v>
      </c>
      <c r="B5" s="6">
        <f>'Data Sheet'!B83</f>
        <v>-1235.8599999999999</v>
      </c>
      <c r="C5" s="6">
        <f>'Data Sheet'!C83</f>
        <v>-621.59</v>
      </c>
      <c r="D5" s="6">
        <f>'Data Sheet'!D83</f>
        <v>-2243.25</v>
      </c>
      <c r="E5" s="6">
        <f>'Data Sheet'!E83</f>
        <v>-336.37</v>
      </c>
      <c r="F5" s="6">
        <f>'Data Sheet'!F83</f>
        <v>274.07</v>
      </c>
      <c r="G5" s="6">
        <f>'Data Sheet'!G83</f>
        <v>-552.12</v>
      </c>
      <c r="H5" s="6">
        <f>'Data Sheet'!H83</f>
        <v>-292.14999999999998</v>
      </c>
      <c r="I5" s="6">
        <f>'Data Sheet'!I83</f>
        <v>-844.32</v>
      </c>
      <c r="J5" s="6">
        <f>'Data Sheet'!J83</f>
        <v>-1754.46</v>
      </c>
      <c r="K5" s="6">
        <f>'Data Sheet'!K83</f>
        <v>-3435.01</v>
      </c>
    </row>
    <row r="6" spans="1:11">
      <c r="A6" t="s">
        <v>33</v>
      </c>
      <c r="B6" s="6">
        <f>'Data Sheet'!B84</f>
        <v>-12.04</v>
      </c>
      <c r="C6" s="6">
        <f>'Data Sheet'!C84</f>
        <v>-202.47</v>
      </c>
      <c r="D6" s="6">
        <f>'Data Sheet'!D84</f>
        <v>664.65</v>
      </c>
      <c r="E6" s="6">
        <f>'Data Sheet'!E84</f>
        <v>-1384.01</v>
      </c>
      <c r="F6" s="6">
        <f>'Data Sheet'!F84</f>
        <v>-2038.73</v>
      </c>
      <c r="G6" s="6">
        <f>'Data Sheet'!G84</f>
        <v>-1295.33</v>
      </c>
      <c r="H6" s="6">
        <f>'Data Sheet'!H84</f>
        <v>-1816.22</v>
      </c>
      <c r="I6" s="6">
        <f>'Data Sheet'!I84</f>
        <v>-379.52</v>
      </c>
      <c r="J6" s="6">
        <f>'Data Sheet'!J84</f>
        <v>-794.31</v>
      </c>
      <c r="K6" s="6">
        <f>'Data Sheet'!K84</f>
        <v>1406.34</v>
      </c>
    </row>
    <row r="7" spans="1:11" s="2" customFormat="1">
      <c r="A7" s="2" t="s">
        <v>34</v>
      </c>
      <c r="B7" s="1">
        <f>'Data Sheet'!B85</f>
        <v>-221.17</v>
      </c>
      <c r="C7" s="1">
        <f>'Data Sheet'!C85</f>
        <v>23.31</v>
      </c>
      <c r="D7" s="1">
        <f>'Data Sheet'!D85</f>
        <v>281.62</v>
      </c>
      <c r="E7" s="1">
        <f>'Data Sheet'!E85</f>
        <v>2.97</v>
      </c>
      <c r="F7" s="1">
        <f>'Data Sheet'!F85</f>
        <v>-35.81</v>
      </c>
      <c r="G7" s="1">
        <f>'Data Sheet'!G85</f>
        <v>-259.33999999999997</v>
      </c>
      <c r="H7" s="1">
        <f>'Data Sheet'!H85</f>
        <v>-78.739999999999995</v>
      </c>
      <c r="I7" s="1">
        <f>'Data Sheet'!I85</f>
        <v>226.73</v>
      </c>
      <c r="J7" s="1">
        <f>'Data Sheet'!J85</f>
        <v>-398.12</v>
      </c>
      <c r="K7" s="1">
        <f>'Data Sheet'!K85</f>
        <v>41.28</v>
      </c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/>
  <cols>
    <col min="1" max="1" width="8.77734375" style="2"/>
    <col min="2" max="2" width="10.44140625" customWidth="1"/>
    <col min="3" max="3" width="13.33203125" style="20" customWidth="1"/>
    <col min="6" max="6" width="6.77734375" customWidth="1"/>
  </cols>
  <sheetData>
    <row r="1" spans="1:7" ht="21">
      <c r="A1" s="19" t="s">
        <v>55</v>
      </c>
    </row>
    <row r="3" spans="1:7">
      <c r="A3" s="2" t="s">
        <v>47</v>
      </c>
    </row>
    <row r="4" spans="1:7">
      <c r="B4" t="s">
        <v>89</v>
      </c>
    </row>
    <row r="5" spans="1:7">
      <c r="B5" t="s">
        <v>48</v>
      </c>
    </row>
    <row r="7" spans="1:7">
      <c r="A7" s="2" t="s">
        <v>49</v>
      </c>
    </row>
    <row r="8" spans="1:7">
      <c r="B8" t="s">
        <v>50</v>
      </c>
      <c r="C8" s="21" t="s">
        <v>90</v>
      </c>
    </row>
    <row r="10" spans="1:7">
      <c r="A10" s="2" t="s">
        <v>51</v>
      </c>
    </row>
    <row r="11" spans="1:7">
      <c r="B11" t="s">
        <v>52</v>
      </c>
    </row>
    <row r="14" spans="1:7">
      <c r="A14" s="2" t="s">
        <v>53</v>
      </c>
    </row>
    <row r="15" spans="1:7">
      <c r="B15" t="s">
        <v>54</v>
      </c>
    </row>
    <row r="16" spans="1:7">
      <c r="B16" t="s">
        <v>91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K93"/>
  <sheetViews>
    <sheetView zoomScale="95" zoomScaleNormal="95" zoomScalePageLayoutView="120" workbookViewId="0">
      <pane xSplit="1" ySplit="1" topLeftCell="B16" activePane="bottomRight" state="frozen"/>
      <selection activeCell="C4" sqref="C4"/>
      <selection pane="topRight" activeCell="C4" sqref="C4"/>
      <selection pane="bottomLeft" activeCell="C4" sqref="C4"/>
      <selection pane="bottomRight" activeCell="O28" sqref="O28"/>
    </sheetView>
  </sheetViews>
  <sheetFormatPr defaultColWidth="8.77734375" defaultRowHeight="14.4"/>
  <cols>
    <col min="1" max="1" width="35.44140625" style="4" customWidth="1"/>
    <col min="2" max="11" width="13.44140625" style="4" bestFit="1" customWidth="1"/>
    <col min="12" max="16384" width="8.77734375" style="4"/>
  </cols>
  <sheetData>
    <row r="1" spans="1:11" s="1" customFormat="1">
      <c r="A1" s="1" t="s">
        <v>62</v>
      </c>
      <c r="E1" s="117" t="str">
        <f>IF(B2&lt;&gt;B3, "A NEW VERSION OF THE WORKSHEET IS AVAILABLE", "")</f>
        <v/>
      </c>
      <c r="F1" s="117"/>
      <c r="G1" s="117"/>
      <c r="H1" s="117"/>
      <c r="I1" s="117"/>
      <c r="J1" s="117"/>
      <c r="K1" s="117"/>
    </row>
    <row r="2" spans="1:11">
      <c r="A2" s="1" t="s">
        <v>60</v>
      </c>
      <c r="B2" s="4">
        <v>2.1</v>
      </c>
      <c r="E2" s="118" t="s">
        <v>35</v>
      </c>
      <c r="F2" s="118"/>
      <c r="G2" s="118"/>
      <c r="H2" s="118"/>
      <c r="I2" s="118"/>
      <c r="J2" s="118"/>
      <c r="K2" s="118"/>
    </row>
    <row r="3" spans="1:11">
      <c r="A3" s="1" t="s">
        <v>61</v>
      </c>
      <c r="B3" s="4">
        <v>2.1</v>
      </c>
    </row>
    <row r="4" spans="1:11">
      <c r="A4" s="1"/>
    </row>
    <row r="5" spans="1:11">
      <c r="A5" s="1" t="s">
        <v>63</v>
      </c>
    </row>
    <row r="6" spans="1:11">
      <c r="A6" s="4" t="s">
        <v>41</v>
      </c>
      <c r="B6" s="4">
        <f>IF(B9&gt;0, B9/B8, 0)</f>
        <v>102.38163362034915</v>
      </c>
    </row>
    <row r="7" spans="1:11">
      <c r="A7" s="4" t="s">
        <v>30</v>
      </c>
      <c r="B7">
        <v>1</v>
      </c>
    </row>
    <row r="8" spans="1:11">
      <c r="A8" s="4" t="s">
        <v>42</v>
      </c>
      <c r="B8">
        <v>1265.9000000000001</v>
      </c>
    </row>
    <row r="9" spans="1:11">
      <c r="A9" s="4" t="s">
        <v>78</v>
      </c>
      <c r="B9">
        <v>129604.91</v>
      </c>
    </row>
    <row r="15" spans="1:11">
      <c r="A15" s="1" t="s">
        <v>36</v>
      </c>
    </row>
    <row r="16" spans="1:11" s="18" customFormat="1">
      <c r="A16" s="17" t="s">
        <v>37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>
      <c r="A17" s="6" t="s">
        <v>5</v>
      </c>
      <c r="B17">
        <v>8273.15</v>
      </c>
      <c r="C17">
        <v>8423.8799999999992</v>
      </c>
      <c r="D17">
        <v>9267.91</v>
      </c>
      <c r="E17">
        <v>9847.43</v>
      </c>
      <c r="F17">
        <v>10314.34</v>
      </c>
      <c r="G17">
        <v>9910.7999999999993</v>
      </c>
      <c r="H17">
        <v>11028.62</v>
      </c>
      <c r="I17">
        <v>12276.5</v>
      </c>
      <c r="J17">
        <v>13315.97</v>
      </c>
      <c r="K17">
        <v>14096.11</v>
      </c>
    </row>
    <row r="18" spans="1:11" s="6" customFormat="1">
      <c r="A18" s="4" t="s">
        <v>79</v>
      </c>
      <c r="B18">
        <v>3806.48</v>
      </c>
      <c r="C18">
        <v>3959.14</v>
      </c>
      <c r="D18">
        <v>4265.8500000000004</v>
      </c>
      <c r="E18">
        <v>4218.3599999999997</v>
      </c>
      <c r="F18">
        <v>4399.79</v>
      </c>
      <c r="G18">
        <v>4434.83</v>
      </c>
      <c r="H18">
        <v>4971.7700000000004</v>
      </c>
      <c r="I18">
        <v>6136.63</v>
      </c>
      <c r="J18">
        <v>6489.85</v>
      </c>
      <c r="K18">
        <v>6333.43</v>
      </c>
    </row>
    <row r="19" spans="1:11" s="6" customFormat="1">
      <c r="A19" s="4" t="s">
        <v>80</v>
      </c>
      <c r="B19">
        <v>-35.04</v>
      </c>
      <c r="C19">
        <v>91.9</v>
      </c>
      <c r="D19">
        <v>133.33000000000001</v>
      </c>
      <c r="E19">
        <v>-56</v>
      </c>
      <c r="F19">
        <v>-154.54</v>
      </c>
      <c r="G19">
        <v>173.15</v>
      </c>
      <c r="H19">
        <v>42.35</v>
      </c>
      <c r="I19">
        <v>61.54</v>
      </c>
      <c r="J19">
        <v>-212.94</v>
      </c>
      <c r="K19">
        <v>13.13</v>
      </c>
    </row>
    <row r="20" spans="1:11" s="6" customFormat="1">
      <c r="A20" s="4" t="s">
        <v>81</v>
      </c>
      <c r="B20">
        <v>109.92</v>
      </c>
      <c r="C20">
        <v>109.99</v>
      </c>
      <c r="D20">
        <v>89.02</v>
      </c>
      <c r="E20">
        <v>101.11</v>
      </c>
      <c r="F20">
        <v>119.29</v>
      </c>
      <c r="G20">
        <v>118.29</v>
      </c>
      <c r="H20">
        <v>106.23</v>
      </c>
      <c r="I20">
        <v>133.49</v>
      </c>
      <c r="J20">
        <v>154.63</v>
      </c>
      <c r="K20">
        <v>150.85</v>
      </c>
    </row>
    <row r="21" spans="1:11" s="6" customFormat="1">
      <c r="A21" s="4" t="s">
        <v>82</v>
      </c>
      <c r="B21">
        <v>223.97</v>
      </c>
      <c r="C21">
        <v>236.23</v>
      </c>
      <c r="D21">
        <v>302.85000000000002</v>
      </c>
      <c r="E21">
        <v>318.75</v>
      </c>
      <c r="F21">
        <v>329.8</v>
      </c>
      <c r="G21">
        <v>378.69</v>
      </c>
      <c r="H21">
        <v>397.25</v>
      </c>
      <c r="I21">
        <v>430.3</v>
      </c>
      <c r="J21">
        <v>438.91</v>
      </c>
      <c r="K21">
        <v>420.43</v>
      </c>
    </row>
    <row r="22" spans="1:11" s="6" customFormat="1">
      <c r="A22" s="4" t="s">
        <v>83</v>
      </c>
      <c r="B22">
        <v>776.95</v>
      </c>
      <c r="C22">
        <v>944.13</v>
      </c>
      <c r="D22">
        <v>988.46</v>
      </c>
      <c r="E22">
        <v>1057.4100000000001</v>
      </c>
      <c r="F22">
        <v>1068.4100000000001</v>
      </c>
      <c r="G22">
        <v>1018.82</v>
      </c>
      <c r="H22">
        <v>1123.3399999999999</v>
      </c>
      <c r="I22">
        <v>1104.1400000000001</v>
      </c>
      <c r="J22">
        <v>1111.48</v>
      </c>
      <c r="K22">
        <v>1249.3399999999999</v>
      </c>
    </row>
    <row r="23" spans="1:11" s="6" customFormat="1">
      <c r="A23" s="4" t="s">
        <v>84</v>
      </c>
      <c r="B23">
        <v>1818.85</v>
      </c>
      <c r="C23">
        <v>1464.98</v>
      </c>
      <c r="D23">
        <v>1649.39</v>
      </c>
      <c r="E23">
        <v>1775.76</v>
      </c>
      <c r="F23">
        <v>1888.86</v>
      </c>
      <c r="G23">
        <v>1770.13</v>
      </c>
      <c r="H23">
        <v>1808.73</v>
      </c>
      <c r="I23">
        <v>1836.49</v>
      </c>
      <c r="J23">
        <v>2144.44</v>
      </c>
      <c r="K23">
        <v>2639.66</v>
      </c>
    </row>
    <row r="24" spans="1:11" s="6" customFormat="1">
      <c r="A24" s="4" t="s">
        <v>85</v>
      </c>
      <c r="B24">
        <v>122.99</v>
      </c>
      <c r="C24">
        <v>143.93</v>
      </c>
      <c r="D24">
        <v>198.96</v>
      </c>
      <c r="E24">
        <v>235.64</v>
      </c>
      <c r="F24">
        <v>222.08</v>
      </c>
      <c r="G24">
        <v>209.44</v>
      </c>
      <c r="H24">
        <v>264.39</v>
      </c>
      <c r="I24">
        <v>287.81</v>
      </c>
      <c r="J24">
        <v>320.52</v>
      </c>
      <c r="K24">
        <v>358.21</v>
      </c>
    </row>
    <row r="25" spans="1:11" s="6" customFormat="1">
      <c r="A25" s="6" t="s">
        <v>8</v>
      </c>
      <c r="B25">
        <v>73.010000000000005</v>
      </c>
      <c r="C25">
        <v>-262.04000000000002</v>
      </c>
      <c r="D25">
        <v>76.180000000000007</v>
      </c>
      <c r="E25">
        <v>283.27999999999997</v>
      </c>
      <c r="F25">
        <v>361.95</v>
      </c>
      <c r="G25">
        <v>32.06</v>
      </c>
      <c r="H25">
        <v>22.6</v>
      </c>
      <c r="I25">
        <v>78.27</v>
      </c>
      <c r="J25">
        <v>114.3</v>
      </c>
      <c r="K25">
        <v>-2208.56</v>
      </c>
    </row>
    <row r="26" spans="1:11" s="6" customFormat="1">
      <c r="A26" s="6" t="s">
        <v>9</v>
      </c>
      <c r="B26">
        <v>90.78</v>
      </c>
      <c r="C26">
        <v>100.63</v>
      </c>
      <c r="D26">
        <v>141.57</v>
      </c>
      <c r="E26">
        <v>155.68</v>
      </c>
      <c r="F26">
        <v>169.98</v>
      </c>
      <c r="G26">
        <v>197.28</v>
      </c>
      <c r="H26">
        <v>203.85</v>
      </c>
      <c r="I26">
        <v>209.93</v>
      </c>
      <c r="J26">
        <v>236.29</v>
      </c>
      <c r="K26">
        <v>240.96</v>
      </c>
    </row>
    <row r="27" spans="1:11" s="6" customFormat="1">
      <c r="A27" s="6" t="s">
        <v>10</v>
      </c>
      <c r="B27">
        <v>112.46</v>
      </c>
      <c r="C27">
        <v>128.04</v>
      </c>
      <c r="D27">
        <v>154.19</v>
      </c>
      <c r="E27">
        <v>173.12</v>
      </c>
      <c r="F27">
        <v>238.21</v>
      </c>
      <c r="G27">
        <v>228.13</v>
      </c>
      <c r="H27">
        <v>137.65</v>
      </c>
      <c r="I27">
        <v>122.26</v>
      </c>
      <c r="J27">
        <v>188.48</v>
      </c>
      <c r="K27">
        <v>309.57</v>
      </c>
    </row>
    <row r="28" spans="1:11" s="6" customFormat="1">
      <c r="A28" s="6" t="s">
        <v>11</v>
      </c>
      <c r="B28">
        <v>1248.72</v>
      </c>
      <c r="C28">
        <v>1166.67</v>
      </c>
      <c r="D28">
        <v>1687.13</v>
      </c>
      <c r="E28">
        <v>2038.88</v>
      </c>
      <c r="F28">
        <v>2085.33</v>
      </c>
      <c r="G28">
        <v>1760.4</v>
      </c>
      <c r="H28">
        <v>2080.36</v>
      </c>
      <c r="I28">
        <v>2155.2600000000002</v>
      </c>
      <c r="J28">
        <v>2132.73</v>
      </c>
      <c r="K28">
        <v>198.23</v>
      </c>
    </row>
    <row r="29" spans="1:11" s="6" customFormat="1">
      <c r="A29" s="6" t="s">
        <v>12</v>
      </c>
      <c r="B29">
        <v>272.29000000000002</v>
      </c>
      <c r="C29">
        <v>336.05</v>
      </c>
      <c r="D29">
        <v>379.16</v>
      </c>
      <c r="E29">
        <v>404.7</v>
      </c>
      <c r="F29">
        <v>-256.2</v>
      </c>
      <c r="G29">
        <v>263.82</v>
      </c>
      <c r="H29">
        <v>359.54</v>
      </c>
      <c r="I29">
        <v>371.87</v>
      </c>
      <c r="J29">
        <v>430.27</v>
      </c>
      <c r="K29">
        <v>758.78</v>
      </c>
    </row>
    <row r="30" spans="1:11" s="6" customFormat="1">
      <c r="A30" s="6" t="s">
        <v>13</v>
      </c>
      <c r="B30">
        <v>907.12</v>
      </c>
      <c r="C30">
        <v>827.61</v>
      </c>
      <c r="D30">
        <v>1304.08</v>
      </c>
      <c r="E30">
        <v>1634.18</v>
      </c>
      <c r="F30">
        <v>2341.5300000000002</v>
      </c>
      <c r="G30">
        <v>1496.58</v>
      </c>
      <c r="H30">
        <v>1720.82</v>
      </c>
      <c r="I30">
        <v>1783.39</v>
      </c>
      <c r="J30">
        <v>1702.46</v>
      </c>
      <c r="K30">
        <v>-560.54999999999995</v>
      </c>
    </row>
    <row r="31" spans="1:11" s="6" customFormat="1">
      <c r="A31" s="6" t="s">
        <v>69</v>
      </c>
      <c r="B31">
        <v>187.22</v>
      </c>
      <c r="C31">
        <v>195.79</v>
      </c>
      <c r="D31">
        <v>510.9</v>
      </c>
      <c r="E31">
        <v>681.3</v>
      </c>
      <c r="F31">
        <v>1022.2</v>
      </c>
      <c r="G31">
        <v>817.84</v>
      </c>
      <c r="K31">
        <v>1534.2</v>
      </c>
    </row>
    <row r="32" spans="1:11" s="6" customFormat="1">
      <c r="A32" s="6" t="s">
        <v>102</v>
      </c>
      <c r="B32" s="6">
        <f>SUM(B26,B27,B29,B30)</f>
        <v>1382.65</v>
      </c>
      <c r="C32" s="6">
        <f t="shared" ref="C32:K32" si="0">SUM(C26,C27,C29,C30)</f>
        <v>1392.33</v>
      </c>
      <c r="D32" s="6">
        <f t="shared" si="0"/>
        <v>1979</v>
      </c>
      <c r="E32" s="6">
        <f t="shared" si="0"/>
        <v>2367.6800000000003</v>
      </c>
      <c r="F32" s="6">
        <f t="shared" si="0"/>
        <v>2493.5200000000004</v>
      </c>
      <c r="G32" s="6">
        <f t="shared" si="0"/>
        <v>2185.81</v>
      </c>
      <c r="H32" s="6">
        <f t="shared" si="0"/>
        <v>2421.8599999999997</v>
      </c>
      <c r="I32" s="6">
        <f t="shared" si="0"/>
        <v>2487.4499999999998</v>
      </c>
      <c r="J32" s="6">
        <f t="shared" si="0"/>
        <v>2557.5</v>
      </c>
      <c r="K32" s="6">
        <f>SUM(K26,K27,K29,K30)</f>
        <v>748.76</v>
      </c>
    </row>
    <row r="33" spans="1:11">
      <c r="A33" s="6" t="s">
        <v>314</v>
      </c>
      <c r="B33" s="4">
        <f>B32-B26</f>
        <v>1291.8700000000001</v>
      </c>
      <c r="C33" s="4">
        <f t="shared" ref="C33:K33" si="1">C32-C26</f>
        <v>1291.6999999999998</v>
      </c>
      <c r="D33" s="4">
        <f t="shared" si="1"/>
        <v>1837.43</v>
      </c>
      <c r="E33" s="4">
        <f t="shared" si="1"/>
        <v>2212.0000000000005</v>
      </c>
      <c r="F33" s="4">
        <f t="shared" si="1"/>
        <v>2323.5400000000004</v>
      </c>
      <c r="G33" s="4">
        <f t="shared" si="1"/>
        <v>1988.53</v>
      </c>
      <c r="H33" s="4">
        <f t="shared" si="1"/>
        <v>2218.0099999999998</v>
      </c>
      <c r="I33" s="4">
        <f t="shared" si="1"/>
        <v>2277.52</v>
      </c>
      <c r="J33" s="4">
        <f t="shared" si="1"/>
        <v>2321.21</v>
      </c>
      <c r="K33" s="4">
        <f t="shared" si="1"/>
        <v>507.79999999999995</v>
      </c>
    </row>
    <row r="34" spans="1:11">
      <c r="A34" s="6"/>
    </row>
    <row r="35" spans="1:11">
      <c r="A35" s="6"/>
    </row>
    <row r="36" spans="1:11">
      <c r="A36" s="6"/>
    </row>
    <row r="37" spans="1:11">
      <c r="A37" s="6"/>
    </row>
    <row r="38" spans="1:11">
      <c r="A38" s="6"/>
    </row>
    <row r="39" spans="1:11">
      <c r="A39" s="6"/>
    </row>
    <row r="40" spans="1:11">
      <c r="A40" s="1" t="s">
        <v>38</v>
      </c>
    </row>
    <row r="41" spans="1:11" s="18" customFormat="1">
      <c r="A41" s="17" t="s">
        <v>37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>
      <c r="A42" s="6" t="s">
        <v>5</v>
      </c>
      <c r="B42">
        <v>3391.92</v>
      </c>
      <c r="C42">
        <v>3598.92</v>
      </c>
      <c r="D42">
        <v>3200.16</v>
      </c>
      <c r="E42">
        <v>3448.91</v>
      </c>
      <c r="F42">
        <v>3601.95</v>
      </c>
      <c r="G42">
        <v>3659.64</v>
      </c>
      <c r="H42">
        <v>3385.61</v>
      </c>
      <c r="I42">
        <v>3331.58</v>
      </c>
      <c r="J42">
        <v>3666.33</v>
      </c>
      <c r="K42">
        <v>3768.43</v>
      </c>
    </row>
    <row r="43" spans="1:11" s="6" customFormat="1">
      <c r="A43" s="6" t="s">
        <v>6</v>
      </c>
      <c r="B43">
        <v>2849.81</v>
      </c>
      <c r="C43">
        <v>2872.28</v>
      </c>
      <c r="D43">
        <v>2559.29</v>
      </c>
      <c r="E43">
        <v>2806.07</v>
      </c>
      <c r="F43">
        <v>2897.78</v>
      </c>
      <c r="G43">
        <v>2818.92</v>
      </c>
      <c r="H43">
        <v>2629.89</v>
      </c>
      <c r="I43">
        <v>2607.15</v>
      </c>
      <c r="J43">
        <v>2906.69</v>
      </c>
      <c r="K43">
        <v>3012.49</v>
      </c>
    </row>
    <row r="44" spans="1:11" s="6" customFormat="1">
      <c r="A44" s="6" t="s">
        <v>8</v>
      </c>
      <c r="B44">
        <v>17.2</v>
      </c>
      <c r="C44">
        <v>35.71</v>
      </c>
      <c r="D44">
        <v>35.74</v>
      </c>
      <c r="E44">
        <v>-12.67</v>
      </c>
      <c r="F44">
        <v>53.39</v>
      </c>
      <c r="G44">
        <v>63.19</v>
      </c>
      <c r="H44">
        <v>-2311.81</v>
      </c>
      <c r="I44">
        <v>56.81</v>
      </c>
      <c r="J44">
        <v>80.209999999999994</v>
      </c>
      <c r="K44">
        <v>77.36</v>
      </c>
    </row>
    <row r="45" spans="1:11" s="6" customFormat="1">
      <c r="A45" s="6" t="s">
        <v>9</v>
      </c>
      <c r="B45">
        <v>53.32</v>
      </c>
      <c r="C45">
        <v>57.32</v>
      </c>
      <c r="D45">
        <v>68.59</v>
      </c>
      <c r="E45">
        <v>76.290000000000006</v>
      </c>
      <c r="F45">
        <v>60.88</v>
      </c>
      <c r="G45">
        <v>53.88</v>
      </c>
      <c r="H45">
        <v>49.91</v>
      </c>
      <c r="I45">
        <v>49.46</v>
      </c>
      <c r="J45">
        <v>50.1</v>
      </c>
      <c r="K45">
        <v>61.89</v>
      </c>
    </row>
    <row r="46" spans="1:11" s="6" customFormat="1">
      <c r="A46" s="6" t="s">
        <v>10</v>
      </c>
      <c r="B46">
        <v>48.25</v>
      </c>
      <c r="C46">
        <v>39.92</v>
      </c>
      <c r="D46">
        <v>52.51</v>
      </c>
      <c r="E46">
        <v>74</v>
      </c>
      <c r="F46">
        <v>77.31</v>
      </c>
      <c r="G46">
        <v>66.59</v>
      </c>
      <c r="H46">
        <v>78.47</v>
      </c>
      <c r="I46">
        <v>87.75</v>
      </c>
      <c r="J46">
        <v>83.09</v>
      </c>
      <c r="K46">
        <v>89.71</v>
      </c>
    </row>
    <row r="47" spans="1:11" s="6" customFormat="1">
      <c r="A47" s="6" t="s">
        <v>11</v>
      </c>
      <c r="B47">
        <v>457.74</v>
      </c>
      <c r="C47">
        <v>665.11</v>
      </c>
      <c r="D47">
        <v>555.51</v>
      </c>
      <c r="E47">
        <v>479.88</v>
      </c>
      <c r="F47">
        <v>619.37</v>
      </c>
      <c r="G47">
        <v>783.44</v>
      </c>
      <c r="H47">
        <v>-1684.47</v>
      </c>
      <c r="I47">
        <v>644.03</v>
      </c>
      <c r="J47">
        <v>706.66</v>
      </c>
      <c r="K47">
        <v>681.7</v>
      </c>
    </row>
    <row r="48" spans="1:11" s="6" customFormat="1">
      <c r="A48" s="6" t="s">
        <v>12</v>
      </c>
      <c r="B48">
        <v>98.88</v>
      </c>
      <c r="C48">
        <v>118.77</v>
      </c>
      <c r="D48">
        <v>103.37</v>
      </c>
      <c r="E48">
        <v>161.06</v>
      </c>
      <c r="F48">
        <v>186.6</v>
      </c>
      <c r="G48">
        <v>202.38</v>
      </c>
      <c r="H48">
        <v>208.74</v>
      </c>
      <c r="I48">
        <v>193.34</v>
      </c>
      <c r="J48">
        <v>215.35</v>
      </c>
      <c r="K48">
        <v>183.39</v>
      </c>
    </row>
    <row r="49" spans="1:11" s="6" customFormat="1">
      <c r="A49" s="6" t="s">
        <v>13</v>
      </c>
      <c r="B49">
        <v>358.86</v>
      </c>
      <c r="C49">
        <v>546.34</v>
      </c>
      <c r="D49">
        <v>452.14</v>
      </c>
      <c r="E49">
        <v>318.82</v>
      </c>
      <c r="F49">
        <v>432.77</v>
      </c>
      <c r="G49">
        <v>581.05999999999995</v>
      </c>
      <c r="H49">
        <v>-1893.21</v>
      </c>
      <c r="I49">
        <v>450.69</v>
      </c>
      <c r="J49">
        <v>491.31</v>
      </c>
      <c r="K49">
        <v>498.31</v>
      </c>
    </row>
    <row r="50" spans="1:11">
      <c r="A50" s="6" t="s">
        <v>7</v>
      </c>
      <c r="B50">
        <v>542.11</v>
      </c>
      <c r="C50">
        <v>726.64</v>
      </c>
      <c r="D50">
        <v>640.87</v>
      </c>
      <c r="E50">
        <v>642.84</v>
      </c>
      <c r="F50">
        <v>704.17</v>
      </c>
      <c r="G50">
        <v>840.72</v>
      </c>
      <c r="H50">
        <v>755.72</v>
      </c>
      <c r="I50">
        <v>724.43</v>
      </c>
      <c r="J50">
        <v>759.64</v>
      </c>
      <c r="K50">
        <v>755.94</v>
      </c>
    </row>
    <row r="51" spans="1:11">
      <c r="A51" s="6" t="s">
        <v>102</v>
      </c>
      <c r="B51" s="4">
        <f>SUM(B48:B49,B45:B46)</f>
        <v>559.30999999999995</v>
      </c>
      <c r="C51" s="4">
        <f t="shared" ref="C51:K51" si="2">SUM(C48:C49,C45:C46)</f>
        <v>762.35</v>
      </c>
      <c r="D51" s="4">
        <f t="shared" si="2"/>
        <v>676.61</v>
      </c>
      <c r="E51" s="4">
        <f t="shared" si="2"/>
        <v>630.16999999999996</v>
      </c>
      <c r="F51" s="4">
        <f t="shared" si="2"/>
        <v>757.56</v>
      </c>
      <c r="G51" s="4">
        <f t="shared" si="2"/>
        <v>903.91</v>
      </c>
      <c r="H51" s="4">
        <f t="shared" si="2"/>
        <v>-1556.09</v>
      </c>
      <c r="I51" s="4">
        <f t="shared" si="2"/>
        <v>781.24</v>
      </c>
      <c r="J51" s="4">
        <f t="shared" si="2"/>
        <v>839.85</v>
      </c>
      <c r="K51" s="4">
        <f t="shared" si="2"/>
        <v>833.30000000000007</v>
      </c>
    </row>
    <row r="52" spans="1:11">
      <c r="A52" s="6"/>
    </row>
    <row r="53" spans="1:11">
      <c r="A53" s="6"/>
    </row>
    <row r="54" spans="1:11">
      <c r="A54" s="6"/>
    </row>
    <row r="55" spans="1:11">
      <c r="A55" s="1" t="s">
        <v>39</v>
      </c>
    </row>
    <row r="56" spans="1:11" s="18" customFormat="1">
      <c r="A56" s="17" t="s">
        <v>37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s="18" customFormat="1">
      <c r="A57" s="1" t="s">
        <v>25</v>
      </c>
      <c r="B57">
        <v>9125.02</v>
      </c>
      <c r="C57">
        <v>9678.74</v>
      </c>
      <c r="D57">
        <v>12940.25</v>
      </c>
      <c r="E57">
        <v>13863.77</v>
      </c>
      <c r="F57">
        <v>14093.55</v>
      </c>
      <c r="G57">
        <v>14880.28</v>
      </c>
      <c r="H57">
        <v>14243.79</v>
      </c>
      <c r="I57">
        <v>16082.12</v>
      </c>
      <c r="J57">
        <v>17437.259999999998</v>
      </c>
      <c r="K57">
        <v>18392.080000000002</v>
      </c>
    </row>
    <row r="58" spans="1:11">
      <c r="A58" s="6" t="s">
        <v>23</v>
      </c>
      <c r="B58">
        <v>34.04</v>
      </c>
      <c r="C58">
        <v>34.049999999999997</v>
      </c>
      <c r="D58">
        <v>34.06</v>
      </c>
      <c r="E58">
        <v>68.13</v>
      </c>
      <c r="F58">
        <v>102.22</v>
      </c>
      <c r="G58">
        <v>102.23</v>
      </c>
      <c r="H58">
        <v>102.25</v>
      </c>
      <c r="I58">
        <v>102.26</v>
      </c>
      <c r="J58">
        <v>102.27</v>
      </c>
      <c r="K58">
        <v>102.28</v>
      </c>
    </row>
    <row r="59" spans="1:11">
      <c r="A59" s="6" t="s">
        <v>24</v>
      </c>
      <c r="B59">
        <v>4276.6499999999996</v>
      </c>
      <c r="C59">
        <v>4232.91</v>
      </c>
      <c r="D59">
        <v>5267.89</v>
      </c>
      <c r="E59">
        <v>6190.18</v>
      </c>
      <c r="F59">
        <v>7164.7</v>
      </c>
      <c r="G59">
        <v>7796.13</v>
      </c>
      <c r="H59">
        <v>9336.65</v>
      </c>
      <c r="I59">
        <v>11453.67</v>
      </c>
      <c r="J59">
        <v>13691.96</v>
      </c>
      <c r="K59">
        <v>12496.29</v>
      </c>
    </row>
    <row r="60" spans="1:11">
      <c r="A60" s="6" t="s">
        <v>70</v>
      </c>
      <c r="B60">
        <v>2717.15</v>
      </c>
      <c r="C60">
        <v>2891.12</v>
      </c>
      <c r="D60">
        <v>4000.93</v>
      </c>
      <c r="E60">
        <v>3507.57</v>
      </c>
      <c r="F60">
        <v>3382.05</v>
      </c>
      <c r="G60">
        <v>3574.97</v>
      </c>
      <c r="H60">
        <v>1863.97</v>
      </c>
      <c r="I60">
        <v>1704.34</v>
      </c>
      <c r="J60">
        <v>1129.58</v>
      </c>
      <c r="K60">
        <v>3222.2</v>
      </c>
    </row>
    <row r="61" spans="1:11">
      <c r="A61" s="6" t="s">
        <v>71</v>
      </c>
      <c r="B61">
        <v>2097.1799999999998</v>
      </c>
      <c r="C61">
        <v>2520.66</v>
      </c>
      <c r="D61">
        <v>3637.37</v>
      </c>
      <c r="E61">
        <v>4097.8900000000003</v>
      </c>
      <c r="F61">
        <v>3444.58</v>
      </c>
      <c r="G61">
        <v>3406.95</v>
      </c>
      <c r="H61">
        <v>2940.92</v>
      </c>
      <c r="I61">
        <v>2821.85</v>
      </c>
      <c r="J61">
        <v>2513.4499999999998</v>
      </c>
      <c r="K61">
        <v>2571.31</v>
      </c>
    </row>
    <row r="62" spans="1:11">
      <c r="A62" s="1" t="s">
        <v>25</v>
      </c>
      <c r="B62">
        <v>9125.02</v>
      </c>
      <c r="C62">
        <v>9678.74</v>
      </c>
      <c r="D62">
        <v>12940.25</v>
      </c>
      <c r="E62">
        <v>13863.77</v>
      </c>
      <c r="F62">
        <v>14093.55</v>
      </c>
      <c r="G62">
        <v>14880.28</v>
      </c>
      <c r="H62">
        <v>14243.79</v>
      </c>
      <c r="I62">
        <v>16082.12</v>
      </c>
      <c r="J62">
        <v>17437.259999999998</v>
      </c>
      <c r="K62">
        <v>18392.080000000002</v>
      </c>
    </row>
    <row r="63" spans="1:11">
      <c r="A63" s="6" t="s">
        <v>26</v>
      </c>
      <c r="B63">
        <v>5550.95</v>
      </c>
      <c r="C63">
        <v>5931.41</v>
      </c>
      <c r="D63">
        <v>8082.89</v>
      </c>
      <c r="E63">
        <v>8315</v>
      </c>
      <c r="F63">
        <v>8670.26</v>
      </c>
      <c r="G63">
        <v>9231.4</v>
      </c>
      <c r="H63">
        <v>8904.77</v>
      </c>
      <c r="I63">
        <v>9219.2999999999993</v>
      </c>
      <c r="J63">
        <v>9933.66</v>
      </c>
      <c r="K63">
        <v>10440.24</v>
      </c>
    </row>
    <row r="64" spans="1:11">
      <c r="A64" s="6" t="s">
        <v>27</v>
      </c>
      <c r="B64">
        <v>224.61</v>
      </c>
      <c r="C64">
        <v>43.66</v>
      </c>
      <c r="D64">
        <v>97.43</v>
      </c>
      <c r="E64">
        <v>83.88</v>
      </c>
      <c r="F64">
        <v>52.06</v>
      </c>
      <c r="G64">
        <v>57.04</v>
      </c>
      <c r="H64">
        <v>57.43</v>
      </c>
      <c r="I64">
        <v>116.44</v>
      </c>
      <c r="J64">
        <v>45.42</v>
      </c>
      <c r="K64">
        <v>83.36</v>
      </c>
    </row>
    <row r="65" spans="1:11">
      <c r="A65" s="6" t="s">
        <v>28</v>
      </c>
      <c r="B65">
        <v>185.69</v>
      </c>
      <c r="C65">
        <v>189.5</v>
      </c>
      <c r="D65">
        <v>933.54</v>
      </c>
      <c r="E65">
        <v>997.28</v>
      </c>
      <c r="F65">
        <v>515.98</v>
      </c>
      <c r="G65">
        <v>671.98</v>
      </c>
      <c r="H65">
        <v>679.1</v>
      </c>
      <c r="I65">
        <v>1015.43</v>
      </c>
      <c r="J65">
        <v>3028.98</v>
      </c>
      <c r="K65">
        <v>3503.67</v>
      </c>
    </row>
    <row r="66" spans="1:11">
      <c r="A66" s="6" t="s">
        <v>72</v>
      </c>
      <c r="B66">
        <v>3163.77</v>
      </c>
      <c r="C66">
        <v>3514.17</v>
      </c>
      <c r="D66">
        <v>3826.39</v>
      </c>
      <c r="E66">
        <v>4467.6099999999997</v>
      </c>
      <c r="F66">
        <v>4855.25</v>
      </c>
      <c r="G66">
        <v>4919.8599999999997</v>
      </c>
      <c r="H66">
        <v>4602.49</v>
      </c>
      <c r="I66">
        <v>5730.95</v>
      </c>
      <c r="J66">
        <v>4429.2</v>
      </c>
      <c r="K66">
        <v>4364.8100000000004</v>
      </c>
    </row>
    <row r="67" spans="1:11" s="6" customFormat="1">
      <c r="A67" s="6" t="s">
        <v>77</v>
      </c>
      <c r="B67">
        <v>804.58</v>
      </c>
      <c r="C67">
        <v>1118.01</v>
      </c>
      <c r="D67">
        <v>1028.74</v>
      </c>
      <c r="E67">
        <v>1245.5</v>
      </c>
      <c r="F67">
        <v>1292.9000000000001</v>
      </c>
      <c r="G67">
        <v>1157.25</v>
      </c>
      <c r="H67">
        <v>1004.5</v>
      </c>
      <c r="I67">
        <v>1116.32</v>
      </c>
      <c r="J67">
        <v>1245.28</v>
      </c>
      <c r="K67">
        <v>1535.37</v>
      </c>
    </row>
    <row r="68" spans="1:11">
      <c r="A68" s="6" t="s">
        <v>44</v>
      </c>
      <c r="B68">
        <v>1071.71</v>
      </c>
      <c r="C68">
        <v>1306.98</v>
      </c>
      <c r="D68">
        <v>1412.5</v>
      </c>
      <c r="E68">
        <v>1577.72</v>
      </c>
      <c r="F68">
        <v>1558.59</v>
      </c>
      <c r="G68">
        <v>1703.12</v>
      </c>
      <c r="H68">
        <v>1716.25</v>
      </c>
      <c r="I68">
        <v>2129.85</v>
      </c>
      <c r="J68">
        <v>1537.15</v>
      </c>
      <c r="K68">
        <v>1270.92</v>
      </c>
    </row>
    <row r="69" spans="1:11">
      <c r="A69" s="4" t="s">
        <v>86</v>
      </c>
      <c r="B69">
        <v>894.22</v>
      </c>
      <c r="C69">
        <v>753.79</v>
      </c>
      <c r="D69">
        <v>912.66</v>
      </c>
      <c r="E69">
        <v>960.21</v>
      </c>
      <c r="F69">
        <v>894.72</v>
      </c>
      <c r="G69">
        <v>770.16</v>
      </c>
      <c r="H69">
        <v>672.21</v>
      </c>
      <c r="I69">
        <v>1107.77</v>
      </c>
      <c r="J69">
        <v>390.72</v>
      </c>
      <c r="K69">
        <v>546.94000000000005</v>
      </c>
    </row>
    <row r="70" spans="1:11">
      <c r="A70" s="4" t="s">
        <v>73</v>
      </c>
      <c r="B70">
        <v>340446901</v>
      </c>
      <c r="C70">
        <v>340533823</v>
      </c>
      <c r="D70">
        <v>340600816</v>
      </c>
      <c r="E70">
        <v>681329518</v>
      </c>
      <c r="F70">
        <v>1022166096</v>
      </c>
      <c r="G70">
        <v>1022316352</v>
      </c>
      <c r="H70">
        <v>1022486273</v>
      </c>
      <c r="I70">
        <v>1022581079</v>
      </c>
      <c r="J70">
        <v>1022695318</v>
      </c>
      <c r="K70">
        <v>1022820329</v>
      </c>
    </row>
    <row r="71" spans="1:11">
      <c r="A71" s="4" t="s">
        <v>74</v>
      </c>
      <c r="E71">
        <v>340600816</v>
      </c>
      <c r="F71">
        <v>340722032</v>
      </c>
    </row>
    <row r="72" spans="1:11">
      <c r="A72" s="4" t="s">
        <v>87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>
      <c r="A74" s="6"/>
    </row>
    <row r="75" spans="1:11">
      <c r="A75" s="6"/>
    </row>
    <row r="76" spans="1:11">
      <c r="A76" s="6"/>
    </row>
    <row r="77" spans="1:11">
      <c r="A77" s="6"/>
    </row>
    <row r="78" spans="1:11">
      <c r="A78" s="6"/>
    </row>
    <row r="79" spans="1:11">
      <c r="A79" s="6"/>
    </row>
    <row r="80" spans="1:11">
      <c r="A80" s="1" t="s">
        <v>40</v>
      </c>
    </row>
    <row r="81" spans="1:11" s="18" customFormat="1">
      <c r="A81" s="17" t="s">
        <v>37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>
      <c r="A82" s="6" t="s">
        <v>31</v>
      </c>
      <c r="B82">
        <v>1026.73</v>
      </c>
      <c r="C82">
        <v>847.37</v>
      </c>
      <c r="D82">
        <v>1860.22</v>
      </c>
      <c r="E82">
        <v>1723.35</v>
      </c>
      <c r="F82">
        <v>1728.85</v>
      </c>
      <c r="G82">
        <v>1588.11</v>
      </c>
      <c r="H82">
        <v>2029.63</v>
      </c>
      <c r="I82">
        <v>1450.57</v>
      </c>
      <c r="J82">
        <v>2150.65</v>
      </c>
      <c r="K82">
        <v>2069.9499999999998</v>
      </c>
    </row>
    <row r="83" spans="1:11" s="6" customFormat="1">
      <c r="A83" s="6" t="s">
        <v>32</v>
      </c>
      <c r="B83">
        <v>-1235.8599999999999</v>
      </c>
      <c r="C83">
        <v>-621.59</v>
      </c>
      <c r="D83">
        <v>-2243.25</v>
      </c>
      <c r="E83">
        <v>-336.37</v>
      </c>
      <c r="F83">
        <v>274.07</v>
      </c>
      <c r="G83">
        <v>-552.12</v>
      </c>
      <c r="H83">
        <v>-292.14999999999998</v>
      </c>
      <c r="I83">
        <v>-844.32</v>
      </c>
      <c r="J83">
        <v>-1754.46</v>
      </c>
      <c r="K83">
        <v>-3435.01</v>
      </c>
    </row>
    <row r="84" spans="1:11" s="6" customFormat="1">
      <c r="A84" s="6" t="s">
        <v>33</v>
      </c>
      <c r="B84">
        <v>-12.04</v>
      </c>
      <c r="C84">
        <v>-202.47</v>
      </c>
      <c r="D84">
        <v>664.65</v>
      </c>
      <c r="E84">
        <v>-1384.01</v>
      </c>
      <c r="F84">
        <v>-2038.73</v>
      </c>
      <c r="G84">
        <v>-1295.33</v>
      </c>
      <c r="H84">
        <v>-1816.22</v>
      </c>
      <c r="I84">
        <v>-379.52</v>
      </c>
      <c r="J84">
        <v>-794.31</v>
      </c>
      <c r="K84">
        <v>1406.34</v>
      </c>
    </row>
    <row r="85" spans="1:11" s="1" customFormat="1">
      <c r="A85" s="6" t="s">
        <v>34</v>
      </c>
      <c r="B85">
        <v>-221.17</v>
      </c>
      <c r="C85">
        <v>23.31</v>
      </c>
      <c r="D85">
        <v>281.62</v>
      </c>
      <c r="E85">
        <v>2.97</v>
      </c>
      <c r="F85">
        <v>-35.81</v>
      </c>
      <c r="G85">
        <v>-259.33999999999997</v>
      </c>
      <c r="H85">
        <v>-78.739999999999995</v>
      </c>
      <c r="I85">
        <v>226.73</v>
      </c>
      <c r="J85">
        <v>-398.12</v>
      </c>
      <c r="K85">
        <v>41.28</v>
      </c>
    </row>
    <row r="86" spans="1:11">
      <c r="A86" s="6"/>
    </row>
    <row r="87" spans="1:11">
      <c r="A87" s="6"/>
    </row>
    <row r="88" spans="1:11">
      <c r="A88" s="6"/>
    </row>
    <row r="89" spans="1:11">
      <c r="A89" s="6"/>
    </row>
    <row r="90" spans="1:11" s="1" customFormat="1">
      <c r="A90" s="1" t="s">
        <v>76</v>
      </c>
      <c r="B90">
        <v>346.99</v>
      </c>
      <c r="C90">
        <v>460.27</v>
      </c>
      <c r="D90">
        <v>557.14</v>
      </c>
      <c r="E90">
        <v>729.1</v>
      </c>
      <c r="F90">
        <v>686</v>
      </c>
      <c r="G90">
        <v>520.85</v>
      </c>
      <c r="H90">
        <v>729.65</v>
      </c>
      <c r="I90">
        <v>747.3</v>
      </c>
      <c r="J90">
        <v>968.15</v>
      </c>
      <c r="K90">
        <v>1251.8</v>
      </c>
    </row>
    <row r="92" spans="1:11" s="1" customFormat="1">
      <c r="A92" s="1" t="s">
        <v>75</v>
      </c>
    </row>
    <row r="93" spans="1:11">
      <c r="A93" s="4" t="s">
        <v>88</v>
      </c>
      <c r="B93" s="24">
        <v>102.14</v>
      </c>
      <c r="C93" s="24">
        <v>102.16</v>
      </c>
      <c r="D93" s="24">
        <v>102.18</v>
      </c>
      <c r="E93" s="24">
        <v>102.2</v>
      </c>
      <c r="F93" s="24">
        <v>102.22</v>
      </c>
      <c r="G93" s="24">
        <v>102.23</v>
      </c>
      <c r="H93" s="24">
        <v>102.25</v>
      </c>
      <c r="I93" s="24">
        <v>102.26</v>
      </c>
      <c r="J93" s="24">
        <v>102.27</v>
      </c>
      <c r="K93" s="24">
        <v>102.28</v>
      </c>
    </row>
  </sheetData>
  <sheetProtection algorithmName="SHA-512" hashValue="xlL4Cqo0rJg2TCTUfdPdkRj370b5u/q4YTlDmoiLYjh/dnhksWDYZyxJRtbTOH7a/sRJmQEj5vHV6ISAdna//g==" saltValue="dq6mK45AOjZj+/RVp1rIWw==" spinCount="100000"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4EF5-12E7-46F3-ACFC-BCDCCD58EBC0}">
  <dimension ref="A2:M99"/>
  <sheetViews>
    <sheetView showGridLines="0" workbookViewId="0">
      <pane ySplit="3" topLeftCell="A4" activePane="bottomLeft" state="frozen"/>
      <selection pane="bottomLeft" activeCell="C7" sqref="C7"/>
    </sheetView>
  </sheetViews>
  <sheetFormatPr defaultRowHeight="14.4"/>
  <cols>
    <col min="1" max="1" width="1.88671875" customWidth="1"/>
    <col min="2" max="2" width="33.21875" customWidth="1"/>
    <col min="3" max="3" width="10.6640625" bestFit="1" customWidth="1"/>
    <col min="4" max="6" width="9.88671875" bestFit="1" customWidth="1"/>
    <col min="7" max="7" width="10.109375" bestFit="1" customWidth="1"/>
    <col min="8" max="8" width="9.88671875" bestFit="1" customWidth="1"/>
    <col min="9" max="9" width="10.109375" bestFit="1" customWidth="1"/>
    <col min="10" max="11" width="9.88671875" bestFit="1" customWidth="1"/>
    <col min="12" max="12" width="10.21875" bestFit="1" customWidth="1"/>
  </cols>
  <sheetData>
    <row r="2" spans="1:13">
      <c r="B2" s="119" t="str">
        <f>"HISTORICAL FINANCIAL STATEMENT - "&amp;'Data Sheet'!A1</f>
        <v>HISTORICAL FINANCIAL STATEMENT - GODREJ CONSUMER PRODUCTS LTD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</row>
    <row r="3" spans="1:13">
      <c r="B3" s="25" t="s">
        <v>92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27" t="s">
        <v>93</v>
      </c>
    </row>
    <row r="4" spans="1:13" ht="9" customHeight="1"/>
    <row r="5" spans="1:13">
      <c r="A5" t="s">
        <v>94</v>
      </c>
      <c r="B5" s="28" t="s">
        <v>95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9" customHeight="1"/>
    <row r="7" spans="1:13">
      <c r="B7" t="s">
        <v>5</v>
      </c>
      <c r="C7">
        <f>'Data Sheet'!B17</f>
        <v>8273.15</v>
      </c>
      <c r="D7">
        <f>'Data Sheet'!C17</f>
        <v>8423.8799999999992</v>
      </c>
      <c r="E7">
        <f>'Data Sheet'!D17</f>
        <v>9267.91</v>
      </c>
      <c r="F7">
        <f>'Data Sheet'!E17</f>
        <v>9847.43</v>
      </c>
      <c r="G7">
        <f>'Data Sheet'!F17</f>
        <v>10314.34</v>
      </c>
      <c r="H7">
        <f>'Data Sheet'!G17</f>
        <v>9910.7999999999993</v>
      </c>
      <c r="I7">
        <f>'Data Sheet'!H17</f>
        <v>11028.62</v>
      </c>
      <c r="J7">
        <f>'Data Sheet'!I17</f>
        <v>12276.5</v>
      </c>
      <c r="K7">
        <f>'Data Sheet'!J17</f>
        <v>13315.97</v>
      </c>
      <c r="L7">
        <f>'Data Sheet'!K17</f>
        <v>14096.11</v>
      </c>
      <c r="M7">
        <f>SUM('Data Sheet'!H42:K42)</f>
        <v>14151.95</v>
      </c>
    </row>
    <row r="8" spans="1:13">
      <c r="B8" s="30" t="s">
        <v>21</v>
      </c>
      <c r="C8" s="30"/>
      <c r="D8" s="31">
        <f>D7/C7-1</f>
        <v>1.8219178910088507E-2</v>
      </c>
      <c r="E8" s="31">
        <f t="shared" ref="E8:M8" si="0">E7/D7-1</f>
        <v>0.10019492205492009</v>
      </c>
      <c r="F8" s="31">
        <f t="shared" si="0"/>
        <v>6.2529739714779264E-2</v>
      </c>
      <c r="G8" s="31">
        <f t="shared" si="0"/>
        <v>4.7414401524052519E-2</v>
      </c>
      <c r="H8" s="31">
        <f t="shared" si="0"/>
        <v>-3.9124170814613501E-2</v>
      </c>
      <c r="I8" s="31">
        <f t="shared" si="0"/>
        <v>0.11278806958065957</v>
      </c>
      <c r="J8" s="31">
        <f t="shared" si="0"/>
        <v>0.11314924260696246</v>
      </c>
      <c r="K8" s="31">
        <f t="shared" si="0"/>
        <v>8.4671526900989669E-2</v>
      </c>
      <c r="L8" s="31">
        <f t="shared" si="0"/>
        <v>5.8586794653337382E-2</v>
      </c>
      <c r="M8" s="31">
        <f t="shared" si="0"/>
        <v>3.9613765783610422E-3</v>
      </c>
    </row>
    <row r="10" spans="1:13">
      <c r="B10" t="s">
        <v>96</v>
      </c>
      <c r="C10" cm="1">
        <f t="array" ref="C10">SUM('Data Sheet'!B18,'Data Sheet'!B20:B22-1*'Data Sheet'!B19)</f>
        <v>5022.4399999999996</v>
      </c>
      <c r="D10" cm="1">
        <f t="array" ref="D10">SUM('Data Sheet'!C18,'Data Sheet'!C20:C22-1*'Data Sheet'!C19)</f>
        <v>4973.7900000000009</v>
      </c>
      <c r="E10" cm="1">
        <f t="array" ref="E10">SUM('Data Sheet'!D18,'Data Sheet'!D20:D22-1*'Data Sheet'!D19)</f>
        <v>5246.1900000000005</v>
      </c>
      <c r="F10" cm="1">
        <f t="array" ref="F10">SUM('Data Sheet'!E18,'Data Sheet'!E20:E22-1*'Data Sheet'!E19)</f>
        <v>5863.6299999999992</v>
      </c>
      <c r="G10" cm="1">
        <f t="array" ref="G10">SUM('Data Sheet'!F18,'Data Sheet'!F20:F22-1*'Data Sheet'!F19)</f>
        <v>6380.91</v>
      </c>
      <c r="H10" cm="1">
        <f t="array" ref="H10">SUM('Data Sheet'!G18,'Data Sheet'!G20:G22-1*'Data Sheet'!G19)</f>
        <v>5431.18</v>
      </c>
      <c r="I10" cm="1">
        <f t="array" ref="I10">SUM('Data Sheet'!H18,'Data Sheet'!H20:H22-1*'Data Sheet'!H19)</f>
        <v>6471.54</v>
      </c>
      <c r="J10" cm="1">
        <f t="array" ref="J10">SUM('Data Sheet'!I18,'Data Sheet'!I20:I22-1*'Data Sheet'!I19)</f>
        <v>7619.9400000000005</v>
      </c>
      <c r="K10" cm="1">
        <f t="array" ref="K10">SUM('Data Sheet'!J18,'Data Sheet'!J20:J22-1*'Data Sheet'!J19)</f>
        <v>8833.69</v>
      </c>
      <c r="L10" cm="1">
        <f t="array" ref="L10">SUM('Data Sheet'!K18,'Data Sheet'!K20:K22-1*'Data Sheet'!K19)</f>
        <v>8114.6600000000008</v>
      </c>
      <c r="M10">
        <f>SUM('Data Sheet'!H43:K43)</f>
        <v>11156.22</v>
      </c>
    </row>
    <row r="11" spans="1:13">
      <c r="B11" s="30" t="s">
        <v>97</v>
      </c>
      <c r="C11" s="31">
        <f>C10/C7</f>
        <v>0.60707711089488281</v>
      </c>
      <c r="D11" s="31">
        <f t="shared" ref="D11:M11" si="1">D10/D7</f>
        <v>0.59043932249747166</v>
      </c>
      <c r="E11" s="31">
        <f t="shared" si="1"/>
        <v>0.56605966177919298</v>
      </c>
      <c r="F11" s="31">
        <f t="shared" si="1"/>
        <v>0.59544774626476138</v>
      </c>
      <c r="G11" s="31">
        <f t="shared" si="1"/>
        <v>0.61864452790968683</v>
      </c>
      <c r="H11" s="31">
        <f t="shared" si="1"/>
        <v>0.54800621544174044</v>
      </c>
      <c r="I11" s="31">
        <f t="shared" si="1"/>
        <v>0.58679508406310121</v>
      </c>
      <c r="J11" s="31">
        <f t="shared" si="1"/>
        <v>0.62069319431434045</v>
      </c>
      <c r="K11" s="31">
        <f t="shared" si="1"/>
        <v>0.66339065047458057</v>
      </c>
      <c r="L11" s="31">
        <f t="shared" si="1"/>
        <v>0.57566662008171054</v>
      </c>
      <c r="M11" s="31">
        <f t="shared" si="1"/>
        <v>0.78831680439798035</v>
      </c>
    </row>
    <row r="13" spans="1:13">
      <c r="B13" t="s">
        <v>98</v>
      </c>
      <c r="C13">
        <f>C7-C10</f>
        <v>3250.71</v>
      </c>
      <c r="D13">
        <f t="shared" ref="D13:M13" si="2">D7-D10</f>
        <v>3450.0899999999983</v>
      </c>
      <c r="E13">
        <f t="shared" si="2"/>
        <v>4021.7199999999993</v>
      </c>
      <c r="F13">
        <f t="shared" si="2"/>
        <v>3983.8000000000011</v>
      </c>
      <c r="G13">
        <f t="shared" si="2"/>
        <v>3933.4300000000003</v>
      </c>
      <c r="H13">
        <f t="shared" si="2"/>
        <v>4479.619999999999</v>
      </c>
      <c r="I13">
        <f t="shared" si="2"/>
        <v>4557.0800000000008</v>
      </c>
      <c r="J13">
        <f t="shared" si="2"/>
        <v>4656.5599999999995</v>
      </c>
      <c r="K13">
        <f t="shared" si="2"/>
        <v>4482.2799999999988</v>
      </c>
      <c r="L13">
        <f t="shared" si="2"/>
        <v>5981.45</v>
      </c>
      <c r="M13">
        <f t="shared" si="2"/>
        <v>2995.7300000000014</v>
      </c>
    </row>
    <row r="14" spans="1:13">
      <c r="B14" s="30" t="s">
        <v>99</v>
      </c>
      <c r="C14" s="31">
        <f>C13/C7</f>
        <v>0.39292288910511719</v>
      </c>
      <c r="D14" s="31">
        <f t="shared" ref="D14:M14" si="3">D13/D7</f>
        <v>0.40956067750252839</v>
      </c>
      <c r="E14" s="31">
        <f t="shared" si="3"/>
        <v>0.43394033822080702</v>
      </c>
      <c r="F14" s="31">
        <f t="shared" si="3"/>
        <v>0.40455225373523862</v>
      </c>
      <c r="G14" s="31">
        <f t="shared" si="3"/>
        <v>0.38135547209031312</v>
      </c>
      <c r="H14" s="31">
        <f t="shared" si="3"/>
        <v>0.45199378455825961</v>
      </c>
      <c r="I14" s="31">
        <f t="shared" si="3"/>
        <v>0.41320491593689879</v>
      </c>
      <c r="J14" s="31">
        <f t="shared" si="3"/>
        <v>0.37930680568565955</v>
      </c>
      <c r="K14" s="31">
        <f t="shared" si="3"/>
        <v>0.33660934952541943</v>
      </c>
      <c r="L14" s="31">
        <f t="shared" si="3"/>
        <v>0.42433337991828951</v>
      </c>
      <c r="M14" s="31">
        <f t="shared" si="3"/>
        <v>0.21168319560201959</v>
      </c>
    </row>
    <row r="16" spans="1:13">
      <c r="B16" t="s">
        <v>100</v>
      </c>
      <c r="C16">
        <f>SUM('Data Sheet'!B23:B24)</f>
        <v>1941.84</v>
      </c>
      <c r="D16">
        <f>SUM('Data Sheet'!C23:C24)</f>
        <v>1608.91</v>
      </c>
      <c r="E16">
        <f>SUM('Data Sheet'!D23:D24)</f>
        <v>1848.3500000000001</v>
      </c>
      <c r="F16">
        <f>SUM('Data Sheet'!E23:E24)</f>
        <v>2011.4</v>
      </c>
      <c r="G16">
        <f>SUM('Data Sheet'!F23:F24)</f>
        <v>2110.94</v>
      </c>
      <c r="H16">
        <f>SUM('Data Sheet'!G23:G24)</f>
        <v>1979.5700000000002</v>
      </c>
      <c r="I16">
        <f>SUM('Data Sheet'!H23:H24)</f>
        <v>2073.12</v>
      </c>
      <c r="J16">
        <f>SUM('Data Sheet'!I23:I24)</f>
        <v>2124.3000000000002</v>
      </c>
      <c r="K16">
        <f>SUM('Data Sheet'!J23:J24)</f>
        <v>2464.96</v>
      </c>
      <c r="L16">
        <f>SUM('Data Sheet'!K23:K24)</f>
        <v>2997.87</v>
      </c>
    </row>
    <row r="17" spans="2:13">
      <c r="B17" s="30" t="s">
        <v>101</v>
      </c>
      <c r="C17" s="31">
        <f>C16/C7</f>
        <v>0.23471591836241334</v>
      </c>
      <c r="D17" s="31">
        <f t="shared" ref="D17:L17" si="4">D16/D7</f>
        <v>0.19099393628589204</v>
      </c>
      <c r="E17" s="31">
        <f t="shared" si="4"/>
        <v>0.1994354714277545</v>
      </c>
      <c r="F17" s="31">
        <f t="shared" si="4"/>
        <v>0.20425633896356715</v>
      </c>
      <c r="G17" s="31">
        <f t="shared" si="4"/>
        <v>0.20466069569162931</v>
      </c>
      <c r="H17" s="31">
        <f t="shared" si="4"/>
        <v>0.19973866892682732</v>
      </c>
      <c r="I17" s="31">
        <f t="shared" si="4"/>
        <v>0.18797637419731569</v>
      </c>
      <c r="J17" s="31">
        <f t="shared" si="4"/>
        <v>0.17303791797336376</v>
      </c>
      <c r="K17" s="31">
        <f t="shared" si="4"/>
        <v>0.18511306348692586</v>
      </c>
      <c r="L17" s="31">
        <f t="shared" si="4"/>
        <v>0.2126735673884497</v>
      </c>
    </row>
    <row r="19" spans="2:13">
      <c r="B19" t="s">
        <v>102</v>
      </c>
      <c r="C19">
        <f>C13-C16</f>
        <v>1308.8700000000001</v>
      </c>
      <c r="D19">
        <f t="shared" ref="D19:L19" si="5">D13-D16</f>
        <v>1841.1799999999982</v>
      </c>
      <c r="E19">
        <f t="shared" si="5"/>
        <v>2173.369999999999</v>
      </c>
      <c r="F19">
        <f t="shared" si="5"/>
        <v>1972.400000000001</v>
      </c>
      <c r="G19">
        <f t="shared" si="5"/>
        <v>1822.4900000000002</v>
      </c>
      <c r="H19">
        <f t="shared" si="5"/>
        <v>2500.0499999999988</v>
      </c>
      <c r="I19">
        <f t="shared" si="5"/>
        <v>2483.9600000000009</v>
      </c>
      <c r="J19">
        <f t="shared" si="5"/>
        <v>2532.2599999999993</v>
      </c>
      <c r="K19">
        <f t="shared" si="5"/>
        <v>2017.3199999999988</v>
      </c>
      <c r="L19">
        <f t="shared" si="5"/>
        <v>2983.58</v>
      </c>
      <c r="M19" s="32">
        <f>SUM('Data Sheet'!H51:K51)</f>
        <v>898.30000000000018</v>
      </c>
    </row>
    <row r="20" spans="2:13">
      <c r="B20" s="30" t="s">
        <v>103</v>
      </c>
      <c r="C20" s="31">
        <f>C19/C7</f>
        <v>0.15820697074270382</v>
      </c>
      <c r="D20" s="31">
        <f t="shared" ref="D20:M20" si="6">D19/D7</f>
        <v>0.21856674121663633</v>
      </c>
      <c r="E20" s="31">
        <f t="shared" si="6"/>
        <v>0.23450486679305249</v>
      </c>
      <c r="F20" s="31">
        <f t="shared" si="6"/>
        <v>0.2002959147716715</v>
      </c>
      <c r="G20" s="31">
        <f t="shared" si="6"/>
        <v>0.17669477639868381</v>
      </c>
      <c r="H20" s="31">
        <f t="shared" si="6"/>
        <v>0.25225511563143227</v>
      </c>
      <c r="I20" s="31">
        <f t="shared" si="6"/>
        <v>0.22522854173958309</v>
      </c>
      <c r="J20" s="31">
        <f t="shared" si="6"/>
        <v>0.20626888771229579</v>
      </c>
      <c r="K20" s="31">
        <f t="shared" si="6"/>
        <v>0.15149628603849355</v>
      </c>
      <c r="L20" s="31">
        <f t="shared" si="6"/>
        <v>0.21165981252983979</v>
      </c>
      <c r="M20" s="31">
        <f t="shared" si="6"/>
        <v>6.3475351453333301E-2</v>
      </c>
    </row>
    <row r="22" spans="2:13">
      <c r="B22" t="s">
        <v>10</v>
      </c>
      <c r="C22">
        <f>'Data Sheet'!B27</f>
        <v>112.46</v>
      </c>
      <c r="D22">
        <f>'Data Sheet'!C27</f>
        <v>128.04</v>
      </c>
      <c r="E22">
        <f>'Data Sheet'!D27</f>
        <v>154.19</v>
      </c>
      <c r="F22">
        <f>'Data Sheet'!E27</f>
        <v>173.12</v>
      </c>
      <c r="G22">
        <f>'Data Sheet'!F27</f>
        <v>238.21</v>
      </c>
      <c r="H22">
        <f>'Data Sheet'!G27</f>
        <v>228.13</v>
      </c>
      <c r="I22">
        <f>'Data Sheet'!H27</f>
        <v>137.65</v>
      </c>
      <c r="J22">
        <f>'Data Sheet'!I27</f>
        <v>122.26</v>
      </c>
      <c r="K22">
        <f>'Data Sheet'!J27</f>
        <v>188.48</v>
      </c>
      <c r="L22">
        <f>'Data Sheet'!K27</f>
        <v>309.57</v>
      </c>
      <c r="M22">
        <f>SUM('Data Sheet'!H46:K46)</f>
        <v>339.02</v>
      </c>
    </row>
    <row r="23" spans="2:13">
      <c r="B23" s="30" t="s">
        <v>104</v>
      </c>
      <c r="C23" s="31">
        <f>C22/C7</f>
        <v>1.3593371327728858E-2</v>
      </c>
      <c r="D23" s="31">
        <f t="shared" ref="D23:M23" si="7">D22/D7</f>
        <v>1.5199646718614226E-2</v>
      </c>
      <c r="E23" s="31">
        <f t="shared" si="7"/>
        <v>1.6636976405683696E-2</v>
      </c>
      <c r="F23" s="31">
        <f t="shared" si="7"/>
        <v>1.7580221438486997E-2</v>
      </c>
      <c r="G23" s="31">
        <f t="shared" si="7"/>
        <v>2.3095030801776942E-2</v>
      </c>
      <c r="H23" s="31">
        <f t="shared" si="7"/>
        <v>2.3018323445130565E-2</v>
      </c>
      <c r="I23" s="31">
        <f t="shared" si="7"/>
        <v>1.2481162647729272E-2</v>
      </c>
      <c r="J23" s="31">
        <f t="shared" si="7"/>
        <v>9.9588644972101181E-3</v>
      </c>
      <c r="K23" s="31">
        <f t="shared" si="7"/>
        <v>1.4154432609866199E-2</v>
      </c>
      <c r="L23" s="31">
        <f t="shared" si="7"/>
        <v>2.1961377997192132E-2</v>
      </c>
      <c r="M23" s="31">
        <f t="shared" si="7"/>
        <v>2.3955709283879602E-2</v>
      </c>
    </row>
    <row r="25" spans="2:13">
      <c r="B25" t="s">
        <v>9</v>
      </c>
      <c r="C25">
        <f>'Data Sheet'!B26</f>
        <v>90.78</v>
      </c>
      <c r="D25">
        <f>'Data Sheet'!C26</f>
        <v>100.63</v>
      </c>
      <c r="E25">
        <f>'Data Sheet'!D26</f>
        <v>141.57</v>
      </c>
      <c r="F25">
        <f>'Data Sheet'!E26</f>
        <v>155.68</v>
      </c>
      <c r="G25">
        <f>'Data Sheet'!F26</f>
        <v>169.98</v>
      </c>
      <c r="H25">
        <f>'Data Sheet'!G26</f>
        <v>197.28</v>
      </c>
      <c r="I25">
        <f>'Data Sheet'!H26</f>
        <v>203.85</v>
      </c>
      <c r="J25">
        <f>'Data Sheet'!I26</f>
        <v>209.93</v>
      </c>
      <c r="K25">
        <f>'Data Sheet'!J26</f>
        <v>236.29</v>
      </c>
      <c r="L25">
        <f>'Data Sheet'!K26</f>
        <v>240.96</v>
      </c>
      <c r="M25">
        <f>SUM('Data Sheet'!H45:K45)</f>
        <v>211.36</v>
      </c>
    </row>
    <row r="26" spans="2:13">
      <c r="B26" s="30" t="s">
        <v>105</v>
      </c>
      <c r="C26" s="31">
        <f>C25/C7</f>
        <v>1.0972845893039531E-2</v>
      </c>
      <c r="D26" s="31">
        <f t="shared" ref="D26:M26" si="8">D25/D7</f>
        <v>1.1945801697080207E-2</v>
      </c>
      <c r="E26" s="31">
        <f t="shared" si="8"/>
        <v>1.5275288603363649E-2</v>
      </c>
      <c r="F26" s="31">
        <f t="shared" si="8"/>
        <v>1.5809200979341818E-2</v>
      </c>
      <c r="G26" s="31">
        <f t="shared" si="8"/>
        <v>1.6479968664984863E-2</v>
      </c>
      <c r="H26" s="31">
        <f t="shared" si="8"/>
        <v>1.9905557573556124E-2</v>
      </c>
      <c r="I26" s="31">
        <f t="shared" si="8"/>
        <v>1.8483726885140661E-2</v>
      </c>
      <c r="J26" s="31">
        <f t="shared" si="8"/>
        <v>1.7100150694416161E-2</v>
      </c>
      <c r="K26" s="31">
        <f t="shared" si="8"/>
        <v>1.7744858241645182E-2</v>
      </c>
      <c r="L26" s="31">
        <f t="shared" si="8"/>
        <v>1.7094077727827037E-2</v>
      </c>
      <c r="M26" s="31">
        <f t="shared" si="8"/>
        <v>1.4935044287183039E-2</v>
      </c>
    </row>
    <row r="28" spans="2:13">
      <c r="B28" t="s">
        <v>106</v>
      </c>
      <c r="C28">
        <f>C19-SUM(C25,C22)</f>
        <v>1105.6300000000001</v>
      </c>
      <c r="D28">
        <f t="shared" ref="D28:M28" si="9">D19-SUM(D25,D22)</f>
        <v>1612.5099999999982</v>
      </c>
      <c r="E28">
        <f t="shared" si="9"/>
        <v>1877.609999999999</v>
      </c>
      <c r="F28">
        <f t="shared" si="9"/>
        <v>1643.600000000001</v>
      </c>
      <c r="G28">
        <f t="shared" si="9"/>
        <v>1414.3000000000002</v>
      </c>
      <c r="H28">
        <f t="shared" si="9"/>
        <v>2074.639999999999</v>
      </c>
      <c r="I28">
        <f t="shared" si="9"/>
        <v>2142.4600000000009</v>
      </c>
      <c r="J28">
        <f t="shared" si="9"/>
        <v>2200.0699999999993</v>
      </c>
      <c r="K28">
        <f t="shared" si="9"/>
        <v>1592.5499999999988</v>
      </c>
      <c r="L28">
        <f t="shared" si="9"/>
        <v>2433.0500000000002</v>
      </c>
      <c r="M28">
        <f t="shared" si="9"/>
        <v>347.92000000000019</v>
      </c>
    </row>
    <row r="29" spans="2:13">
      <c r="B29" s="30" t="s">
        <v>107</v>
      </c>
      <c r="C29" s="31">
        <f>C28/C7</f>
        <v>0.13364075352193544</v>
      </c>
      <c r="D29" s="31">
        <f t="shared" ref="D29:M29" si="10">D28/D7</f>
        <v>0.19142129280094189</v>
      </c>
      <c r="E29" s="31">
        <f t="shared" si="10"/>
        <v>0.20259260178400512</v>
      </c>
      <c r="F29" s="31">
        <f t="shared" si="10"/>
        <v>0.16690649235384267</v>
      </c>
      <c r="G29" s="31">
        <f t="shared" si="10"/>
        <v>0.13711977693192198</v>
      </c>
      <c r="H29" s="31">
        <f t="shared" si="10"/>
        <v>0.20933123461274561</v>
      </c>
      <c r="I29" s="31">
        <f t="shared" si="10"/>
        <v>0.19426365220671316</v>
      </c>
      <c r="J29" s="31">
        <f t="shared" si="10"/>
        <v>0.1792098725206695</v>
      </c>
      <c r="K29" s="31">
        <f t="shared" si="10"/>
        <v>0.11959699518698216</v>
      </c>
      <c r="L29" s="31">
        <f t="shared" si="10"/>
        <v>0.17260435680482061</v>
      </c>
      <c r="M29" s="31">
        <f t="shared" si="10"/>
        <v>2.4584597882270652E-2</v>
      </c>
    </row>
    <row r="31" spans="2:13">
      <c r="B31" t="s">
        <v>12</v>
      </c>
      <c r="C31">
        <f>'Data Sheet'!B29</f>
        <v>272.29000000000002</v>
      </c>
      <c r="D31">
        <f>'Data Sheet'!C29</f>
        <v>336.05</v>
      </c>
      <c r="E31">
        <f>'Data Sheet'!D29</f>
        <v>379.16</v>
      </c>
      <c r="F31">
        <f>'Data Sheet'!E29</f>
        <v>404.7</v>
      </c>
      <c r="G31">
        <f>'Data Sheet'!F29</f>
        <v>-256.2</v>
      </c>
      <c r="H31">
        <f>'Data Sheet'!G29</f>
        <v>263.82</v>
      </c>
      <c r="I31">
        <f>'Data Sheet'!H29</f>
        <v>359.54</v>
      </c>
      <c r="J31">
        <f>'Data Sheet'!I29</f>
        <v>371.87</v>
      </c>
      <c r="K31">
        <f>'Data Sheet'!J29</f>
        <v>430.27</v>
      </c>
      <c r="L31">
        <f>'Data Sheet'!K29</f>
        <v>758.78</v>
      </c>
      <c r="M31">
        <f>SUM('Data Sheet'!H48:K48)</f>
        <v>800.82</v>
      </c>
    </row>
    <row r="32" spans="2:13">
      <c r="B32" s="30" t="s">
        <v>108</v>
      </c>
      <c r="C32" s="31">
        <f>C31/C28</f>
        <v>0.24627587891066632</v>
      </c>
      <c r="D32" s="31">
        <f t="shared" ref="D32:M32" si="11">D31/D28</f>
        <v>0.20840180836087863</v>
      </c>
      <c r="E32" s="31">
        <f t="shared" si="11"/>
        <v>0.20193756956982559</v>
      </c>
      <c r="F32" s="31">
        <f t="shared" si="11"/>
        <v>0.24622779265027972</v>
      </c>
      <c r="G32" s="31">
        <f t="shared" si="11"/>
        <v>-0.18114968535671352</v>
      </c>
      <c r="H32" s="31">
        <f t="shared" si="11"/>
        <v>0.1271642309027109</v>
      </c>
      <c r="I32" s="31">
        <f t="shared" si="11"/>
        <v>0.1678164353126779</v>
      </c>
      <c r="J32" s="31">
        <f t="shared" si="11"/>
        <v>0.16902644006781609</v>
      </c>
      <c r="K32" s="31">
        <f t="shared" si="11"/>
        <v>0.27017676054127049</v>
      </c>
      <c r="L32" s="31">
        <f t="shared" si="11"/>
        <v>0.31186371015803205</v>
      </c>
      <c r="M32" s="31">
        <f t="shared" si="11"/>
        <v>2.3017360312715556</v>
      </c>
    </row>
    <row r="34" spans="1:13">
      <c r="B34" t="s">
        <v>109</v>
      </c>
      <c r="C34">
        <f>C28-C31</f>
        <v>833.34000000000015</v>
      </c>
      <c r="D34">
        <f t="shared" ref="D34:L34" si="12">D28-D31</f>
        <v>1276.4599999999982</v>
      </c>
      <c r="E34">
        <f t="shared" si="12"/>
        <v>1498.4499999999989</v>
      </c>
      <c r="F34">
        <f t="shared" si="12"/>
        <v>1238.900000000001</v>
      </c>
      <c r="G34">
        <f t="shared" si="12"/>
        <v>1670.5000000000002</v>
      </c>
      <c r="H34">
        <f t="shared" si="12"/>
        <v>1810.819999999999</v>
      </c>
      <c r="I34">
        <f t="shared" si="12"/>
        <v>1782.920000000001</v>
      </c>
      <c r="J34">
        <f t="shared" si="12"/>
        <v>1828.1999999999994</v>
      </c>
      <c r="K34">
        <f t="shared" si="12"/>
        <v>1162.2799999999988</v>
      </c>
      <c r="L34">
        <f t="shared" si="12"/>
        <v>1674.2700000000002</v>
      </c>
      <c r="M34">
        <f>M28-M31</f>
        <v>-452.89999999999986</v>
      </c>
    </row>
    <row r="35" spans="1:13">
      <c r="B35" s="30" t="s">
        <v>110</v>
      </c>
      <c r="C35" s="31">
        <f>C34/C7</f>
        <v>0.10072825949003707</v>
      </c>
      <c r="D35" s="31">
        <f t="shared" ref="D35:M35" si="13">D34/D7</f>
        <v>0.15152874922244836</v>
      </c>
      <c r="E35" s="31">
        <f t="shared" si="13"/>
        <v>0.16168154416691563</v>
      </c>
      <c r="F35" s="31">
        <f t="shared" si="13"/>
        <v>0.1258094751625552</v>
      </c>
      <c r="G35" s="31">
        <f t="shared" si="13"/>
        <v>0.16195898137932241</v>
      </c>
      <c r="H35" s="31">
        <f t="shared" si="13"/>
        <v>0.18271178915930089</v>
      </c>
      <c r="I35" s="31">
        <f t="shared" si="13"/>
        <v>0.16166301858256071</v>
      </c>
      <c r="J35" s="31">
        <f t="shared" si="13"/>
        <v>0.14891866574349361</v>
      </c>
      <c r="K35" s="31">
        <f t="shared" si="13"/>
        <v>8.7284666456893409E-2</v>
      </c>
      <c r="L35" s="31">
        <f t="shared" si="13"/>
        <v>0.1187753217022285</v>
      </c>
      <c r="M35" s="31">
        <f t="shared" si="13"/>
        <v>-3.2002656877674091E-2</v>
      </c>
    </row>
    <row r="37" spans="1:13">
      <c r="B37" t="s">
        <v>111</v>
      </c>
      <c r="C37">
        <f>'Data Sheet'!B93</f>
        <v>102.14</v>
      </c>
      <c r="D37">
        <f>'Data Sheet'!C93</f>
        <v>102.16</v>
      </c>
      <c r="E37">
        <f>'Data Sheet'!D93</f>
        <v>102.18</v>
      </c>
      <c r="F37">
        <f>'Data Sheet'!E93</f>
        <v>102.2</v>
      </c>
      <c r="G37">
        <f>'Data Sheet'!F93</f>
        <v>102.22</v>
      </c>
      <c r="H37">
        <f>'Data Sheet'!G93</f>
        <v>102.23</v>
      </c>
      <c r="I37">
        <f>'Data Sheet'!H93</f>
        <v>102.25</v>
      </c>
      <c r="J37">
        <f>'Data Sheet'!I93</f>
        <v>102.26</v>
      </c>
      <c r="K37">
        <f>'Data Sheet'!J93</f>
        <v>102.27</v>
      </c>
      <c r="L37">
        <f>'Data Sheet'!K93</f>
        <v>102.28</v>
      </c>
    </row>
    <row r="39" spans="1:13">
      <c r="B39" t="s">
        <v>112</v>
      </c>
      <c r="C39" s="33">
        <f>C34/C37</f>
        <v>8.1588016448012546</v>
      </c>
      <c r="D39" s="33">
        <f t="shared" ref="D39:L39" si="14">D34/D37</f>
        <v>12.494714173844931</v>
      </c>
      <c r="E39" s="33">
        <f t="shared" si="14"/>
        <v>14.66480720297513</v>
      </c>
      <c r="F39" s="33">
        <f t="shared" si="14"/>
        <v>12.122309197651672</v>
      </c>
      <c r="G39" s="33">
        <f t="shared" si="14"/>
        <v>16.342203091371555</v>
      </c>
      <c r="H39" s="33">
        <f t="shared" si="14"/>
        <v>17.713195735107099</v>
      </c>
      <c r="I39" s="33">
        <f t="shared" si="14"/>
        <v>17.436870415647931</v>
      </c>
      <c r="J39" s="33">
        <f t="shared" si="14"/>
        <v>17.877958145902593</v>
      </c>
      <c r="K39" s="33">
        <f t="shared" si="14"/>
        <v>11.364818617385341</v>
      </c>
      <c r="L39" s="33">
        <f t="shared" si="14"/>
        <v>16.369475948377005</v>
      </c>
      <c r="M39" t="s">
        <v>338</v>
      </c>
    </row>
    <row r="40" spans="1:13">
      <c r="B40" s="30" t="s">
        <v>113</v>
      </c>
      <c r="C40" s="31"/>
      <c r="D40" s="31">
        <f>D39/C39-1</f>
        <v>0.53143987534082249</v>
      </c>
      <c r="E40" s="31">
        <f t="shared" ref="E40:L40" si="15">E39/D39-1</f>
        <v>0.17368088608804144</v>
      </c>
      <c r="F40" s="31">
        <f t="shared" si="15"/>
        <v>-0.17337411737725728</v>
      </c>
      <c r="G40" s="31">
        <f t="shared" si="15"/>
        <v>0.3481097392349437</v>
      </c>
      <c r="H40" s="31">
        <f t="shared" si="15"/>
        <v>8.3892767460429285E-2</v>
      </c>
      <c r="I40" s="31">
        <f t="shared" si="15"/>
        <v>-1.5599969852503781E-2</v>
      </c>
      <c r="J40" s="31">
        <f t="shared" si="15"/>
        <v>2.5296267033035225E-2</v>
      </c>
      <c r="K40" s="31">
        <f t="shared" si="15"/>
        <v>-0.36431115205457532</v>
      </c>
      <c r="L40" s="31">
        <f t="shared" si="15"/>
        <v>0.44036403038899241</v>
      </c>
    </row>
    <row r="42" spans="1:13">
      <c r="B42" t="s">
        <v>114</v>
      </c>
      <c r="C42" s="35">
        <f>'Data Sheet'!B31/'3 Statements'!C37</f>
        <v>1.8329743489328372</v>
      </c>
      <c r="D42" s="35">
        <f>'Data Sheet'!C31/'3 Statements'!D37</f>
        <v>1.9165035238841033</v>
      </c>
      <c r="E42" s="35">
        <f>'Data Sheet'!D31/'3 Statements'!E37</f>
        <v>4.9999999999999991</v>
      </c>
      <c r="F42" s="35">
        <f>'Data Sheet'!E31/'3 Statements'!F37</f>
        <v>6.6663405088062619</v>
      </c>
      <c r="G42" s="35">
        <f>'Data Sheet'!F31/'3 Statements'!G37</f>
        <v>10</v>
      </c>
      <c r="H42" s="35">
        <f>'Data Sheet'!G31/'3 Statements'!H37</f>
        <v>8</v>
      </c>
      <c r="I42" s="34">
        <f>'Data Sheet'!H31/'3 Statements'!I37</f>
        <v>0</v>
      </c>
      <c r="J42" s="34">
        <f>'Data Sheet'!I31/'3 Statements'!J37</f>
        <v>0</v>
      </c>
      <c r="K42" s="34">
        <f>'Data Sheet'!J31/'3 Statements'!K37</f>
        <v>0</v>
      </c>
      <c r="L42" s="35">
        <f>'Data Sheet'!K31/'3 Statements'!L37</f>
        <v>15</v>
      </c>
      <c r="M42" t="s">
        <v>339</v>
      </c>
    </row>
    <row r="43" spans="1:13">
      <c r="B43" s="30" t="s">
        <v>115</v>
      </c>
      <c r="C43" s="31">
        <v>0.01</v>
      </c>
      <c r="D43" s="31">
        <f t="shared" ref="D43:L43" si="16">D42/D39</f>
        <v>0.15338514328690306</v>
      </c>
      <c r="E43" s="31">
        <f t="shared" si="16"/>
        <v>0.34095231739464132</v>
      </c>
      <c r="F43" s="31">
        <f t="shared" si="16"/>
        <v>0.54992331907337111</v>
      </c>
      <c r="G43" s="31">
        <f t="shared" si="16"/>
        <v>0.61191260101765921</v>
      </c>
      <c r="H43" s="31">
        <f t="shared" si="16"/>
        <v>0.45164069316663202</v>
      </c>
      <c r="I43" s="34">
        <f t="shared" si="16"/>
        <v>0</v>
      </c>
      <c r="J43" s="34">
        <f t="shared" si="16"/>
        <v>0</v>
      </c>
      <c r="K43" s="34">
        <f t="shared" si="16"/>
        <v>0</v>
      </c>
      <c r="L43" s="31">
        <f t="shared" si="16"/>
        <v>0.91633965847802323</v>
      </c>
      <c r="M43" t="s">
        <v>340</v>
      </c>
    </row>
    <row r="45" spans="1:13">
      <c r="B45" t="s">
        <v>116</v>
      </c>
      <c r="C45" s="5">
        <f>1-C43</f>
        <v>0.99</v>
      </c>
      <c r="D45" s="5">
        <f t="shared" ref="D45:L45" si="17">1-D43</f>
        <v>0.84661485671309689</v>
      </c>
      <c r="E45" s="5">
        <f t="shared" si="17"/>
        <v>0.65904768260535862</v>
      </c>
      <c r="F45" s="5">
        <f t="shared" si="17"/>
        <v>0.45007668092662889</v>
      </c>
      <c r="G45" s="5">
        <f t="shared" si="17"/>
        <v>0.38808739898234079</v>
      </c>
      <c r="H45" s="5">
        <f t="shared" si="17"/>
        <v>0.54835930683336798</v>
      </c>
      <c r="I45" s="5">
        <f t="shared" si="17"/>
        <v>1</v>
      </c>
      <c r="J45" s="5">
        <f t="shared" si="17"/>
        <v>1</v>
      </c>
      <c r="K45" s="5">
        <f t="shared" si="17"/>
        <v>1</v>
      </c>
      <c r="L45" s="5">
        <f t="shared" si="17"/>
        <v>8.3660341521976767E-2</v>
      </c>
      <c r="M45" t="s">
        <v>341</v>
      </c>
    </row>
    <row r="47" spans="1:13">
      <c r="A47" t="s">
        <v>94</v>
      </c>
      <c r="B47" s="28" t="s">
        <v>117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1:13" ht="9" customHeight="1"/>
    <row r="49" spans="2:12">
      <c r="B49" s="6" t="s">
        <v>23</v>
      </c>
      <c r="C49">
        <v>34.04</v>
      </c>
      <c r="D49">
        <v>34.049999999999997</v>
      </c>
      <c r="E49">
        <v>34.06</v>
      </c>
      <c r="F49">
        <v>68.13</v>
      </c>
      <c r="G49">
        <v>102.22</v>
      </c>
      <c r="H49">
        <v>102.23</v>
      </c>
      <c r="I49">
        <v>102.25</v>
      </c>
      <c r="J49">
        <v>102.26</v>
      </c>
      <c r="K49">
        <v>102.27</v>
      </c>
      <c r="L49">
        <v>102.28</v>
      </c>
    </row>
    <row r="50" spans="2:12">
      <c r="B50" s="6" t="s">
        <v>24</v>
      </c>
      <c r="C50">
        <v>4276.6499999999996</v>
      </c>
      <c r="D50">
        <v>4232.91</v>
      </c>
      <c r="E50">
        <v>5267.89</v>
      </c>
      <c r="F50">
        <v>6190.18</v>
      </c>
      <c r="G50">
        <v>7164.7</v>
      </c>
      <c r="H50">
        <v>7796.13</v>
      </c>
      <c r="I50">
        <v>9336.65</v>
      </c>
      <c r="J50">
        <v>11453.67</v>
      </c>
      <c r="K50">
        <v>13691.96</v>
      </c>
      <c r="L50">
        <v>12496.29</v>
      </c>
    </row>
    <row r="51" spans="2:12">
      <c r="B51" s="6" t="s">
        <v>70</v>
      </c>
      <c r="C51">
        <v>2717.15</v>
      </c>
      <c r="D51">
        <v>2891.12</v>
      </c>
      <c r="E51">
        <v>4000.93</v>
      </c>
      <c r="F51">
        <v>3507.57</v>
      </c>
      <c r="G51">
        <v>3382.05</v>
      </c>
      <c r="H51">
        <v>3574.97</v>
      </c>
      <c r="I51">
        <v>1863.97</v>
      </c>
      <c r="J51">
        <v>1704.34</v>
      </c>
      <c r="K51">
        <v>1129.58</v>
      </c>
      <c r="L51">
        <v>3222.2</v>
      </c>
    </row>
    <row r="52" spans="2:12">
      <c r="B52" s="6" t="s">
        <v>71</v>
      </c>
      <c r="C52">
        <v>2097.1799999999998</v>
      </c>
      <c r="D52">
        <v>2520.66</v>
      </c>
      <c r="E52">
        <v>3637.37</v>
      </c>
      <c r="F52">
        <v>4097.8900000000003</v>
      </c>
      <c r="G52">
        <v>3444.58</v>
      </c>
      <c r="H52">
        <v>3406.95</v>
      </c>
      <c r="I52">
        <v>2940.92</v>
      </c>
      <c r="J52">
        <v>2821.85</v>
      </c>
      <c r="K52">
        <v>2513.4499999999998</v>
      </c>
      <c r="L52">
        <v>2571.31</v>
      </c>
    </row>
    <row r="53" spans="2:12">
      <c r="B53" s="1" t="s">
        <v>118</v>
      </c>
      <c r="C53" s="2">
        <v>9125.02</v>
      </c>
      <c r="D53" s="2">
        <v>9678.74</v>
      </c>
      <c r="E53" s="2">
        <v>12940.25</v>
      </c>
      <c r="F53" s="2">
        <v>13863.77</v>
      </c>
      <c r="G53" s="2">
        <v>14093.55</v>
      </c>
      <c r="H53" s="2">
        <v>14880.28</v>
      </c>
      <c r="I53" s="2">
        <v>14243.79</v>
      </c>
      <c r="J53" s="2">
        <v>16082.12</v>
      </c>
      <c r="K53" s="2">
        <v>17437.259999999998</v>
      </c>
      <c r="L53" s="2">
        <v>18392.080000000002</v>
      </c>
    </row>
    <row r="54" spans="2:12">
      <c r="B54" s="1"/>
    </row>
    <row r="55" spans="2:12">
      <c r="B55" s="6" t="s">
        <v>119</v>
      </c>
      <c r="C55">
        <v>5550.95</v>
      </c>
      <c r="D55">
        <v>5931.41</v>
      </c>
      <c r="E55">
        <v>8082.89</v>
      </c>
      <c r="F55">
        <v>8315</v>
      </c>
      <c r="G55">
        <v>8670.26</v>
      </c>
      <c r="H55">
        <v>9231.4</v>
      </c>
      <c r="I55">
        <v>8904.77</v>
      </c>
      <c r="J55">
        <v>9219.2999999999993</v>
      </c>
      <c r="K55">
        <v>9933.66</v>
      </c>
      <c r="L55">
        <v>10440.24</v>
      </c>
    </row>
    <row r="56" spans="2:12">
      <c r="B56" s="6" t="s">
        <v>27</v>
      </c>
      <c r="C56">
        <v>224.61</v>
      </c>
      <c r="D56">
        <v>43.66</v>
      </c>
      <c r="E56">
        <v>97.43</v>
      </c>
      <c r="F56">
        <v>83.88</v>
      </c>
      <c r="G56">
        <v>52.06</v>
      </c>
      <c r="H56">
        <v>57.04</v>
      </c>
      <c r="I56">
        <v>57.43</v>
      </c>
      <c r="J56">
        <v>116.44</v>
      </c>
      <c r="K56">
        <v>45.42</v>
      </c>
      <c r="L56">
        <v>83.36</v>
      </c>
    </row>
    <row r="57" spans="2:12">
      <c r="B57" s="6" t="s">
        <v>28</v>
      </c>
      <c r="C57">
        <v>185.69</v>
      </c>
      <c r="D57">
        <v>189.5</v>
      </c>
      <c r="E57">
        <v>933.54</v>
      </c>
      <c r="F57">
        <v>997.28</v>
      </c>
      <c r="G57">
        <v>515.98</v>
      </c>
      <c r="H57">
        <v>671.98</v>
      </c>
      <c r="I57">
        <v>679.1</v>
      </c>
      <c r="J57">
        <v>1015.43</v>
      </c>
      <c r="K57">
        <v>3028.98</v>
      </c>
      <c r="L57">
        <v>3503.67</v>
      </c>
    </row>
    <row r="58" spans="2:12">
      <c r="B58" s="6" t="s">
        <v>72</v>
      </c>
      <c r="C58">
        <f>'Data Sheet'!B66-SUM('Data Sheet'!B67:B69)</f>
        <v>393.25999999999976</v>
      </c>
      <c r="D58">
        <f>'Data Sheet'!C66-SUM('Data Sheet'!C67:C69)</f>
        <v>335.39000000000033</v>
      </c>
      <c r="E58">
        <f>'Data Sheet'!D66-SUM('Data Sheet'!D67:D69)</f>
        <v>472.49000000000024</v>
      </c>
      <c r="F58">
        <f>'Data Sheet'!E66-SUM('Data Sheet'!E67:E69)</f>
        <v>684.17999999999938</v>
      </c>
      <c r="G58">
        <f>'Data Sheet'!F66-SUM('Data Sheet'!F67:F69)</f>
        <v>1109.04</v>
      </c>
      <c r="H58">
        <f>'Data Sheet'!G66-SUM('Data Sheet'!G67:G69)</f>
        <v>1289.33</v>
      </c>
      <c r="I58">
        <f>'Data Sheet'!H66-SUM('Data Sheet'!H67:H69)</f>
        <v>1209.5299999999997</v>
      </c>
      <c r="J58">
        <f>'Data Sheet'!I66-SUM('Data Sheet'!I67:I69)</f>
        <v>1377.0099999999993</v>
      </c>
      <c r="K58">
        <f>'Data Sheet'!J66-SUM('Data Sheet'!J67:J69)</f>
        <v>1256.0499999999993</v>
      </c>
      <c r="L58">
        <f>'Data Sheet'!K66-SUM('Data Sheet'!K67:K69)</f>
        <v>1011.5800000000004</v>
      </c>
    </row>
    <row r="59" spans="2:12">
      <c r="B59" s="1" t="s">
        <v>120</v>
      </c>
      <c r="C59" s="2">
        <f>SUM(C55:C58)</f>
        <v>6354.5099999999984</v>
      </c>
      <c r="D59" s="2">
        <f t="shared" ref="D59:L59" si="18">SUM(D55:D58)</f>
        <v>6499.96</v>
      </c>
      <c r="E59" s="2">
        <f t="shared" si="18"/>
        <v>9586.35</v>
      </c>
      <c r="F59" s="2">
        <f t="shared" si="18"/>
        <v>10080.34</v>
      </c>
      <c r="G59" s="2">
        <f t="shared" si="18"/>
        <v>10347.34</v>
      </c>
      <c r="H59" s="2">
        <f t="shared" si="18"/>
        <v>11249.75</v>
      </c>
      <c r="I59" s="2">
        <f t="shared" si="18"/>
        <v>10850.830000000002</v>
      </c>
      <c r="J59" s="2">
        <f t="shared" si="18"/>
        <v>11728.18</v>
      </c>
      <c r="K59" s="2">
        <f t="shared" si="18"/>
        <v>14264.109999999999</v>
      </c>
      <c r="L59" s="2">
        <f t="shared" si="18"/>
        <v>15038.85</v>
      </c>
    </row>
    <row r="60" spans="2:12">
      <c r="B60" s="1"/>
    </row>
    <row r="61" spans="2:12">
      <c r="B61" s="6" t="s">
        <v>77</v>
      </c>
      <c r="C61">
        <v>804.58</v>
      </c>
      <c r="D61">
        <v>1118.01</v>
      </c>
      <c r="E61">
        <v>1028.74</v>
      </c>
      <c r="F61">
        <v>1245.5</v>
      </c>
      <c r="G61">
        <v>1292.9000000000001</v>
      </c>
      <c r="H61">
        <v>1157.25</v>
      </c>
      <c r="I61">
        <v>1004.5</v>
      </c>
      <c r="J61">
        <v>1116.32</v>
      </c>
      <c r="K61">
        <v>1245.28</v>
      </c>
      <c r="L61">
        <v>1535.37</v>
      </c>
    </row>
    <row r="62" spans="2:12">
      <c r="B62" s="6" t="s">
        <v>44</v>
      </c>
      <c r="C62">
        <v>1071.71</v>
      </c>
      <c r="D62">
        <v>1306.98</v>
      </c>
      <c r="E62">
        <v>1412.5</v>
      </c>
      <c r="F62">
        <v>1577.72</v>
      </c>
      <c r="G62">
        <v>1558.59</v>
      </c>
      <c r="H62">
        <v>1703.12</v>
      </c>
      <c r="I62">
        <v>1716.25</v>
      </c>
      <c r="J62">
        <v>2129.85</v>
      </c>
      <c r="K62">
        <v>1537.15</v>
      </c>
      <c r="L62">
        <v>1270.92</v>
      </c>
    </row>
    <row r="63" spans="2:12">
      <c r="B63" s="4" t="s">
        <v>86</v>
      </c>
      <c r="C63">
        <v>894.22</v>
      </c>
      <c r="D63">
        <v>753.79</v>
      </c>
      <c r="E63">
        <v>912.66</v>
      </c>
      <c r="F63">
        <v>960.21</v>
      </c>
      <c r="G63">
        <v>894.72</v>
      </c>
      <c r="H63">
        <v>770.16</v>
      </c>
      <c r="I63">
        <v>672.21</v>
      </c>
      <c r="J63">
        <v>1107.77</v>
      </c>
      <c r="K63">
        <v>390.72</v>
      </c>
      <c r="L63">
        <v>546.94000000000005</v>
      </c>
    </row>
    <row r="64" spans="2:12">
      <c r="B64" s="36" t="s">
        <v>121</v>
      </c>
      <c r="C64" s="2">
        <f>SUM(C61:C63)</f>
        <v>2770.51</v>
      </c>
      <c r="D64" s="2">
        <f t="shared" ref="D64:L64" si="19">SUM(D61:D63)</f>
        <v>3178.7799999999997</v>
      </c>
      <c r="E64" s="2">
        <f t="shared" si="19"/>
        <v>3353.8999999999996</v>
      </c>
      <c r="F64" s="2">
        <f t="shared" si="19"/>
        <v>3783.4300000000003</v>
      </c>
      <c r="G64" s="2">
        <f t="shared" si="19"/>
        <v>3746.21</v>
      </c>
      <c r="H64" s="2">
        <f t="shared" si="19"/>
        <v>3630.5299999999997</v>
      </c>
      <c r="I64" s="2">
        <f t="shared" si="19"/>
        <v>3392.96</v>
      </c>
      <c r="J64" s="2">
        <f t="shared" si="19"/>
        <v>4353.9400000000005</v>
      </c>
      <c r="K64" s="2">
        <f t="shared" si="19"/>
        <v>3173.1500000000005</v>
      </c>
      <c r="L64" s="2">
        <f t="shared" si="19"/>
        <v>3353.23</v>
      </c>
    </row>
    <row r="66" spans="1:13">
      <c r="B66" s="36" t="s">
        <v>122</v>
      </c>
      <c r="C66" s="2">
        <f>SUM(C59+C64)</f>
        <v>9125.0199999999986</v>
      </c>
      <c r="D66" s="2">
        <f t="shared" ref="D66:L66" si="20">SUM(D59+D64)</f>
        <v>9678.74</v>
      </c>
      <c r="E66" s="2">
        <f t="shared" si="20"/>
        <v>12940.25</v>
      </c>
      <c r="F66" s="2">
        <f t="shared" si="20"/>
        <v>13863.77</v>
      </c>
      <c r="G66" s="2">
        <f t="shared" si="20"/>
        <v>14093.55</v>
      </c>
      <c r="H66" s="2">
        <f t="shared" si="20"/>
        <v>14880.279999999999</v>
      </c>
      <c r="I66" s="2">
        <f t="shared" si="20"/>
        <v>14243.79</v>
      </c>
      <c r="J66" s="2">
        <f t="shared" si="20"/>
        <v>16082.12</v>
      </c>
      <c r="K66" s="2">
        <f t="shared" si="20"/>
        <v>17437.259999999998</v>
      </c>
      <c r="L66" s="2">
        <f t="shared" si="20"/>
        <v>18392.080000000002</v>
      </c>
    </row>
    <row r="68" spans="1:13">
      <c r="B68" s="2" t="s">
        <v>123</v>
      </c>
      <c r="C68" s="2" t="b">
        <f>IF(C53=C66,TRUE,FALSE)</f>
        <v>1</v>
      </c>
      <c r="D68" s="2" t="b">
        <f t="shared" ref="D68:L68" si="21">IF(D53=D66,TRUE,FALSE)</f>
        <v>1</v>
      </c>
      <c r="E68" s="2" t="b">
        <f t="shared" si="21"/>
        <v>1</v>
      </c>
      <c r="F68" s="2" t="b">
        <f t="shared" si="21"/>
        <v>1</v>
      </c>
      <c r="G68" s="2" t="b">
        <f t="shared" si="21"/>
        <v>1</v>
      </c>
      <c r="H68" s="2" t="b">
        <f t="shared" si="21"/>
        <v>1</v>
      </c>
      <c r="I68" s="2" t="b">
        <f t="shared" si="21"/>
        <v>1</v>
      </c>
      <c r="J68" s="2" t="b">
        <f t="shared" si="21"/>
        <v>1</v>
      </c>
      <c r="K68" s="2" t="b">
        <f t="shared" si="21"/>
        <v>1</v>
      </c>
      <c r="L68" s="2" t="b">
        <f t="shared" si="21"/>
        <v>1</v>
      </c>
    </row>
    <row r="70" spans="1:13">
      <c r="A70" t="s">
        <v>94</v>
      </c>
      <c r="B70" s="28" t="s">
        <v>124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1:13" ht="9" customHeight="1"/>
    <row r="72" spans="1:13" ht="13.8" customHeight="1">
      <c r="B72" s="2" t="s">
        <v>131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3">
      <c r="B73" s="37" t="s">
        <v>125</v>
      </c>
      <c r="C73" s="38">
        <v>1397</v>
      </c>
      <c r="D73" s="38">
        <v>1669</v>
      </c>
      <c r="E73" s="38">
        <v>1947</v>
      </c>
      <c r="F73" s="38">
        <v>2147</v>
      </c>
      <c r="G73" s="38">
        <v>2181</v>
      </c>
      <c r="H73" s="38">
        <v>2185</v>
      </c>
      <c r="I73" s="38">
        <v>2472</v>
      </c>
      <c r="J73" s="38">
        <v>2434</v>
      </c>
      <c r="K73" s="38">
        <v>2476</v>
      </c>
      <c r="L73" s="38">
        <v>2900</v>
      </c>
    </row>
    <row r="74" spans="1:13">
      <c r="B74" s="37" t="s">
        <v>77</v>
      </c>
      <c r="C74" s="38">
        <v>-81</v>
      </c>
      <c r="D74" s="38">
        <v>-323</v>
      </c>
      <c r="E74" s="38">
        <v>166</v>
      </c>
      <c r="F74" s="38">
        <v>-245</v>
      </c>
      <c r="G74" s="38">
        <v>-174</v>
      </c>
      <c r="H74" s="38">
        <v>130</v>
      </c>
      <c r="I74" s="38">
        <v>81</v>
      </c>
      <c r="J74" s="38">
        <v>-89</v>
      </c>
      <c r="K74" s="38">
        <v>-165</v>
      </c>
      <c r="L74" s="38">
        <v>-479</v>
      </c>
    </row>
    <row r="75" spans="1:13">
      <c r="B75" s="37" t="s">
        <v>44</v>
      </c>
      <c r="C75" s="38">
        <v>26</v>
      </c>
      <c r="D75" s="38">
        <v>-235</v>
      </c>
      <c r="E75" s="38">
        <v>46</v>
      </c>
      <c r="F75" s="38">
        <v>-165</v>
      </c>
      <c r="G75" s="38">
        <v>-20</v>
      </c>
      <c r="H75" s="38">
        <v>-169</v>
      </c>
      <c r="I75" s="38">
        <v>-70</v>
      </c>
      <c r="J75" s="38">
        <v>-384</v>
      </c>
      <c r="K75" s="38">
        <v>555</v>
      </c>
      <c r="L75" s="38">
        <v>-71</v>
      </c>
    </row>
    <row r="76" spans="1:13">
      <c r="B76" s="37" t="s">
        <v>126</v>
      </c>
      <c r="C76" s="38">
        <v>0</v>
      </c>
      <c r="D76" s="38">
        <v>17</v>
      </c>
      <c r="E76" s="38">
        <v>196</v>
      </c>
      <c r="F76" s="38">
        <v>613</v>
      </c>
      <c r="G76" s="38">
        <v>274</v>
      </c>
      <c r="H76" s="38">
        <v>-95</v>
      </c>
      <c r="I76" s="38">
        <v>-473</v>
      </c>
      <c r="J76" s="38">
        <v>83</v>
      </c>
      <c r="K76" s="38">
        <v>-370</v>
      </c>
      <c r="L76" s="38">
        <v>91</v>
      </c>
    </row>
    <row r="77" spans="1:13">
      <c r="B77" s="37" t="s">
        <v>127</v>
      </c>
      <c r="C77" s="38">
        <v>8</v>
      </c>
      <c r="D77" s="38">
        <v>1</v>
      </c>
      <c r="E77" s="38">
        <v>-3</v>
      </c>
      <c r="F77" s="38">
        <v>1</v>
      </c>
      <c r="G77" s="38">
        <v>-1</v>
      </c>
      <c r="H77" s="38">
        <v>-3</v>
      </c>
      <c r="I77" s="38">
        <v>1</v>
      </c>
      <c r="J77" s="38">
        <v>0</v>
      </c>
      <c r="K77" s="38">
        <v>0</v>
      </c>
      <c r="L77" s="38">
        <v>0</v>
      </c>
    </row>
    <row r="78" spans="1:13">
      <c r="B78" s="37" t="s">
        <v>128</v>
      </c>
      <c r="C78" s="38">
        <v>-39</v>
      </c>
      <c r="D78" s="38">
        <v>75</v>
      </c>
      <c r="E78" s="38">
        <v>-65</v>
      </c>
      <c r="F78" s="38">
        <v>-219</v>
      </c>
      <c r="G78" s="38">
        <v>-79</v>
      </c>
      <c r="H78" s="38">
        <v>-116</v>
      </c>
      <c r="I78" s="38">
        <v>416</v>
      </c>
      <c r="J78" s="38">
        <v>-146</v>
      </c>
      <c r="K78" s="38">
        <v>74</v>
      </c>
      <c r="L78" s="38">
        <v>3</v>
      </c>
    </row>
    <row r="79" spans="1:13">
      <c r="B79" s="37" t="s">
        <v>129</v>
      </c>
      <c r="C79" s="38">
        <v>-87</v>
      </c>
      <c r="D79" s="38">
        <v>-465</v>
      </c>
      <c r="E79" s="38">
        <v>341</v>
      </c>
      <c r="F79" s="38">
        <v>-16</v>
      </c>
      <c r="G79" s="38">
        <v>1</v>
      </c>
      <c r="H79" s="38">
        <v>-253</v>
      </c>
      <c r="I79" s="38">
        <v>-45</v>
      </c>
      <c r="J79" s="38">
        <v>-536</v>
      </c>
      <c r="K79" s="38">
        <v>93</v>
      </c>
      <c r="L79" s="38">
        <v>-456</v>
      </c>
    </row>
    <row r="80" spans="1:13">
      <c r="B80" s="37" t="s">
        <v>130</v>
      </c>
      <c r="C80" s="38">
        <v>-257</v>
      </c>
      <c r="D80" s="38">
        <v>-336</v>
      </c>
      <c r="E80" s="38">
        <v>-407</v>
      </c>
      <c r="F80" s="38">
        <v>-393</v>
      </c>
      <c r="G80" s="38">
        <v>-435</v>
      </c>
      <c r="H80" s="38">
        <v>-344</v>
      </c>
      <c r="I80" s="38">
        <v>-397</v>
      </c>
      <c r="J80" s="38">
        <v>-448</v>
      </c>
      <c r="K80" s="38">
        <v>-418</v>
      </c>
      <c r="L80" s="38">
        <v>-374</v>
      </c>
    </row>
    <row r="81" spans="2:12">
      <c r="B81" s="40" t="s">
        <v>132</v>
      </c>
      <c r="C81" s="41">
        <f>SUM(C73:C80)</f>
        <v>967</v>
      </c>
      <c r="D81" s="41">
        <f t="shared" ref="D81:L81" si="22">SUM(D73:D80)</f>
        <v>403</v>
      </c>
      <c r="E81" s="41">
        <f t="shared" si="22"/>
        <v>2221</v>
      </c>
      <c r="F81" s="41">
        <f t="shared" si="22"/>
        <v>1723</v>
      </c>
      <c r="G81" s="41">
        <f t="shared" si="22"/>
        <v>1747</v>
      </c>
      <c r="H81" s="41">
        <f t="shared" si="22"/>
        <v>1335</v>
      </c>
      <c r="I81" s="41">
        <f t="shared" si="22"/>
        <v>1985</v>
      </c>
      <c r="J81" s="41">
        <f t="shared" si="22"/>
        <v>914</v>
      </c>
      <c r="K81" s="41">
        <f t="shared" si="22"/>
        <v>2245</v>
      </c>
      <c r="L81" s="41">
        <f t="shared" si="22"/>
        <v>1614</v>
      </c>
    </row>
    <row r="82" spans="2:12"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2" t="s">
        <v>139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>
      <c r="B84" s="42" t="s">
        <v>133</v>
      </c>
      <c r="C84" s="43">
        <v>-213</v>
      </c>
      <c r="D84" s="43">
        <v>-208</v>
      </c>
      <c r="E84" s="43">
        <v>-180</v>
      </c>
      <c r="F84" s="43">
        <v>-311</v>
      </c>
      <c r="G84" s="43">
        <v>-208</v>
      </c>
      <c r="H84" s="43">
        <v>-152</v>
      </c>
      <c r="I84" s="43">
        <v>-164</v>
      </c>
      <c r="J84" s="43">
        <v>0</v>
      </c>
      <c r="K84" s="43">
        <v>0</v>
      </c>
      <c r="L84" s="43">
        <v>0</v>
      </c>
    </row>
    <row r="85" spans="2:12">
      <c r="B85" s="42" t="s">
        <v>134</v>
      </c>
      <c r="C85" s="43">
        <v>0</v>
      </c>
      <c r="D85" s="43">
        <v>0</v>
      </c>
      <c r="E85" s="43">
        <v>0</v>
      </c>
      <c r="F85" s="43">
        <v>0</v>
      </c>
      <c r="G85" s="43">
        <v>0</v>
      </c>
      <c r="H85" s="43">
        <v>0</v>
      </c>
      <c r="I85" s="43">
        <v>0</v>
      </c>
      <c r="J85" s="43">
        <v>3</v>
      </c>
      <c r="K85" s="43">
        <v>8</v>
      </c>
      <c r="L85" s="43">
        <v>31</v>
      </c>
    </row>
    <row r="86" spans="2:12">
      <c r="B86" s="42" t="s">
        <v>135</v>
      </c>
      <c r="C86" s="43">
        <v>-40</v>
      </c>
      <c r="D86" s="43">
        <v>0</v>
      </c>
      <c r="E86" s="43">
        <v>-574</v>
      </c>
      <c r="F86" s="43">
        <v>-309</v>
      </c>
      <c r="G86" s="43">
        <v>0</v>
      </c>
      <c r="H86" s="43">
        <v>0</v>
      </c>
      <c r="I86" s="43">
        <v>-139</v>
      </c>
      <c r="J86" s="43">
        <v>-452</v>
      </c>
      <c r="K86" s="43">
        <v>-227</v>
      </c>
      <c r="L86" s="43">
        <v>-307</v>
      </c>
    </row>
    <row r="87" spans="2:12">
      <c r="B87" s="42" t="s">
        <v>136</v>
      </c>
      <c r="C87" s="43">
        <v>0</v>
      </c>
      <c r="D87" s="43">
        <v>92</v>
      </c>
      <c r="E87" s="43">
        <v>0</v>
      </c>
      <c r="F87" s="43">
        <v>349</v>
      </c>
      <c r="G87" s="43">
        <v>195</v>
      </c>
      <c r="H87" s="43">
        <v>270</v>
      </c>
      <c r="I87" s="43">
        <v>35</v>
      </c>
      <c r="J87" s="43">
        <v>0</v>
      </c>
      <c r="K87" s="43">
        <v>0</v>
      </c>
      <c r="L87" s="43">
        <v>0</v>
      </c>
    </row>
    <row r="88" spans="2:12">
      <c r="B88" s="42" t="s">
        <v>137</v>
      </c>
      <c r="C88" s="43">
        <v>31</v>
      </c>
      <c r="D88" s="43">
        <v>43</v>
      </c>
      <c r="E88" s="43">
        <v>41</v>
      </c>
      <c r="F88" s="43">
        <v>66</v>
      </c>
      <c r="G88" s="43">
        <v>92</v>
      </c>
      <c r="H88" s="43">
        <v>57</v>
      </c>
      <c r="I88" s="43">
        <v>59</v>
      </c>
      <c r="J88" s="43">
        <v>59</v>
      </c>
      <c r="K88" s="43">
        <v>111</v>
      </c>
      <c r="L88" s="43">
        <v>231</v>
      </c>
    </row>
    <row r="89" spans="2:12">
      <c r="B89" s="42" t="s">
        <v>138</v>
      </c>
      <c r="C89" s="43">
        <v>-385</v>
      </c>
      <c r="D89" s="43">
        <v>99</v>
      </c>
      <c r="E89" s="43">
        <v>-99</v>
      </c>
      <c r="F89" s="43">
        <v>-131</v>
      </c>
      <c r="G89" s="43">
        <v>195</v>
      </c>
      <c r="H89" s="43">
        <v>-727</v>
      </c>
      <c r="I89" s="43">
        <v>-84</v>
      </c>
      <c r="J89" s="43">
        <v>-67</v>
      </c>
      <c r="K89" s="43">
        <v>-658</v>
      </c>
      <c r="L89" s="43">
        <v>-3762</v>
      </c>
    </row>
    <row r="90" spans="2:12">
      <c r="B90" s="40" t="s">
        <v>140</v>
      </c>
      <c r="C90" s="41">
        <f t="shared" ref="C90:L90" si="23">SUM(C84:C89)</f>
        <v>-607</v>
      </c>
      <c r="D90" s="41">
        <f t="shared" si="23"/>
        <v>26</v>
      </c>
      <c r="E90" s="41">
        <f t="shared" si="23"/>
        <v>-812</v>
      </c>
      <c r="F90" s="41">
        <f t="shared" si="23"/>
        <v>-336</v>
      </c>
      <c r="G90" s="41">
        <f t="shared" si="23"/>
        <v>274</v>
      </c>
      <c r="H90" s="41">
        <f t="shared" si="23"/>
        <v>-552</v>
      </c>
      <c r="I90" s="41">
        <f t="shared" si="23"/>
        <v>-293</v>
      </c>
      <c r="J90" s="41">
        <f t="shared" si="23"/>
        <v>-457</v>
      </c>
      <c r="K90" s="41">
        <f t="shared" si="23"/>
        <v>-766</v>
      </c>
      <c r="L90" s="41">
        <f t="shared" si="23"/>
        <v>-3807</v>
      </c>
    </row>
    <row r="92" spans="2:12">
      <c r="B92" s="2" t="s">
        <v>147</v>
      </c>
    </row>
    <row r="93" spans="2:12">
      <c r="B93" s="37" t="s">
        <v>141</v>
      </c>
      <c r="C93" s="38">
        <v>368</v>
      </c>
      <c r="D93" s="38">
        <v>0</v>
      </c>
      <c r="E93" s="38">
        <v>0</v>
      </c>
      <c r="F93" s="38">
        <v>0</v>
      </c>
      <c r="G93" s="38">
        <v>0</v>
      </c>
      <c r="H93" s="38">
        <v>247</v>
      </c>
      <c r="I93" s="38">
        <v>737</v>
      </c>
      <c r="J93" s="38">
        <v>535</v>
      </c>
      <c r="K93" s="38">
        <v>0</v>
      </c>
      <c r="L93" s="38">
        <v>2681</v>
      </c>
    </row>
    <row r="94" spans="2:12">
      <c r="B94" s="37" t="s">
        <v>142</v>
      </c>
      <c r="C94" s="38">
        <v>0</v>
      </c>
      <c r="D94" s="38">
        <v>0</v>
      </c>
      <c r="E94" s="38">
        <v>0</v>
      </c>
      <c r="F94" s="38">
        <v>0</v>
      </c>
      <c r="G94" s="38">
        <v>-345</v>
      </c>
      <c r="H94" s="38">
        <v>-375</v>
      </c>
      <c r="I94" s="38">
        <v>-2357</v>
      </c>
      <c r="J94" s="38">
        <v>-755</v>
      </c>
      <c r="K94" s="38">
        <v>-634</v>
      </c>
      <c r="L94" s="38">
        <v>-416</v>
      </c>
    </row>
    <row r="95" spans="2:12">
      <c r="B95" s="37" t="s">
        <v>143</v>
      </c>
      <c r="C95" s="38">
        <v>-119</v>
      </c>
      <c r="D95" s="38">
        <v>-119</v>
      </c>
      <c r="E95" s="38">
        <v>-124</v>
      </c>
      <c r="F95" s="38">
        <v>-158</v>
      </c>
      <c r="G95" s="38">
        <v>-215</v>
      </c>
      <c r="H95" s="38">
        <v>-156</v>
      </c>
      <c r="I95" s="38">
        <v>-166</v>
      </c>
      <c r="J95" s="38">
        <v>-119</v>
      </c>
      <c r="K95" s="38">
        <v>-119</v>
      </c>
      <c r="L95" s="38">
        <v>-267</v>
      </c>
    </row>
    <row r="96" spans="2:12">
      <c r="B96" s="37" t="s">
        <v>144</v>
      </c>
      <c r="C96" s="38">
        <v>-179</v>
      </c>
      <c r="D96" s="38">
        <v>-187</v>
      </c>
      <c r="E96" s="38">
        <v>-196</v>
      </c>
      <c r="F96" s="38">
        <v>-613</v>
      </c>
      <c r="G96" s="38">
        <v>-1227</v>
      </c>
      <c r="H96" s="38">
        <v>-818</v>
      </c>
      <c r="I96" s="38">
        <v>0</v>
      </c>
      <c r="J96" s="38">
        <v>0</v>
      </c>
      <c r="K96" s="38">
        <v>0</v>
      </c>
      <c r="L96" s="38">
        <v>-511</v>
      </c>
    </row>
    <row r="97" spans="2:12">
      <c r="B97" s="37" t="s">
        <v>145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-25</v>
      </c>
      <c r="I97" s="38">
        <v>-31</v>
      </c>
      <c r="J97" s="38">
        <v>-41</v>
      </c>
      <c r="K97" s="38">
        <v>-41</v>
      </c>
      <c r="L97" s="38">
        <v>-80</v>
      </c>
    </row>
    <row r="98" spans="2:12">
      <c r="B98" s="37" t="s">
        <v>146</v>
      </c>
      <c r="C98" s="38">
        <v>-32</v>
      </c>
      <c r="D98" s="38">
        <v>381</v>
      </c>
      <c r="E98" s="38">
        <v>984</v>
      </c>
      <c r="F98" s="38">
        <v>-613</v>
      </c>
      <c r="G98" s="38">
        <v>-253</v>
      </c>
      <c r="H98" s="38">
        <v>-168</v>
      </c>
      <c r="I98" s="38">
        <v>0</v>
      </c>
      <c r="J98" s="38">
        <v>0</v>
      </c>
      <c r="K98" s="38">
        <v>0</v>
      </c>
      <c r="L98" s="38">
        <v>0</v>
      </c>
    </row>
    <row r="99" spans="2:12">
      <c r="B99" s="40" t="s">
        <v>148</v>
      </c>
      <c r="C99" s="41">
        <f>SUM(C93:C98)</f>
        <v>38</v>
      </c>
      <c r="D99" s="41">
        <f t="shared" ref="D99:L99" si="24">SUM(D93:D98)</f>
        <v>75</v>
      </c>
      <c r="E99" s="41">
        <f t="shared" si="24"/>
        <v>664</v>
      </c>
      <c r="F99" s="41">
        <f t="shared" si="24"/>
        <v>-1384</v>
      </c>
      <c r="G99" s="41">
        <f t="shared" si="24"/>
        <v>-2040</v>
      </c>
      <c r="H99" s="41">
        <f t="shared" si="24"/>
        <v>-1295</v>
      </c>
      <c r="I99" s="41">
        <f t="shared" si="24"/>
        <v>-1817</v>
      </c>
      <c r="J99" s="41">
        <f t="shared" si="24"/>
        <v>-380</v>
      </c>
      <c r="K99" s="41">
        <f t="shared" si="24"/>
        <v>-794</v>
      </c>
      <c r="L99" s="41">
        <f t="shared" si="24"/>
        <v>1407</v>
      </c>
    </row>
  </sheetData>
  <sheetProtection algorithmName="SHA-512" hashValue="XqYv79s+H3PguMAFHV7I0fKuifb56OTjmc3arNzLZJm4Idjvp5L8++gFaNj/Ci75BDuKOtci17NBEHyZirvGxQ==" saltValue="eRuJPFbcv/xIluMbm0C54A==" spinCount="100000" sheet="1" objects="1" scenarios="1"/>
  <mergeCells count="1">
    <mergeCell ref="B2:M2"/>
  </mergeCells>
  <pageMargins left="0.7" right="0.7" top="0.75" bottom="0.75" header="0.3" footer="0.3"/>
  <ignoredErrors>
    <ignoredError sqref="M7 M10 C16:L16 M22 M25 M3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528F-9E17-430F-9FE9-287CBEBB8624}">
  <dimension ref="B2:M40"/>
  <sheetViews>
    <sheetView showGridLines="0" workbookViewId="0">
      <pane ySplit="3" topLeftCell="A4" activePane="bottomLeft" state="frozen"/>
      <selection pane="bottomLeft" activeCell="C38" sqref="C38"/>
    </sheetView>
  </sheetViews>
  <sheetFormatPr defaultRowHeight="14.4"/>
  <cols>
    <col min="1" max="1" width="1.88671875" customWidth="1"/>
    <col min="2" max="2" width="36.88671875" customWidth="1"/>
    <col min="3" max="3" width="17.5546875" customWidth="1"/>
    <col min="4" max="4" width="10.88671875" customWidth="1"/>
    <col min="5" max="12" width="11" bestFit="1" customWidth="1"/>
  </cols>
  <sheetData>
    <row r="2" spans="2:13">
      <c r="B2" s="119" t="str">
        <f>"RATIO ANALYSIS - "&amp;'Data Sheet'!A1</f>
        <v>RATIO ANALYSIS - GODREJ CONSUMER PRODUCTS LTD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</row>
    <row r="3" spans="2:13">
      <c r="B3" s="25" t="s">
        <v>149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</row>
    <row r="4" spans="2:13" ht="9" customHeight="1"/>
    <row r="5" spans="2:13">
      <c r="B5" t="s">
        <v>21</v>
      </c>
      <c r="C5" s="29"/>
      <c r="D5" s="29">
        <f>'3 Statements'!D8</f>
        <v>1.8219178910088507E-2</v>
      </c>
      <c r="E5" s="29">
        <f>'3 Statements'!E8</f>
        <v>0.10019492205492009</v>
      </c>
      <c r="F5" s="29">
        <f>'3 Statements'!F8</f>
        <v>6.2529739714779264E-2</v>
      </c>
      <c r="G5" s="29">
        <f>'3 Statements'!G8</f>
        <v>4.7414401524052519E-2</v>
      </c>
      <c r="H5" s="29">
        <f>'3 Statements'!H8</f>
        <v>-3.9124170814613501E-2</v>
      </c>
      <c r="I5" s="29">
        <f>'3 Statements'!I8</f>
        <v>0.11278806958065957</v>
      </c>
      <c r="J5" s="29">
        <f>'3 Statements'!J8</f>
        <v>0.11314924260696246</v>
      </c>
      <c r="K5" s="29">
        <f>'3 Statements'!K8</f>
        <v>8.4671526900989669E-2</v>
      </c>
      <c r="L5" s="29">
        <f>'3 Statements'!L8</f>
        <v>5.8586794653337382E-2</v>
      </c>
    </row>
    <row r="6" spans="2:13">
      <c r="B6" t="s">
        <v>150</v>
      </c>
      <c r="C6" s="29">
        <f>'3 Statements'!D19/'3 Statements'!C19-1</f>
        <v>0.40669432411163675</v>
      </c>
      <c r="D6" s="29">
        <f>'3 Statements'!E19/'3 Statements'!D19-1</f>
        <v>0.18042233784855433</v>
      </c>
      <c r="E6" s="29">
        <f>'3 Statements'!F19/'3 Statements'!E19-1</f>
        <v>-9.2469298830847091E-2</v>
      </c>
      <c r="F6" s="29">
        <f>'3 Statements'!G19/'3 Statements'!F19-1</f>
        <v>-7.6003853173798763E-2</v>
      </c>
      <c r="G6" s="29">
        <f>'3 Statements'!H19/'3 Statements'!G19-1</f>
        <v>0.37177707422262873</v>
      </c>
      <c r="H6" s="29">
        <f>'3 Statements'!I19/'3 Statements'!H19-1</f>
        <v>-6.4358712825735021E-3</v>
      </c>
      <c r="I6" s="29">
        <f>'3 Statements'!J19/'3 Statements'!I19-1</f>
        <v>1.9444757564533344E-2</v>
      </c>
      <c r="J6" s="29">
        <f>'3 Statements'!K19/'3 Statements'!J19-1</f>
        <v>-0.20335194648258892</v>
      </c>
      <c r="K6" s="29">
        <f>'3 Statements'!L19/'3 Statements'!K19-1</f>
        <v>0.47898201574366084</v>
      </c>
      <c r="L6" s="29">
        <f>'3 Statements'!M19/'3 Statements'!L19-1</f>
        <v>-0.69891874861743264</v>
      </c>
    </row>
    <row r="7" spans="2:13">
      <c r="B7" t="s">
        <v>151</v>
      </c>
      <c r="C7" s="29">
        <f>'3 Statements'!D28/'3 Statements'!C28-1</f>
        <v>0.45845355136890098</v>
      </c>
      <c r="D7" s="29">
        <f>'3 Statements'!E28/'3 Statements'!D28-1</f>
        <v>0.16440208122740385</v>
      </c>
      <c r="E7" s="29">
        <f>'3 Statements'!F28/'3 Statements'!E28-1</f>
        <v>-0.12463184580397313</v>
      </c>
      <c r="F7" s="29">
        <f>'3 Statements'!G28/'3 Statements'!F28-1</f>
        <v>-0.13951082988561736</v>
      </c>
      <c r="G7" s="29">
        <f>'3 Statements'!H28/'3 Statements'!G28-1</f>
        <v>0.46690235452167062</v>
      </c>
      <c r="H7" s="29">
        <f>'3 Statements'!I28/'3 Statements'!H28-1</f>
        <v>3.2690008869009635E-2</v>
      </c>
      <c r="I7" s="29">
        <f>'3 Statements'!J28/'3 Statements'!I28-1</f>
        <v>2.6889650215172312E-2</v>
      </c>
      <c r="J7" s="29">
        <f>'3 Statements'!K28/'3 Statements'!J28-1</f>
        <v>-0.27613666837873374</v>
      </c>
      <c r="K7" s="29">
        <f>'3 Statements'!L28/'3 Statements'!K28-1</f>
        <v>0.52776992873065343</v>
      </c>
      <c r="L7" s="29">
        <f>'3 Statements'!M28/'3 Statements'!L28-1</f>
        <v>-0.85700252769158047</v>
      </c>
    </row>
    <row r="8" spans="2:13">
      <c r="B8" t="s">
        <v>152</v>
      </c>
      <c r="C8" s="29">
        <f>'3 Statements'!D34/'3 Statements'!C34-1</f>
        <v>0.53173974608202901</v>
      </c>
      <c r="D8" s="29">
        <f>'3 Statements'!E34/'3 Statements'!D34-1</f>
        <v>0.17391065916675874</v>
      </c>
      <c r="E8" s="29">
        <f>'3 Statements'!F34/'3 Statements'!E34-1</f>
        <v>-0.17321231939670867</v>
      </c>
      <c r="F8" s="29">
        <f>'3 Statements'!G34/'3 Statements'!F34-1</f>
        <v>0.34837355718782703</v>
      </c>
      <c r="G8" s="29">
        <f>'3 Statements'!H34/'3 Statements'!G34-1</f>
        <v>8.399880275366578E-2</v>
      </c>
      <c r="H8" s="29">
        <f>'3 Statements'!I34/'3 Statements'!H34-1</f>
        <v>-1.5407384499838805E-2</v>
      </c>
      <c r="I8" s="29">
        <f>'3 Statements'!J34/'3 Statements'!I34-1</f>
        <v>2.5396540506583687E-2</v>
      </c>
      <c r="J8" s="29">
        <f>'3 Statements'!K34/'3 Statements'!J34-1</f>
        <v>-0.36424898807570327</v>
      </c>
      <c r="K8" s="29">
        <f>'3 Statements'!L34/'3 Statements'!K34-1</f>
        <v>0.44050486973879099</v>
      </c>
      <c r="L8" s="29">
        <f>'3 Statements'!M34/'3 Statements'!L34-1</f>
        <v>-1.2705059518476709</v>
      </c>
    </row>
    <row r="9" spans="2:13">
      <c r="B9" t="s">
        <v>153</v>
      </c>
      <c r="C9" s="29">
        <f>'3 Statements'!D42/'3 Statements'!C42-1</f>
        <v>4.5570291259065865E-2</v>
      </c>
      <c r="D9" s="29">
        <f>'3 Statements'!E42/'3 Statements'!D42-1</f>
        <v>1.6089177179631236</v>
      </c>
      <c r="E9" s="29">
        <f>'3 Statements'!F42/'3 Statements'!E42-1</f>
        <v>0.33326810176125266</v>
      </c>
      <c r="F9" s="29">
        <f>'3 Statements'!G42/'3 Statements'!F42-1</f>
        <v>0.5000733891090563</v>
      </c>
      <c r="G9" s="29">
        <f>'3 Statements'!H42/'3 Statements'!G42-1</f>
        <v>-0.19999999999999996</v>
      </c>
      <c r="H9" s="29">
        <f>'3 Statements'!I42/'3 Statements'!H42-1</f>
        <v>-1</v>
      </c>
      <c r="I9" s="29" t="e">
        <f>'3 Statements'!J42/'3 Statements'!I42-1</f>
        <v>#DIV/0!</v>
      </c>
      <c r="J9" s="29" t="e">
        <f>'3 Statements'!K42/'3 Statements'!J42-1</f>
        <v>#DIV/0!</v>
      </c>
      <c r="K9" s="29" t="e">
        <f>'3 Statements'!L42/'3 Statements'!K42-1</f>
        <v>#DIV/0!</v>
      </c>
      <c r="L9" s="29" t="e">
        <f>'3 Statements'!M42/'3 Statements'!L42-1</f>
        <v>#VALUE!</v>
      </c>
    </row>
    <row r="11" spans="2:13">
      <c r="B11" t="s">
        <v>99</v>
      </c>
      <c r="C11" s="5">
        <f>'3 Statements'!C14</f>
        <v>0.39292288910511719</v>
      </c>
      <c r="D11" s="5">
        <f>'3 Statements'!D14</f>
        <v>0.40956067750252839</v>
      </c>
      <c r="E11" s="5">
        <f>'3 Statements'!E14</f>
        <v>0.43394033822080702</v>
      </c>
      <c r="F11" s="5">
        <f>'3 Statements'!F14</f>
        <v>0.40455225373523862</v>
      </c>
      <c r="G11" s="5">
        <f>'3 Statements'!G14</f>
        <v>0.38135547209031312</v>
      </c>
      <c r="H11" s="5">
        <f>'3 Statements'!H14</f>
        <v>0.45199378455825961</v>
      </c>
      <c r="I11" s="5">
        <f>'3 Statements'!I14</f>
        <v>0.41320491593689879</v>
      </c>
      <c r="J11" s="5">
        <f>'3 Statements'!J14</f>
        <v>0.37930680568565955</v>
      </c>
      <c r="K11" s="5">
        <f>'3 Statements'!K14</f>
        <v>0.33660934952541943</v>
      </c>
      <c r="L11" s="5">
        <f>'3 Statements'!L14</f>
        <v>0.42433337991828951</v>
      </c>
    </row>
    <row r="12" spans="2:13">
      <c r="B12" t="s">
        <v>154</v>
      </c>
      <c r="C12" s="5">
        <f>'3 Statements'!C20</f>
        <v>0.15820697074270382</v>
      </c>
      <c r="D12" s="5">
        <f>'3 Statements'!D20</f>
        <v>0.21856674121663633</v>
      </c>
      <c r="E12" s="5">
        <f>'3 Statements'!E20</f>
        <v>0.23450486679305249</v>
      </c>
      <c r="F12" s="5">
        <f>'3 Statements'!F20</f>
        <v>0.2002959147716715</v>
      </c>
      <c r="G12" s="5">
        <f>'3 Statements'!G20</f>
        <v>0.17669477639868381</v>
      </c>
      <c r="H12" s="5">
        <f>'3 Statements'!H20</f>
        <v>0.25225511563143227</v>
      </c>
      <c r="I12" s="5">
        <f>'3 Statements'!I20</f>
        <v>0.22522854173958309</v>
      </c>
      <c r="J12" s="5">
        <f>'3 Statements'!J20</f>
        <v>0.20626888771229579</v>
      </c>
      <c r="K12" s="5">
        <f>'3 Statements'!K20</f>
        <v>0.15149628603849355</v>
      </c>
      <c r="L12" s="5">
        <f>'3 Statements'!L20</f>
        <v>0.21165981252983979</v>
      </c>
    </row>
    <row r="13" spans="2:13">
      <c r="B13" t="s">
        <v>155</v>
      </c>
      <c r="C13" s="29">
        <f>'3 Statements'!C19-'3 Statements'!C25/'3 Statements'!C7</f>
        <v>1308.859027154107</v>
      </c>
      <c r="D13" s="29">
        <f>'3 Statements'!D19-'3 Statements'!D25/'3 Statements'!D7</f>
        <v>1841.1680541983012</v>
      </c>
      <c r="E13" s="29">
        <f>'3 Statements'!E19-'3 Statements'!E25/'3 Statements'!E7</f>
        <v>2173.3547247113956</v>
      </c>
      <c r="F13" s="29">
        <f>'3 Statements'!F19-'3 Statements'!F25/'3 Statements'!F7</f>
        <v>1972.3841907990216</v>
      </c>
      <c r="G13" s="29">
        <f>'3 Statements'!G19-'3 Statements'!G25/'3 Statements'!G7</f>
        <v>1822.4735200313353</v>
      </c>
      <c r="H13" s="29">
        <f>'3 Statements'!H19-'3 Statements'!H25/'3 Statements'!H7</f>
        <v>2500.0300944424253</v>
      </c>
      <c r="I13" s="29">
        <f>'3 Statements'!I19-'3 Statements'!I25/'3 Statements'!I7</f>
        <v>2483.9415162731157</v>
      </c>
      <c r="J13" s="29">
        <f>'3 Statements'!J19-'3 Statements'!J25/'3 Statements'!J7</f>
        <v>2532.2428998493051</v>
      </c>
      <c r="K13" s="29">
        <f>'3 Statements'!K19-'3 Statements'!K25/'3 Statements'!K7</f>
        <v>2017.3022551417571</v>
      </c>
      <c r="L13" s="29">
        <f>'3 Statements'!L19-'3 Statements'!L25/'3 Statements'!L7</f>
        <v>2983.562905922272</v>
      </c>
      <c r="M13" t="s">
        <v>176</v>
      </c>
    </row>
    <row r="14" spans="2:13">
      <c r="B14" t="s">
        <v>175</v>
      </c>
      <c r="C14" s="5">
        <f>'3 Statements'!C29</f>
        <v>0.13364075352193544</v>
      </c>
      <c r="D14" s="5">
        <f>'3 Statements'!D29</f>
        <v>0.19142129280094189</v>
      </c>
      <c r="E14" s="5">
        <f>'3 Statements'!E29</f>
        <v>0.20259260178400512</v>
      </c>
      <c r="F14" s="5">
        <f>'3 Statements'!F29</f>
        <v>0.16690649235384267</v>
      </c>
      <c r="G14" s="5">
        <f>'3 Statements'!G29</f>
        <v>0.13711977693192198</v>
      </c>
      <c r="H14" s="5">
        <f>'3 Statements'!H29</f>
        <v>0.20933123461274561</v>
      </c>
      <c r="I14" s="5">
        <f>'3 Statements'!I29</f>
        <v>0.19426365220671316</v>
      </c>
      <c r="J14" s="5">
        <f>'3 Statements'!J29</f>
        <v>0.1792098725206695</v>
      </c>
      <c r="K14" s="5">
        <f>'3 Statements'!K29</f>
        <v>0.11959699518698216</v>
      </c>
      <c r="L14" s="5">
        <f>'3 Statements'!L29</f>
        <v>0.17260435680482061</v>
      </c>
    </row>
    <row r="15" spans="2:13">
      <c r="B15" t="s">
        <v>156</v>
      </c>
      <c r="C15" s="5">
        <f>'3 Statements'!C35</f>
        <v>0.10072825949003707</v>
      </c>
      <c r="D15" s="5">
        <f>'3 Statements'!D35</f>
        <v>0.15152874922244836</v>
      </c>
      <c r="E15" s="5">
        <f>'3 Statements'!E35</f>
        <v>0.16168154416691563</v>
      </c>
      <c r="F15" s="5">
        <f>'3 Statements'!F35</f>
        <v>0.1258094751625552</v>
      </c>
      <c r="G15" s="5">
        <f>'3 Statements'!G35</f>
        <v>0.16195898137932241</v>
      </c>
      <c r="H15" s="5">
        <f>'3 Statements'!H35</f>
        <v>0.18271178915930089</v>
      </c>
      <c r="I15" s="5">
        <f>'3 Statements'!I35</f>
        <v>0.16166301858256071</v>
      </c>
      <c r="J15" s="5">
        <f>'3 Statements'!J35</f>
        <v>0.14891866574349361</v>
      </c>
      <c r="K15" s="5">
        <f>'3 Statements'!K35</f>
        <v>8.7284666456893409E-2</v>
      </c>
      <c r="L15" s="5">
        <f>'3 Statements'!L35</f>
        <v>0.1187753217022285</v>
      </c>
    </row>
    <row r="17" spans="2:13">
      <c r="B17" t="s">
        <v>157</v>
      </c>
      <c r="C17" s="5">
        <f>'3 Statements'!C17</f>
        <v>0.23471591836241334</v>
      </c>
      <c r="D17" s="5">
        <f>'3 Statements'!D17</f>
        <v>0.19099393628589204</v>
      </c>
      <c r="E17" s="5">
        <f>'3 Statements'!E17</f>
        <v>0.1994354714277545</v>
      </c>
      <c r="F17" s="5">
        <f>'3 Statements'!F17</f>
        <v>0.20425633896356715</v>
      </c>
      <c r="G17" s="5">
        <f>'3 Statements'!G17</f>
        <v>0.20466069569162931</v>
      </c>
      <c r="H17" s="5">
        <f>'3 Statements'!H17</f>
        <v>0.19973866892682732</v>
      </c>
      <c r="I17" s="5">
        <f>'3 Statements'!I17</f>
        <v>0.18797637419731569</v>
      </c>
      <c r="J17" s="5">
        <f>'3 Statements'!J17</f>
        <v>0.17303791797336376</v>
      </c>
      <c r="K17" s="5">
        <f>'3 Statements'!K17</f>
        <v>0.18511306348692586</v>
      </c>
      <c r="L17" s="5">
        <f>'3 Statements'!L17</f>
        <v>0.2126735673884497</v>
      </c>
      <c r="M17" s="5"/>
    </row>
    <row r="18" spans="2:13">
      <c r="B18" t="s">
        <v>158</v>
      </c>
      <c r="C18" s="5">
        <f>'3 Statements'!C26</f>
        <v>1.0972845893039531E-2</v>
      </c>
      <c r="D18" s="5">
        <f>'3 Statements'!D26</f>
        <v>1.1945801697080207E-2</v>
      </c>
      <c r="E18" s="5">
        <f>'3 Statements'!E26</f>
        <v>1.5275288603363649E-2</v>
      </c>
      <c r="F18" s="5">
        <f>'3 Statements'!F26</f>
        <v>1.5809200979341818E-2</v>
      </c>
      <c r="G18" s="5">
        <f>'3 Statements'!G26</f>
        <v>1.6479968664984863E-2</v>
      </c>
      <c r="H18" s="5">
        <f>'3 Statements'!H26</f>
        <v>1.9905557573556124E-2</v>
      </c>
      <c r="I18" s="5">
        <f>'3 Statements'!I26</f>
        <v>1.8483726885140661E-2</v>
      </c>
      <c r="J18" s="5">
        <f>'3 Statements'!J26</f>
        <v>1.7100150694416161E-2</v>
      </c>
      <c r="K18" s="5">
        <f>'3 Statements'!K26</f>
        <v>1.7744858241645182E-2</v>
      </c>
      <c r="L18" s="5">
        <f>'3 Statements'!L26</f>
        <v>1.7094077727827037E-2</v>
      </c>
      <c r="M18" s="5"/>
    </row>
    <row r="19" spans="2:13">
      <c r="B19" t="s">
        <v>159</v>
      </c>
      <c r="C19" s="5">
        <f>C13</f>
        <v>1308.859027154107</v>
      </c>
      <c r="D19" s="5">
        <f t="shared" ref="D19:L19" si="0">D13</f>
        <v>1841.1680541983012</v>
      </c>
      <c r="E19" s="5">
        <f t="shared" si="0"/>
        <v>2173.3547247113956</v>
      </c>
      <c r="F19" s="5">
        <f t="shared" si="0"/>
        <v>1972.3841907990216</v>
      </c>
      <c r="G19" s="5">
        <f t="shared" si="0"/>
        <v>1822.4735200313353</v>
      </c>
      <c r="H19" s="5">
        <f t="shared" si="0"/>
        <v>2500.0300944424253</v>
      </c>
      <c r="I19" s="5">
        <f t="shared" si="0"/>
        <v>2483.9415162731157</v>
      </c>
      <c r="J19" s="5">
        <f t="shared" si="0"/>
        <v>2532.2428998493051</v>
      </c>
      <c r="K19" s="5">
        <f t="shared" si="0"/>
        <v>2017.3022551417571</v>
      </c>
      <c r="L19" s="5">
        <f t="shared" si="0"/>
        <v>2983.562905922272</v>
      </c>
      <c r="M19" s="5"/>
    </row>
    <row r="21" spans="2:13">
      <c r="B21" t="s">
        <v>160</v>
      </c>
      <c r="C21" s="29">
        <f>'3 Statements'!C19-'3 Statements'!C25/SUM('3 Statements'!C49:C51)</f>
        <v>1308.8570828021129</v>
      </c>
      <c r="D21" s="29">
        <f>'3 Statements'!D19-'3 Statements'!D25/SUM('3 Statements'!D49:D51)</f>
        <v>1841.1659417609173</v>
      </c>
      <c r="E21" s="29">
        <f>'3 Statements'!E19-'3 Statements'!E25/SUM('3 Statements'!E49:E51)</f>
        <v>2173.3547821319839</v>
      </c>
      <c r="F21" s="29">
        <f>'3 Statements'!F19-'3 Statements'!F25/SUM('3 Statements'!F49:F51)</f>
        <v>1972.3840587842581</v>
      </c>
      <c r="G21" s="29">
        <f>'3 Statements'!G19-'3 Statements'!G25/SUM('3 Statements'!G49:G51)</f>
        <v>1822.4740378928668</v>
      </c>
      <c r="H21" s="29">
        <f>'3 Statements'!H19-'3 Statements'!H25/SUM('3 Statements'!H49:H51)</f>
        <v>2500.0328053407325</v>
      </c>
      <c r="I21" s="29">
        <f>'3 Statements'!I19-'3 Statements'!I25/SUM('3 Statements'!I49:I51)</f>
        <v>2483.9419647576246</v>
      </c>
      <c r="J21" s="29">
        <f>'3 Statements'!J19-'3 Statements'!J25/SUM('3 Statements'!J49:J51)</f>
        <v>2532.2441684973223</v>
      </c>
      <c r="K21" s="29">
        <f>'3 Statements'!K19-'3 Statements'!K25/SUM('3 Statements'!K49:K51)</f>
        <v>2017.3041669117995</v>
      </c>
      <c r="L21" s="29">
        <f>'3 Statements'!L19-'3 Statements'!L25/SUM('3 Statements'!L49:L51)</f>
        <v>2983.5647693885949</v>
      </c>
      <c r="M21" t="s">
        <v>177</v>
      </c>
    </row>
    <row r="22" spans="2:13">
      <c r="B22" t="s">
        <v>162</v>
      </c>
      <c r="C22" s="5">
        <f>'3 Statements'!C45</f>
        <v>0.99</v>
      </c>
      <c r="D22" s="5">
        <f>'3 Statements'!D45</f>
        <v>0.84661485671309689</v>
      </c>
      <c r="E22" s="5">
        <f>'3 Statements'!E45</f>
        <v>0.65904768260535862</v>
      </c>
      <c r="F22" s="5">
        <f>'3 Statements'!F45</f>
        <v>0.45007668092662889</v>
      </c>
      <c r="G22" s="5">
        <f>'3 Statements'!G45</f>
        <v>0.38808739898234079</v>
      </c>
      <c r="H22" s="5">
        <f>'3 Statements'!H45</f>
        <v>0.54835930683336798</v>
      </c>
      <c r="I22" s="5">
        <f>'3 Statements'!I45</f>
        <v>1</v>
      </c>
      <c r="J22" s="5">
        <f>'3 Statements'!J45</f>
        <v>1</v>
      </c>
      <c r="K22" s="5">
        <f>'3 Statements'!K45</f>
        <v>1</v>
      </c>
      <c r="L22" s="5">
        <f>'3 Statements'!L45</f>
        <v>8.3660341521976767E-2</v>
      </c>
    </row>
    <row r="23" spans="2:13">
      <c r="B23" t="s">
        <v>161</v>
      </c>
      <c r="C23" s="29">
        <f>'3 Statements'!C34/SUM('3 Statements'!C49:C50)</f>
        <v>0.19331939898252953</v>
      </c>
      <c r="D23" s="29">
        <f>'3 Statements'!D34/SUM('3 Statements'!D49:D50)</f>
        <v>0.29914974595496518</v>
      </c>
      <c r="E23" s="29">
        <f>'3 Statements'!E34/SUM('3 Statements'!E49:E50)</f>
        <v>0.2826224313695902</v>
      </c>
      <c r="F23" s="29">
        <f>'3 Statements'!F34/SUM('3 Statements'!F49:F50)</f>
        <v>0.19796079133184533</v>
      </c>
      <c r="G23" s="29">
        <f>'3 Statements'!G34/SUM('3 Statements'!G49:G50)</f>
        <v>0.22987730702966322</v>
      </c>
      <c r="H23" s="29">
        <f>'3 Statements'!H34/SUM('3 Statements'!H49:H50)</f>
        <v>0.22926531583771809</v>
      </c>
      <c r="I23" s="29">
        <f>'3 Statements'!I34/SUM('3 Statements'!I49:I50)</f>
        <v>0.18889065463136606</v>
      </c>
      <c r="J23" s="29">
        <f>'3 Statements'!J34/SUM('3 Statements'!J49:J50)</f>
        <v>0.15820448895069453</v>
      </c>
      <c r="K23" s="29">
        <f>'3 Statements'!K34/SUM('3 Statements'!K49:K50)</f>
        <v>8.4258418193693951E-2</v>
      </c>
      <c r="L23" s="29">
        <f>'3 Statements'!L34/SUM('3 Statements'!L49:L50)</f>
        <v>0.1328936538035666</v>
      </c>
      <c r="M23" t="s">
        <v>178</v>
      </c>
    </row>
    <row r="24" spans="2:13">
      <c r="B24" t="s">
        <v>163</v>
      </c>
      <c r="C24" s="29">
        <f>C22*C23</f>
        <v>0.19138620499270423</v>
      </c>
      <c r="D24" s="29">
        <f t="shared" ref="D24:L24" si="1">D22*D23</f>
        <v>0.25326461930742217</v>
      </c>
      <c r="E24" s="29">
        <f t="shared" si="1"/>
        <v>0.18626165844642043</v>
      </c>
      <c r="F24" s="29">
        <f t="shared" si="1"/>
        <v>8.9097535916245918E-2</v>
      </c>
      <c r="G24" s="29">
        <f t="shared" si="1"/>
        <v>8.9212486170206967E-2</v>
      </c>
      <c r="H24" s="29">
        <f t="shared" si="1"/>
        <v>0.12571976967370427</v>
      </c>
      <c r="I24" s="29">
        <f t="shared" si="1"/>
        <v>0.18889065463136606</v>
      </c>
      <c r="J24" s="29">
        <f t="shared" si="1"/>
        <v>0.15820448895069453</v>
      </c>
      <c r="K24" s="29">
        <f t="shared" si="1"/>
        <v>8.4258418193693951E-2</v>
      </c>
      <c r="L24" s="29">
        <f t="shared" si="1"/>
        <v>1.1117928463309728E-2</v>
      </c>
      <c r="M24" t="s">
        <v>179</v>
      </c>
    </row>
    <row r="25" spans="2:13">
      <c r="B25" t="s">
        <v>164</v>
      </c>
      <c r="C25">
        <f>'3 Statements'!C19-'3 Statements'!C25/'3 Statements'!C22</f>
        <v>1308.0627796549886</v>
      </c>
      <c r="D25">
        <f>'3 Statements'!D19-'3 Statements'!D25/'3 Statements'!D22</f>
        <v>1840.3940737269586</v>
      </c>
      <c r="E25">
        <f>'3 Statements'!E19-'3 Statements'!E25/'3 Statements'!E22</f>
        <v>2172.4518470717935</v>
      </c>
      <c r="F25">
        <f>'3 Statements'!F19-'3 Statements'!F25/'3 Statements'!F22</f>
        <v>1971.5007393715352</v>
      </c>
      <c r="G25">
        <f>'3 Statements'!G19-'3 Statements'!G25/'3 Statements'!G22</f>
        <v>1821.7764279417322</v>
      </c>
      <c r="H25">
        <f>'3 Statements'!H19-'3 Statements'!H25/'3 Statements'!H22</f>
        <v>2499.1852299127677</v>
      </c>
      <c r="I25">
        <f>'3 Statements'!I19-'3 Statements'!I25/'3 Statements'!I22</f>
        <v>2482.4790701053407</v>
      </c>
      <c r="J25">
        <f>'3 Statements'!J19-'3 Statements'!J25/'3 Statements'!J22</f>
        <v>2530.5429216424009</v>
      </c>
      <c r="K25">
        <f>'3 Statements'!K19-'3 Statements'!K25/'3 Statements'!K22</f>
        <v>2016.0663391341245</v>
      </c>
      <c r="L25">
        <f>'3 Statements'!L19-'3 Statements'!L25/'3 Statements'!L22</f>
        <v>2982.8016300029071</v>
      </c>
      <c r="M25" t="s">
        <v>180</v>
      </c>
    </row>
    <row r="27" spans="2:13">
      <c r="B27" t="s">
        <v>165</v>
      </c>
      <c r="C27" s="44">
        <f>'3 Statements'!C7/'3 Statements'!C61</f>
        <v>10.282569787963906</v>
      </c>
      <c r="D27" s="44">
        <f>'3 Statements'!D7/'3 Statements'!D61</f>
        <v>7.5347089918694818</v>
      </c>
      <c r="E27" s="44">
        <f>'3 Statements'!E7/'3 Statements'!E61</f>
        <v>9.0089915819351827</v>
      </c>
      <c r="F27" s="44">
        <f>'3 Statements'!F7/'3 Statements'!F61</f>
        <v>7.9064070654355687</v>
      </c>
      <c r="G27" s="44">
        <f>'3 Statements'!G7/'3 Statements'!G61</f>
        <v>7.9776780880191813</v>
      </c>
      <c r="H27" s="44">
        <f>'3 Statements'!H7/'3 Statements'!H61</f>
        <v>8.5640959170447175</v>
      </c>
      <c r="I27" s="44">
        <f>'3 Statements'!I7/'3 Statements'!I61</f>
        <v>10.979213539074166</v>
      </c>
      <c r="J27" s="44">
        <f>'3 Statements'!J7/'3 Statements'!J61</f>
        <v>10.997294682528308</v>
      </c>
      <c r="K27" s="44">
        <f>'3 Statements'!K7/'3 Statements'!K61</f>
        <v>10.693153347038416</v>
      </c>
      <c r="L27" s="44">
        <f>'3 Statements'!L7/'3 Statements'!L61</f>
        <v>9.1809205598650507</v>
      </c>
    </row>
    <row r="28" spans="2:13">
      <c r="B28" t="s">
        <v>166</v>
      </c>
      <c r="C28" s="44">
        <f>'3 Statements'!C7/'3 Statements'!C52</f>
        <v>3.9448926653887604</v>
      </c>
      <c r="D28" s="44">
        <f>'3 Statements'!D7/'3 Statements'!D52</f>
        <v>3.3419342553140843</v>
      </c>
      <c r="E28" s="44">
        <f>'3 Statements'!E7/'3 Statements'!E52</f>
        <v>2.5479700992750258</v>
      </c>
      <c r="F28" s="44">
        <f>'3 Statements'!F7/'3 Statements'!F52</f>
        <v>2.4030488861340835</v>
      </c>
      <c r="G28" s="44">
        <f>'3 Statements'!G7/'3 Statements'!G52</f>
        <v>2.9943679635833687</v>
      </c>
      <c r="H28" s="44">
        <f>'3 Statements'!H7/'3 Statements'!H52</f>
        <v>2.9089948487650243</v>
      </c>
      <c r="I28" s="44">
        <f>'3 Statements'!I7/'3 Statements'!I52</f>
        <v>3.7500578050405999</v>
      </c>
      <c r="J28" s="44">
        <f>'3 Statements'!J7/'3 Statements'!J52</f>
        <v>4.3505147332423766</v>
      </c>
      <c r="K28" s="44">
        <f>'3 Statements'!K7/'3 Statements'!K52</f>
        <v>5.2978853766734968</v>
      </c>
      <c r="L28" s="44">
        <f>'3 Statements'!L7/'3 Statements'!L52</f>
        <v>5.4820733400484585</v>
      </c>
    </row>
    <row r="29" spans="2:13">
      <c r="B29" t="s">
        <v>46</v>
      </c>
      <c r="C29" s="44">
        <f>'3 Statements'!C7/'3 Statements'!C62</f>
        <v>7.7195789905851386</v>
      </c>
      <c r="D29" s="44">
        <f>'3 Statements'!D7/'3 Statements'!D62</f>
        <v>6.4453013818115039</v>
      </c>
      <c r="E29" s="44">
        <f>'3 Statements'!E7/'3 Statements'!E62</f>
        <v>6.5613522123893802</v>
      </c>
      <c r="F29" s="44">
        <f>'3 Statements'!F7/'3 Statements'!F62</f>
        <v>6.2415574373146061</v>
      </c>
      <c r="G29" s="44">
        <f>'3 Statements'!G7/'3 Statements'!G62</f>
        <v>6.6177378271386322</v>
      </c>
      <c r="H29" s="44">
        <f>'3 Statements'!H7/'3 Statements'!H62</f>
        <v>5.8192024049978865</v>
      </c>
      <c r="I29" s="44">
        <f>'3 Statements'!I7/'3 Statements'!I62</f>
        <v>6.4259985433357611</v>
      </c>
      <c r="J29" s="44">
        <f>'3 Statements'!J7/'3 Statements'!J62</f>
        <v>5.7640209404418155</v>
      </c>
      <c r="K29" s="44">
        <f>'3 Statements'!K7/'3 Statements'!K62</f>
        <v>8.6627655075952248</v>
      </c>
      <c r="L29" s="44">
        <f>'3 Statements'!L7/'3 Statements'!L62</f>
        <v>11.091264595725931</v>
      </c>
    </row>
    <row r="30" spans="2:13">
      <c r="B30" t="s">
        <v>167</v>
      </c>
      <c r="C30" s="44">
        <f>'3 Statements'!C7/'3 Statements'!C55</f>
        <v>1.4904025437087345</v>
      </c>
      <c r="D30" s="44">
        <f>'3 Statements'!D7/'3 Statements'!D55</f>
        <v>1.4202154293835698</v>
      </c>
      <c r="E30" s="44">
        <f>'3 Statements'!E7/'3 Statements'!E55</f>
        <v>1.1466084531646477</v>
      </c>
      <c r="F30" s="44">
        <f>'3 Statements'!F7/'3 Statements'!F55</f>
        <v>1.1842970535177391</v>
      </c>
      <c r="G30" s="44">
        <f>'3 Statements'!G7/'3 Statements'!G55</f>
        <v>1.1896229178825086</v>
      </c>
      <c r="H30" s="44">
        <f>'3 Statements'!H7/'3 Statements'!H55</f>
        <v>1.0735966375630999</v>
      </c>
      <c r="I30" s="44">
        <f>'3 Statements'!I7/'3 Statements'!I55</f>
        <v>1.2385070024267892</v>
      </c>
      <c r="J30" s="44">
        <f>'3 Statements'!J7/'3 Statements'!J55</f>
        <v>1.331608690464569</v>
      </c>
      <c r="K30" s="44">
        <f>'3 Statements'!K7/'3 Statements'!K55</f>
        <v>1.34048980939553</v>
      </c>
      <c r="L30" s="44">
        <f>'3 Statements'!L7/'3 Statements'!L55</f>
        <v>1.3501710688643174</v>
      </c>
    </row>
    <row r="31" spans="2:13">
      <c r="B31" t="s">
        <v>168</v>
      </c>
      <c r="C31" s="44">
        <f>'3 Statements'!C7/SUM('3 Statements'!C49:C50)</f>
        <v>1.9192171090939039</v>
      </c>
      <c r="D31" s="44">
        <f>'3 Statements'!D7/SUM('3 Statements'!D49:D50)</f>
        <v>1.974211147983576</v>
      </c>
      <c r="E31" s="44">
        <f>'3 Statements'!E7/SUM('3 Statements'!E49:E50)</f>
        <v>1.7480191250389006</v>
      </c>
      <c r="F31" s="44">
        <f>'3 Statements'!F7/SUM('3 Statements'!F49:F50)</f>
        <v>1.5734966788158464</v>
      </c>
      <c r="G31" s="44">
        <f>'3 Statements'!G7/SUM('3 Statements'!G49:G50)</f>
        <v>1.4193551050513835</v>
      </c>
      <c r="H31" s="44">
        <f>'3 Statements'!H7/SUM('3 Statements'!H49:H50)</f>
        <v>1.2547921340632739</v>
      </c>
      <c r="I31" s="44">
        <f>'3 Statements'!I7/SUM('3 Statements'!I49:I50)</f>
        <v>1.1684221678373541</v>
      </c>
      <c r="J31" s="44">
        <f>'3 Statements'!J7/SUM('3 Statements'!J49:J50)</f>
        <v>1.0623549986889849</v>
      </c>
      <c r="K31" s="44">
        <f>'3 Statements'!K7/SUM('3 Statements'!K49:K50)</f>
        <v>0.96532898175541515</v>
      </c>
      <c r="L31" s="44">
        <f>'3 Statements'!L7/SUM('3 Statements'!L49:L50)</f>
        <v>1.1188658712853918</v>
      </c>
      <c r="M31" t="s">
        <v>181</v>
      </c>
    </row>
    <row r="33" spans="2:13">
      <c r="B33" t="s">
        <v>45</v>
      </c>
      <c r="C33" s="44">
        <f>365/C27</f>
        <v>35.496963067271835</v>
      </c>
      <c r="D33" s="44">
        <f t="shared" ref="D33:L33" si="2">365/D27</f>
        <v>48.442481374378559</v>
      </c>
      <c r="E33" s="44">
        <f t="shared" si="2"/>
        <v>40.515078372578067</v>
      </c>
      <c r="F33" s="44">
        <f t="shared" si="2"/>
        <v>46.165090790185864</v>
      </c>
      <c r="G33" s="44">
        <f t="shared" si="2"/>
        <v>45.752660858571659</v>
      </c>
      <c r="H33" s="44">
        <f t="shared" si="2"/>
        <v>42.619793558542199</v>
      </c>
      <c r="I33" s="44">
        <f t="shared" si="2"/>
        <v>33.244639855213073</v>
      </c>
      <c r="J33" s="44">
        <f t="shared" si="2"/>
        <v>33.189980857736323</v>
      </c>
      <c r="K33" s="44">
        <f t="shared" si="2"/>
        <v>34.133990989766424</v>
      </c>
      <c r="L33" s="44">
        <f t="shared" si="2"/>
        <v>39.756361861534842</v>
      </c>
    </row>
    <row r="34" spans="2:13">
      <c r="B34" t="s">
        <v>169</v>
      </c>
      <c r="C34" s="44">
        <f>365/'3 Statements'!C29</f>
        <v>2731.2027984045289</v>
      </c>
      <c r="D34" s="44">
        <f>365/'3 Statements'!D29</f>
        <v>1906.7889191384879</v>
      </c>
      <c r="E34" s="44">
        <f>365/'3 Statements'!E29</f>
        <v>1801.6452564696619</v>
      </c>
      <c r="F34" s="44">
        <f>365/'3 Statements'!F29</f>
        <v>2186.853218544657</v>
      </c>
      <c r="G34" s="44">
        <f>365/'3 Statements'!G29</f>
        <v>2661.9063140776352</v>
      </c>
      <c r="H34" s="44">
        <f>365/'3 Statements'!H29</f>
        <v>1743.6480546022449</v>
      </c>
      <c r="I34" s="44">
        <f>365/'3 Statements'!I29</f>
        <v>1878.8898275813776</v>
      </c>
      <c r="J34" s="44">
        <f>365/'3 Statements'!J29</f>
        <v>2036.7181498770501</v>
      </c>
      <c r="K34" s="44">
        <f>365/'3 Statements'!K29</f>
        <v>3051.9161407805113</v>
      </c>
      <c r="L34" s="44">
        <f>365/'3 Statements'!L29</f>
        <v>2114.6627278518731</v>
      </c>
    </row>
    <row r="35" spans="2:13">
      <c r="B35" t="s">
        <v>170</v>
      </c>
      <c r="C35" s="44">
        <f>365/C29</f>
        <v>47.282371285423331</v>
      </c>
      <c r="D35" s="44">
        <f t="shared" ref="D35:L35" si="3">365/D29</f>
        <v>56.630400717958949</v>
      </c>
      <c r="E35" s="44">
        <f t="shared" si="3"/>
        <v>55.628777146087955</v>
      </c>
      <c r="F35" s="44">
        <f t="shared" si="3"/>
        <v>58.478994011635521</v>
      </c>
      <c r="G35" s="44">
        <f t="shared" si="3"/>
        <v>55.154799046764012</v>
      </c>
      <c r="H35" s="44">
        <f t="shared" si="3"/>
        <v>62.723372482544292</v>
      </c>
      <c r="I35" s="44">
        <f t="shared" si="3"/>
        <v>56.80051085267241</v>
      </c>
      <c r="J35" s="44">
        <f t="shared" si="3"/>
        <v>63.32385044597401</v>
      </c>
      <c r="K35" s="44">
        <f t="shared" si="3"/>
        <v>42.134350708209766</v>
      </c>
      <c r="L35" s="44">
        <f t="shared" si="3"/>
        <v>32.908781216945663</v>
      </c>
    </row>
    <row r="36" spans="2:13">
      <c r="B36" t="s">
        <v>171</v>
      </c>
      <c r="C36" s="44">
        <f>SUM(C33,C35-C34)</f>
        <v>-2648.4234640518339</v>
      </c>
      <c r="D36" s="44">
        <f t="shared" ref="D36:L36" si="4">SUM(D33,D35-D34)</f>
        <v>-1801.7160370461504</v>
      </c>
      <c r="E36" s="44">
        <f t="shared" si="4"/>
        <v>-1705.501400950996</v>
      </c>
      <c r="F36" s="44">
        <f t="shared" si="4"/>
        <v>-2082.2091337428355</v>
      </c>
      <c r="G36" s="44">
        <f t="shared" si="4"/>
        <v>-2560.9988541722996</v>
      </c>
      <c r="H36" s="44">
        <f t="shared" si="4"/>
        <v>-1638.3048885611584</v>
      </c>
      <c r="I36" s="44">
        <f t="shared" si="4"/>
        <v>-1788.8446768734921</v>
      </c>
      <c r="J36" s="44">
        <f t="shared" si="4"/>
        <v>-1940.2043185733398</v>
      </c>
      <c r="K36" s="44">
        <f t="shared" si="4"/>
        <v>-2975.6477990825351</v>
      </c>
      <c r="L36" s="44">
        <f t="shared" si="4"/>
        <v>-2041.9975847733929</v>
      </c>
      <c r="M36" t="s">
        <v>182</v>
      </c>
    </row>
    <row r="38" spans="2:13">
      <c r="B38" t="s">
        <v>172</v>
      </c>
      <c r="C38" s="29">
        <f>'Data Sheet'!B82/'3 Statements'!C7</f>
        <v>0.12410387820842123</v>
      </c>
      <c r="D38" s="29">
        <f>'Data Sheet'!C82/'3 Statements'!D7</f>
        <v>0.10059141393277209</v>
      </c>
      <c r="E38" s="29">
        <f>'Data Sheet'!D82/'3 Statements'!E7</f>
        <v>0.20071623483611731</v>
      </c>
      <c r="F38" s="29">
        <f>'Data Sheet'!E82/'3 Statements'!F7</f>
        <v>0.17500505207957812</v>
      </c>
      <c r="G38" s="29">
        <f>'Data Sheet'!F82/'3 Statements'!G7</f>
        <v>0.16761615382079706</v>
      </c>
      <c r="H38" s="29">
        <f>'Data Sheet'!G82/'3 Statements'!H7</f>
        <v>0.1602403438672963</v>
      </c>
      <c r="I38" s="29">
        <f>'Data Sheet'!H82/'3 Statements'!I7</f>
        <v>0.18403299778213411</v>
      </c>
      <c r="J38" s="29">
        <f>'Data Sheet'!I82/'3 Statements'!J7</f>
        <v>0.11815826986518958</v>
      </c>
      <c r="K38" s="29">
        <f>'Data Sheet'!J82/'3 Statements'!K7</f>
        <v>0.16150907519317032</v>
      </c>
      <c r="L38" s="29">
        <f>'Data Sheet'!K82/'3 Statements'!L7</f>
        <v>0.14684547722740526</v>
      </c>
    </row>
    <row r="39" spans="2:13">
      <c r="B39" t="s">
        <v>173</v>
      </c>
      <c r="C39" s="29">
        <f>'Data Sheet'!B82/'3 Statements'!C66</f>
        <v>0.11251810954934895</v>
      </c>
      <c r="D39" s="29">
        <f>'Data Sheet'!C82/'3 Statements'!D66</f>
        <v>8.7549619061985343E-2</v>
      </c>
      <c r="E39" s="29">
        <f>'Data Sheet'!D82/'3 Statements'!E66</f>
        <v>0.14375456424721317</v>
      </c>
      <c r="F39" s="29">
        <f>'Data Sheet'!E82/'3 Statements'!F66</f>
        <v>0.12430601488628272</v>
      </c>
      <c r="G39" s="29">
        <f>'Data Sheet'!F82/'3 Statements'!G66</f>
        <v>0.12266958998974709</v>
      </c>
      <c r="H39" s="29">
        <f>'Data Sheet'!G82/'3 Statements'!H66</f>
        <v>0.1067258142991933</v>
      </c>
      <c r="I39" s="29">
        <f>'Data Sheet'!H82/'3 Statements'!I66</f>
        <v>0.1424922720708463</v>
      </c>
      <c r="J39" s="29">
        <f>'Data Sheet'!I82/'3 Statements'!J66</f>
        <v>9.0197685379788228E-2</v>
      </c>
      <c r="K39" s="29">
        <f>'Data Sheet'!J82/'3 Statements'!K66</f>
        <v>0.12333646455922549</v>
      </c>
      <c r="L39" s="29">
        <f>'Data Sheet'!K82/'3 Statements'!L66</f>
        <v>0.11254572620388774</v>
      </c>
    </row>
    <row r="40" spans="2:13">
      <c r="B40" t="s">
        <v>174</v>
      </c>
      <c r="C40" s="29">
        <f>'Data Sheet'!B82/'3 Statements'!C51</f>
        <v>0.37787019487330475</v>
      </c>
      <c r="D40" s="29">
        <f>'Data Sheet'!C82/'3 Statements'!D51</f>
        <v>0.29309402584465538</v>
      </c>
      <c r="E40" s="29">
        <f>'Data Sheet'!D82/'3 Statements'!E51</f>
        <v>0.46494689984578585</v>
      </c>
      <c r="F40" s="29">
        <f>'Data Sheet'!E82/'3 Statements'!F51</f>
        <v>0.49132305271170634</v>
      </c>
      <c r="G40" s="29">
        <f>'Data Sheet'!F82/'3 Statements'!G51</f>
        <v>0.51118404517969862</v>
      </c>
      <c r="H40" s="29">
        <f>'Data Sheet'!G82/'3 Statements'!H51</f>
        <v>0.44423030123329704</v>
      </c>
      <c r="I40" s="29">
        <f>'Data Sheet'!H82/'3 Statements'!I51</f>
        <v>1.0888748209466892</v>
      </c>
      <c r="J40" s="29">
        <f>'Data Sheet'!I82/'3 Statements'!J51</f>
        <v>0.85110365302697821</v>
      </c>
      <c r="K40" s="29">
        <f>'Data Sheet'!J82/'3 Statements'!K51</f>
        <v>1.9039377467731371</v>
      </c>
      <c r="L40" s="29">
        <f>'Data Sheet'!K82/'3 Statements'!L51</f>
        <v>0.64240270622556017</v>
      </c>
    </row>
  </sheetData>
  <sheetProtection algorithmName="SHA-512" hashValue="6vVN3Mo5Z2udQuXeqQy0GuAgf2urTePXUwU5lHzo15BH3NJ7Ujl8eN4il52qj+66U4xdpZhlXt5pXVaYqKNM7A==" saltValue="JnQlDOZ9SdMqx/B2ZNiRdg==" spinCount="100000" sheet="1" objects="1" scenarios="1"/>
  <mergeCells count="1">
    <mergeCell ref="B2:L2"/>
  </mergeCells>
  <pageMargins left="0.7" right="0.7" top="0.75" bottom="0.75" header="0.3" footer="0.3"/>
  <ignoredErrors>
    <ignoredError sqref="C21:L21 C23:L23 C31:L31" formulaRange="1"/>
    <ignoredError sqref="I9:K9" evalErro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8B51-7A64-4E77-A406-5F1414F1A398}">
  <dimension ref="B2:O24"/>
  <sheetViews>
    <sheetView showGridLines="0" topLeftCell="C1" workbookViewId="0">
      <selection activeCell="H24" sqref="H24"/>
    </sheetView>
  </sheetViews>
  <sheetFormatPr defaultRowHeight="14.4"/>
  <cols>
    <col min="1" max="1" width="1.88671875" customWidth="1"/>
    <col min="2" max="2" width="11.6640625" customWidth="1"/>
    <col min="3" max="3" width="12.109375" customWidth="1"/>
    <col min="7" max="7" width="17.109375" customWidth="1"/>
    <col min="8" max="8" width="11.5546875" customWidth="1"/>
    <col min="9" max="9" width="13.109375" customWidth="1"/>
    <col min="12" max="12" width="10.77734375" customWidth="1"/>
    <col min="14" max="14" width="11.77734375" customWidth="1"/>
    <col min="15" max="15" width="12.77734375" customWidth="1"/>
  </cols>
  <sheetData>
    <row r="2" spans="2:9">
      <c r="B2" s="45" t="s">
        <v>183</v>
      </c>
      <c r="C2" s="45" t="s">
        <v>37</v>
      </c>
      <c r="D2" s="45" t="s">
        <v>5</v>
      </c>
      <c r="E2" s="45" t="s">
        <v>21</v>
      </c>
      <c r="F2" s="45"/>
    </row>
    <row r="3" spans="2:9">
      <c r="B3">
        <v>1</v>
      </c>
      <c r="C3" s="46" cm="1">
        <f t="array" ref="C3:C12">TRANSPOSE('Ratio Analysis'!C3:L3)</f>
        <v>42094</v>
      </c>
      <c r="D3" s="48" cm="1">
        <f t="array" ref="D3:D12">TRANSPOSE('3 Statements'!C7:L7)</f>
        <v>8273.15</v>
      </c>
    </row>
    <row r="4" spans="2:9">
      <c r="B4">
        <v>2</v>
      </c>
      <c r="C4" s="46">
        <v>42460</v>
      </c>
      <c r="D4" s="48">
        <v>8423.8799999999992</v>
      </c>
      <c r="E4" s="29">
        <f>D4/D3-1</f>
        <v>1.8219178910088507E-2</v>
      </c>
    </row>
    <row r="5" spans="2:9">
      <c r="B5">
        <v>3</v>
      </c>
      <c r="C5" s="46">
        <v>42825</v>
      </c>
      <c r="D5" s="48">
        <v>9267.91</v>
      </c>
      <c r="E5" s="29">
        <f t="shared" ref="E5:E12" si="0">D5/D4-1</f>
        <v>0.10019492205492009</v>
      </c>
    </row>
    <row r="6" spans="2:9">
      <c r="B6">
        <v>4</v>
      </c>
      <c r="C6" s="46">
        <v>43190</v>
      </c>
      <c r="D6" s="48">
        <v>9847.43</v>
      </c>
      <c r="E6" s="29">
        <f t="shared" si="0"/>
        <v>6.2529739714779264E-2</v>
      </c>
    </row>
    <row r="7" spans="2:9">
      <c r="B7">
        <v>5</v>
      </c>
      <c r="C7" s="46">
        <v>43555</v>
      </c>
      <c r="D7" s="48">
        <v>10314.34</v>
      </c>
      <c r="E7" s="29">
        <f t="shared" si="0"/>
        <v>4.7414401524052519E-2</v>
      </c>
      <c r="G7" t="s">
        <v>200</v>
      </c>
    </row>
    <row r="8" spans="2:9" ht="15" thickBot="1">
      <c r="B8">
        <v>6</v>
      </c>
      <c r="C8" s="46">
        <v>43921</v>
      </c>
      <c r="D8" s="48">
        <v>9910.7999999999993</v>
      </c>
      <c r="E8" s="29">
        <f t="shared" si="0"/>
        <v>-3.9124170814613501E-2</v>
      </c>
    </row>
    <row r="9" spans="2:9">
      <c r="B9">
        <v>7</v>
      </c>
      <c r="C9" s="46">
        <v>44286</v>
      </c>
      <c r="D9" s="48">
        <v>11028.62</v>
      </c>
      <c r="E9" s="29">
        <f t="shared" si="0"/>
        <v>0.11278806958065957</v>
      </c>
      <c r="G9" s="62" t="s">
        <v>201</v>
      </c>
      <c r="H9" s="62"/>
    </row>
    <row r="10" spans="2:9">
      <c r="B10">
        <v>8</v>
      </c>
      <c r="C10" s="46">
        <v>44651</v>
      </c>
      <c r="D10" s="48">
        <v>12276.5</v>
      </c>
      <c r="E10" s="29">
        <f t="shared" si="0"/>
        <v>0.11314924260696246</v>
      </c>
      <c r="G10" t="s">
        <v>202</v>
      </c>
      <c r="H10">
        <v>0.9674305963117128</v>
      </c>
    </row>
    <row r="11" spans="2:9">
      <c r="B11">
        <v>9</v>
      </c>
      <c r="C11" s="46">
        <v>45016</v>
      </c>
      <c r="D11" s="48">
        <v>13315.97</v>
      </c>
      <c r="E11" s="29">
        <f t="shared" si="0"/>
        <v>8.4671526900989669E-2</v>
      </c>
      <c r="G11" t="s">
        <v>203</v>
      </c>
      <c r="H11">
        <v>0.93592195868003614</v>
      </c>
    </row>
    <row r="12" spans="2:9">
      <c r="B12">
        <v>10</v>
      </c>
      <c r="C12" s="46">
        <v>45382</v>
      </c>
      <c r="D12" s="48">
        <v>14096.11</v>
      </c>
      <c r="E12" s="29">
        <f t="shared" si="0"/>
        <v>5.8586794653337382E-2</v>
      </c>
      <c r="G12" t="s">
        <v>204</v>
      </c>
      <c r="H12">
        <v>0.92791220351504067</v>
      </c>
      <c r="I12" t="s">
        <v>223</v>
      </c>
    </row>
    <row r="13" spans="2:9">
      <c r="B13">
        <v>11</v>
      </c>
      <c r="C13" s="47">
        <f>C12+365</f>
        <v>45747</v>
      </c>
      <c r="D13">
        <f>FORECAST(B13,_xlfn.ANCHORARRAY($D$3),$B$3:$B$12)</f>
        <v>14169.946</v>
      </c>
      <c r="E13" s="29">
        <f>D13/D12-1</f>
        <v>5.2380408495675823E-3</v>
      </c>
      <c r="G13" t="s">
        <v>205</v>
      </c>
      <c r="H13">
        <v>533.87062412416674</v>
      </c>
    </row>
    <row r="14" spans="2:9" ht="15" thickBot="1">
      <c r="B14">
        <v>12</v>
      </c>
      <c r="C14" s="47">
        <f t="shared" ref="C14:C17" si="1">C13+365</f>
        <v>46112</v>
      </c>
      <c r="D14">
        <f t="shared" ref="D14:D17" si="2">FORECAST(B14,_xlfn.ANCHORARRAY($D$3),$B$3:$B$12)</f>
        <v>14805.305090909093</v>
      </c>
      <c r="E14" s="29">
        <f t="shared" ref="E14:E17" si="3">D14/D13-1</f>
        <v>4.4838497684401402E-2</v>
      </c>
      <c r="G14" s="60" t="s">
        <v>206</v>
      </c>
      <c r="H14" s="60">
        <v>10</v>
      </c>
    </row>
    <row r="15" spans="2:9">
      <c r="B15">
        <v>13</v>
      </c>
      <c r="C15" s="47">
        <f t="shared" si="1"/>
        <v>46477</v>
      </c>
      <c r="D15">
        <f t="shared" si="2"/>
        <v>15440.664181818183</v>
      </c>
      <c r="E15" s="29">
        <f t="shared" si="3"/>
        <v>4.2914285589374268E-2</v>
      </c>
    </row>
    <row r="16" spans="2:9" ht="15" thickBot="1">
      <c r="B16">
        <v>14</v>
      </c>
      <c r="C16" s="47">
        <f t="shared" si="1"/>
        <v>46842</v>
      </c>
      <c r="D16">
        <f t="shared" si="2"/>
        <v>16076.023272727274</v>
      </c>
      <c r="E16" s="29">
        <f t="shared" si="3"/>
        <v>4.1148430108158385E-2</v>
      </c>
      <c r="G16" t="s">
        <v>207</v>
      </c>
    </row>
    <row r="17" spans="2:15">
      <c r="B17">
        <v>15</v>
      </c>
      <c r="C17" s="47">
        <f t="shared" si="1"/>
        <v>47207</v>
      </c>
      <c r="D17">
        <f t="shared" si="2"/>
        <v>16711.382363636367</v>
      </c>
      <c r="E17" s="29">
        <f t="shared" si="3"/>
        <v>3.9522155456627628E-2</v>
      </c>
      <c r="G17" s="61"/>
      <c r="H17" s="61" t="s">
        <v>211</v>
      </c>
      <c r="I17" s="61" t="s">
        <v>212</v>
      </c>
      <c r="J17" s="61" t="s">
        <v>213</v>
      </c>
      <c r="K17" s="61" t="s">
        <v>214</v>
      </c>
      <c r="L17" s="61" t="s">
        <v>215</v>
      </c>
    </row>
    <row r="18" spans="2:15">
      <c r="G18" t="s">
        <v>208</v>
      </c>
      <c r="H18">
        <v>1</v>
      </c>
      <c r="I18">
        <v>33303696.888068188</v>
      </c>
      <c r="J18">
        <v>33303696.888068188</v>
      </c>
      <c r="K18">
        <v>116.84776118628888</v>
      </c>
      <c r="L18">
        <v>4.7330551449707145E-6</v>
      </c>
    </row>
    <row r="19" spans="2:15">
      <c r="G19" t="s">
        <v>209</v>
      </c>
      <c r="H19">
        <v>8</v>
      </c>
      <c r="I19">
        <v>2280142.7464218186</v>
      </c>
      <c r="J19">
        <v>285017.84330272733</v>
      </c>
    </row>
    <row r="20" spans="2:15" ht="15" thickBot="1">
      <c r="G20" s="60" t="s">
        <v>25</v>
      </c>
      <c r="H20" s="60">
        <v>9</v>
      </c>
      <c r="I20" s="60">
        <v>35583839.634490006</v>
      </c>
      <c r="J20" s="60"/>
      <c r="K20" s="60"/>
      <c r="L20" s="60"/>
    </row>
    <row r="21" spans="2:15" ht="15" thickBot="1">
      <c r="C21" s="33"/>
    </row>
    <row r="22" spans="2:15">
      <c r="D22" s="59"/>
      <c r="G22" s="61"/>
      <c r="H22" s="61" t="s">
        <v>216</v>
      </c>
      <c r="I22" s="61" t="s">
        <v>205</v>
      </c>
      <c r="J22" s="61" t="s">
        <v>217</v>
      </c>
      <c r="K22" s="61" t="s">
        <v>218</v>
      </c>
      <c r="L22" s="61" t="s">
        <v>219</v>
      </c>
      <c r="M22" s="61" t="s">
        <v>220</v>
      </c>
      <c r="N22" s="61" t="s">
        <v>221</v>
      </c>
      <c r="O22" s="61" t="s">
        <v>222</v>
      </c>
    </row>
    <row r="23" spans="2:15">
      <c r="G23" t="s">
        <v>210</v>
      </c>
      <c r="H23">
        <v>7180.9959999999983</v>
      </c>
      <c r="I23">
        <v>364.70306671949731</v>
      </c>
      <c r="J23">
        <v>19.689979754195736</v>
      </c>
      <c r="K23">
        <v>4.6059279258273543E-8</v>
      </c>
      <c r="L23">
        <v>6339.9892200231961</v>
      </c>
      <c r="M23">
        <v>8022.0027799768004</v>
      </c>
      <c r="N23">
        <v>6339.9892200231961</v>
      </c>
      <c r="O23">
        <v>8022.0027799768004</v>
      </c>
    </row>
    <row r="24" spans="2:15" ht="15" thickBot="1">
      <c r="G24" s="60" t="s">
        <v>183</v>
      </c>
      <c r="H24" s="60">
        <v>635.35909090909115</v>
      </c>
      <c r="I24" s="60">
        <v>58.777221242610274</v>
      </c>
      <c r="J24" s="60">
        <v>10.809614294057347</v>
      </c>
      <c r="K24" s="60">
        <v>4.7330551449707145E-6</v>
      </c>
      <c r="L24" s="60">
        <v>499.81857566782162</v>
      </c>
      <c r="M24" s="60">
        <v>770.89960615036068</v>
      </c>
      <c r="N24" s="60">
        <v>499.81857566782162</v>
      </c>
      <c r="O24" s="60">
        <v>770.89960615036068</v>
      </c>
    </row>
  </sheetData>
  <sheetProtection algorithmName="SHA-512" hashValue="JEUjDpiVJ2m/wwQNebm3UFkRAc7fv4Nfmk8LCcpYcRwAIUA6h/j7rGKe50V0zC7x6kez+bCPVY6PZZcLxZRvoA==" saltValue="QZckIAGfuCu8S5MxWzv2GQ==" spinCount="100000"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2BB5-B26C-4ADB-8ACB-0EB4882D507E}">
  <dimension ref="B2:O31"/>
  <sheetViews>
    <sheetView showGridLines="0" topLeftCell="A5" workbookViewId="0">
      <selection activeCell="B29" sqref="B29"/>
    </sheetView>
  </sheetViews>
  <sheetFormatPr defaultRowHeight="14.4"/>
  <cols>
    <col min="1" max="1" width="1.88671875" customWidth="1"/>
    <col min="2" max="2" width="22.77734375" customWidth="1"/>
    <col min="3" max="3" width="11.33203125" customWidth="1"/>
    <col min="4" max="4" width="12.6640625" customWidth="1"/>
    <col min="5" max="5" width="18" customWidth="1"/>
    <col min="6" max="6" width="20.33203125" customWidth="1"/>
    <col min="7" max="7" width="15.6640625" customWidth="1"/>
    <col min="8" max="8" width="12.88671875" customWidth="1"/>
    <col min="9" max="9" width="14.5546875" customWidth="1"/>
    <col min="10" max="10" width="18.109375" customWidth="1"/>
    <col min="14" max="14" width="20.21875" bestFit="1" customWidth="1"/>
  </cols>
  <sheetData>
    <row r="2" spans="2:10">
      <c r="B2" s="120" t="s">
        <v>184</v>
      </c>
      <c r="C2" s="120"/>
      <c r="D2" s="120"/>
      <c r="E2" s="120"/>
      <c r="F2" s="120"/>
      <c r="G2" s="120"/>
      <c r="H2" s="120"/>
      <c r="I2" s="120"/>
      <c r="J2" s="120"/>
    </row>
    <row r="3" spans="2:10" ht="9" customHeight="1"/>
    <row r="4" spans="2:10">
      <c r="B4" s="50" t="s">
        <v>185</v>
      </c>
      <c r="C4" s="53"/>
    </row>
    <row r="6" spans="2:10">
      <c r="B6" s="51" t="s">
        <v>186</v>
      </c>
      <c r="F6" s="52"/>
      <c r="I6" s="52"/>
    </row>
    <row r="7" spans="2:10" ht="16.2">
      <c r="B7" s="49" t="s">
        <v>187</v>
      </c>
      <c r="C7" s="49" t="s">
        <v>188</v>
      </c>
      <c r="D7" s="49" t="s">
        <v>189</v>
      </c>
      <c r="E7" s="49" t="s">
        <v>190</v>
      </c>
      <c r="F7" s="49" t="s">
        <v>191</v>
      </c>
      <c r="G7" s="49" t="s">
        <v>192</v>
      </c>
      <c r="H7" s="49" t="s">
        <v>193</v>
      </c>
      <c r="I7" s="49" t="s">
        <v>194</v>
      </c>
      <c r="J7" s="49" t="s">
        <v>195</v>
      </c>
    </row>
    <row r="8" spans="2:10" ht="9" customHeight="1"/>
    <row r="9" spans="2:10">
      <c r="B9" s="54" t="s">
        <v>196</v>
      </c>
      <c r="C9" s="55" t="s">
        <v>197</v>
      </c>
      <c r="D9" s="84">
        <v>2753.56</v>
      </c>
      <c r="E9" s="84">
        <v>127876.94</v>
      </c>
      <c r="F9" s="57">
        <v>0.3</v>
      </c>
      <c r="G9" s="58">
        <f>D9/E9</f>
        <v>2.1532889354405883E-2</v>
      </c>
      <c r="H9" s="58">
        <f>D9/(D9+E9)</f>
        <v>2.1078997630721769E-2</v>
      </c>
      <c r="I9" s="85">
        <v>0.92200000000000004</v>
      </c>
      <c r="J9" s="87">
        <f>I9/(1+(1-F9)*(G9))</f>
        <v>0.90830903739866142</v>
      </c>
    </row>
    <row r="10" spans="2:10">
      <c r="B10" s="54" t="s">
        <v>198</v>
      </c>
      <c r="C10" s="55" t="s">
        <v>197</v>
      </c>
      <c r="D10" s="83">
        <v>1648</v>
      </c>
      <c r="E10" s="83">
        <v>545175.73</v>
      </c>
      <c r="F10" s="57">
        <v>0.3</v>
      </c>
      <c r="G10" s="58">
        <f t="shared" ref="G10:G12" si="0">D10/E10</f>
        <v>3.0228785129521448E-3</v>
      </c>
      <c r="H10" s="58">
        <f t="shared" ref="H10:H12" si="1">D10/(D10+E10)</f>
        <v>3.0137682576430983E-3</v>
      </c>
      <c r="I10" s="85">
        <v>0.83499999999999996</v>
      </c>
      <c r="J10" s="87">
        <f t="shared" ref="J10:J12" si="2">I10/(1+(1-F10)*(G10))</f>
        <v>0.83323685834329997</v>
      </c>
    </row>
    <row r="11" spans="2:10">
      <c r="B11" s="54" t="s">
        <v>199</v>
      </c>
      <c r="C11" s="55" t="s">
        <v>197</v>
      </c>
      <c r="D11" s="83">
        <v>304.33999999999997</v>
      </c>
      <c r="E11" s="83">
        <v>537231.13</v>
      </c>
      <c r="F11" s="57">
        <v>0.3</v>
      </c>
      <c r="G11" s="58">
        <f t="shared" si="0"/>
        <v>5.6649732862650752E-4</v>
      </c>
      <c r="H11" s="58">
        <f t="shared" si="1"/>
        <v>5.6617659110011845E-4</v>
      </c>
      <c r="I11" s="85">
        <v>0.76500000000000001</v>
      </c>
      <c r="J11" s="87">
        <f t="shared" si="2"/>
        <v>0.76469676092940697</v>
      </c>
    </row>
    <row r="12" spans="2:10">
      <c r="B12" s="54" t="s">
        <v>247</v>
      </c>
      <c r="C12" s="55" t="s">
        <v>197</v>
      </c>
      <c r="D12" s="83">
        <v>1166.8499999999999</v>
      </c>
      <c r="E12" s="83">
        <v>224754.64</v>
      </c>
      <c r="F12" s="57">
        <v>0.3</v>
      </c>
      <c r="G12" s="58">
        <f t="shared" si="0"/>
        <v>5.1916614491251427E-3</v>
      </c>
      <c r="H12" s="58">
        <f t="shared" si="1"/>
        <v>5.1648473104528468E-3</v>
      </c>
      <c r="I12" s="85">
        <v>0.89800000000000002</v>
      </c>
      <c r="J12" s="87">
        <f t="shared" si="2"/>
        <v>0.89474833868038295</v>
      </c>
    </row>
    <row r="13" spans="2:10">
      <c r="B13" s="54"/>
      <c r="C13" s="55"/>
      <c r="D13" s="56"/>
      <c r="E13" s="56"/>
      <c r="F13" s="57"/>
      <c r="G13" s="86"/>
      <c r="H13" s="86"/>
      <c r="I13" s="33"/>
      <c r="J13" s="59"/>
    </row>
    <row r="15" spans="2:10">
      <c r="E15" s="69" t="s">
        <v>224</v>
      </c>
      <c r="F15" s="88">
        <f>AVERAGE(F9:F12)</f>
        <v>0.3</v>
      </c>
      <c r="G15" s="88">
        <f t="shared" ref="G15:J15" si="3">AVERAGE(G9:G12)</f>
        <v>7.5784816612774197E-3</v>
      </c>
      <c r="H15" s="88">
        <f t="shared" si="3"/>
        <v>7.4559474474794581E-3</v>
      </c>
      <c r="I15" s="64">
        <f t="shared" si="3"/>
        <v>0.85500000000000009</v>
      </c>
      <c r="J15" s="64">
        <f t="shared" si="3"/>
        <v>0.85024774883793786</v>
      </c>
    </row>
    <row r="16" spans="2:10">
      <c r="E16" s="70" t="s">
        <v>225</v>
      </c>
      <c r="F16" s="77">
        <f>MEDIAN(F9:F12)</f>
        <v>0.3</v>
      </c>
      <c r="G16" s="67">
        <f t="shared" ref="G16:J16" si="4">MEDIAN(G9:G12)</f>
        <v>4.1072699810386437E-3</v>
      </c>
      <c r="H16" s="67">
        <f t="shared" si="4"/>
        <v>4.0893077840479727E-3</v>
      </c>
      <c r="I16" s="68">
        <f t="shared" si="4"/>
        <v>0.86650000000000005</v>
      </c>
      <c r="J16" s="89">
        <f t="shared" si="4"/>
        <v>0.86399259851184151</v>
      </c>
    </row>
    <row r="18" spans="2:15">
      <c r="B18" s="71" t="s">
        <v>226</v>
      </c>
      <c r="C18" s="65"/>
      <c r="D18" s="72"/>
      <c r="F18" s="71" t="s">
        <v>234</v>
      </c>
      <c r="G18" s="65"/>
      <c r="H18" s="65"/>
      <c r="I18" s="65"/>
    </row>
    <row r="19" spans="2:15">
      <c r="K19" s="71" t="s">
        <v>184</v>
      </c>
      <c r="L19" s="65"/>
      <c r="M19" s="65"/>
      <c r="N19" s="65"/>
      <c r="O19" s="71"/>
    </row>
    <row r="20" spans="2:15">
      <c r="B20" t="s">
        <v>227</v>
      </c>
      <c r="D20" s="5">
        <f>310/3828.47</f>
        <v>8.0972294415262491E-2</v>
      </c>
      <c r="F20" t="s">
        <v>235</v>
      </c>
      <c r="H20" s="33">
        <f>J16</f>
        <v>0.86399259851184151</v>
      </c>
      <c r="I20" t="s">
        <v>250</v>
      </c>
      <c r="O20" s="5"/>
    </row>
    <row r="21" spans="2:15">
      <c r="B21" s="65" t="s">
        <v>228</v>
      </c>
      <c r="C21" s="65"/>
      <c r="D21" s="66">
        <f>F15</f>
        <v>0.3</v>
      </c>
      <c r="F21" t="s">
        <v>236</v>
      </c>
      <c r="H21" s="5">
        <f>I30</f>
        <v>7.5119561981204118E-3</v>
      </c>
      <c r="I21" t="s">
        <v>248</v>
      </c>
      <c r="K21" t="s">
        <v>233</v>
      </c>
      <c r="N21" s="5">
        <f>D30</f>
        <v>0.26949645580429377</v>
      </c>
      <c r="O21" s="5"/>
    </row>
    <row r="22" spans="2:15">
      <c r="B22" t="s">
        <v>229</v>
      </c>
      <c r="D22" s="73">
        <f>D20*(1-D21)</f>
        <v>5.668060609068374E-2</v>
      </c>
      <c r="E22" t="s">
        <v>270</v>
      </c>
      <c r="F22" s="65" t="s">
        <v>237</v>
      </c>
      <c r="G22" s="65"/>
      <c r="H22" s="77">
        <f>F15</f>
        <v>0.3</v>
      </c>
      <c r="I22" s="65"/>
      <c r="K22" t="s">
        <v>243</v>
      </c>
      <c r="N22" s="5">
        <f>I28</f>
        <v>0.99254405255252054</v>
      </c>
      <c r="O22" s="80"/>
    </row>
    <row r="23" spans="2:15">
      <c r="F23" t="s">
        <v>238</v>
      </c>
      <c r="H23" s="73">
        <f>H20*(1+(1-H21)*(H22))</f>
        <v>1.1212432956987375</v>
      </c>
      <c r="I23" t="s">
        <v>253</v>
      </c>
    </row>
    <row r="24" spans="2:15">
      <c r="K24" t="s">
        <v>244</v>
      </c>
      <c r="N24" s="5">
        <f>D22</f>
        <v>5.668060609068374E-2</v>
      </c>
      <c r="O24" s="5"/>
    </row>
    <row r="25" spans="2:15">
      <c r="B25" s="71" t="s">
        <v>230</v>
      </c>
      <c r="C25" s="65"/>
      <c r="D25" s="72"/>
      <c r="F25" s="71" t="s">
        <v>239</v>
      </c>
      <c r="G25" s="65"/>
      <c r="H25" s="72" t="s">
        <v>240</v>
      </c>
      <c r="I25" s="72" t="s">
        <v>241</v>
      </c>
      <c r="K25" t="s">
        <v>245</v>
      </c>
      <c r="N25" s="5">
        <f>I27</f>
        <v>7.4559474474794581E-3</v>
      </c>
      <c r="O25" s="5"/>
    </row>
    <row r="27" spans="2:15">
      <c r="B27" t="s">
        <v>231</v>
      </c>
      <c r="D27" s="29">
        <v>6.4549999999999996E-2</v>
      </c>
      <c r="E27" t="s">
        <v>256</v>
      </c>
      <c r="F27" t="s">
        <v>189</v>
      </c>
      <c r="G27" s="75">
        <f>D9</f>
        <v>2753.56</v>
      </c>
      <c r="H27" s="29">
        <f>G27/$G$29</f>
        <v>2.1078997630721769E-2</v>
      </c>
      <c r="I27" s="5">
        <f>H15</f>
        <v>7.4559474474794581E-3</v>
      </c>
      <c r="J27" t="s">
        <v>249</v>
      </c>
      <c r="K27" s="81" t="s">
        <v>246</v>
      </c>
      <c r="L27" s="81"/>
      <c r="M27" s="81"/>
      <c r="N27" s="82">
        <f>(N21*N22)+(N24*N25)</f>
        <v>0.26790971201283842</v>
      </c>
      <c r="O27" s="82"/>
    </row>
    <row r="28" spans="2:15">
      <c r="B28" t="s">
        <v>342</v>
      </c>
      <c r="D28" s="5">
        <f>Rm!F6-Wacc!D27</f>
        <v>0.18278500000000003</v>
      </c>
      <c r="F28" s="65" t="s">
        <v>78</v>
      </c>
      <c r="G28" s="76">
        <f>E9</f>
        <v>127876.94</v>
      </c>
      <c r="H28" s="67">
        <f>G28/$G$29</f>
        <v>0.97892100236927826</v>
      </c>
      <c r="I28" s="77">
        <f>I29-I27</f>
        <v>0.99254405255252054</v>
      </c>
      <c r="J28" t="s">
        <v>251</v>
      </c>
    </row>
    <row r="29" spans="2:15" ht="16.2">
      <c r="B29" t="s">
        <v>232</v>
      </c>
      <c r="D29" s="5">
        <f>H23</f>
        <v>1.1212432956987375</v>
      </c>
      <c r="E29" t="s">
        <v>254</v>
      </c>
      <c r="F29" t="s">
        <v>242</v>
      </c>
      <c r="G29" s="78">
        <f>SUM(G27:G28)</f>
        <v>130630.5</v>
      </c>
      <c r="H29" s="29">
        <f>G29/$G$29</f>
        <v>1</v>
      </c>
      <c r="I29" s="5">
        <v>1</v>
      </c>
    </row>
    <row r="30" spans="2:15">
      <c r="B30" s="63" t="s">
        <v>233</v>
      </c>
      <c r="C30" s="63"/>
      <c r="D30" s="74">
        <f>D27+(D28*D29)</f>
        <v>0.26949645580429377</v>
      </c>
      <c r="E30" t="s">
        <v>269</v>
      </c>
      <c r="F30" t="s">
        <v>192</v>
      </c>
      <c r="H30" s="79">
        <f>H27/H28</f>
        <v>2.1532889354405883E-2</v>
      </c>
      <c r="I30" s="79">
        <f>I27/I28</f>
        <v>7.5119561981204118E-3</v>
      </c>
      <c r="J30" t="s">
        <v>252</v>
      </c>
    </row>
    <row r="31" spans="2:15">
      <c r="H31" t="s">
        <v>255</v>
      </c>
    </row>
  </sheetData>
  <sheetProtection algorithmName="SHA-512" hashValue="s49Eas4rkpEyCuAYXcv+3Y2vQHGs6LuiCvMfWSel8VRZMKg8ZeCjeIiLewCNY6UrY+KdgTer+mXCP4hmHqB7ZA==" saltValue="lIiKXZNyGxTZblmwTV5KsQ==" spinCount="100000" sheet="1" objects="1" scenarios="1"/>
  <mergeCells count="1">
    <mergeCell ref="B2:J2"/>
  </mergeCells>
  <hyperlinks>
    <hyperlink ref="B9" r:id="rId1" display="https://www.screener.in/company/DMART/consolidated/" xr:uid="{60FE6192-EA09-426F-B1BE-643AC005CE37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6329-0737-48FB-A8CA-980E20F87BC5}">
  <dimension ref="B2:G29"/>
  <sheetViews>
    <sheetView showGridLines="0" workbookViewId="0">
      <selection activeCell="F6" sqref="F6"/>
    </sheetView>
  </sheetViews>
  <sheetFormatPr defaultRowHeight="14.4"/>
  <cols>
    <col min="1" max="1" width="1.88671875" customWidth="1"/>
    <col min="2" max="2" width="12.6640625" customWidth="1"/>
    <col min="3" max="3" width="11.77734375" customWidth="1"/>
    <col min="5" max="5" width="18.88671875" customWidth="1"/>
  </cols>
  <sheetData>
    <row r="2" spans="2:7">
      <c r="B2" s="121" t="s">
        <v>263</v>
      </c>
      <c r="C2" s="121"/>
    </row>
    <row r="3" spans="2:7" ht="9" customHeight="1" thickBot="1"/>
    <row r="4" spans="2:7" ht="15" thickBot="1">
      <c r="B4" s="95" t="s">
        <v>149</v>
      </c>
      <c r="C4" s="96" t="s">
        <v>257</v>
      </c>
      <c r="E4" t="s">
        <v>264</v>
      </c>
      <c r="F4" s="29">
        <f>AVERAGE(C5:C29)</f>
        <v>0.24733500000000003</v>
      </c>
    </row>
    <row r="5" spans="2:7" ht="16.2">
      <c r="B5" s="90">
        <v>2000</v>
      </c>
      <c r="C5" s="91" t="s">
        <v>258</v>
      </c>
      <c r="E5" t="s">
        <v>265</v>
      </c>
      <c r="F5" s="94" t="s">
        <v>267</v>
      </c>
      <c r="G5" t="s">
        <v>268</v>
      </c>
    </row>
    <row r="6" spans="2:7">
      <c r="B6" s="90">
        <v>2001</v>
      </c>
      <c r="C6" s="91" t="s">
        <v>259</v>
      </c>
      <c r="E6" s="2" t="s">
        <v>266</v>
      </c>
      <c r="F6" s="93">
        <f>SUM(F4:F5)</f>
        <v>0.24733500000000003</v>
      </c>
    </row>
    <row r="7" spans="2:7">
      <c r="B7" s="90">
        <v>2002</v>
      </c>
      <c r="C7" s="92">
        <v>3.2500000000000001E-2</v>
      </c>
    </row>
    <row r="8" spans="2:7">
      <c r="B8" s="90">
        <v>2003</v>
      </c>
      <c r="C8" s="92">
        <v>0.71899999999999997</v>
      </c>
    </row>
    <row r="9" spans="2:7">
      <c r="B9" s="90">
        <v>2004</v>
      </c>
      <c r="C9" s="92">
        <v>0.10680000000000001</v>
      </c>
    </row>
    <row r="10" spans="2:7">
      <c r="B10" s="90">
        <v>2005</v>
      </c>
      <c r="C10" s="92">
        <v>0.3634</v>
      </c>
    </row>
    <row r="11" spans="2:7">
      <c r="B11" s="90">
        <v>2006</v>
      </c>
      <c r="C11" s="92">
        <v>0.39829999999999999</v>
      </c>
    </row>
    <row r="12" spans="2:7">
      <c r="B12" s="90">
        <v>2007</v>
      </c>
      <c r="C12" s="92">
        <v>0.54769999999999996</v>
      </c>
    </row>
    <row r="13" spans="2:7">
      <c r="B13" s="90">
        <v>2008</v>
      </c>
      <c r="C13" s="91" t="s">
        <v>260</v>
      </c>
    </row>
    <row r="14" spans="2:7">
      <c r="B14" s="90">
        <v>2009</v>
      </c>
      <c r="C14" s="92">
        <v>0.75760000000000005</v>
      </c>
    </row>
    <row r="15" spans="2:7">
      <c r="B15" s="90">
        <v>2010</v>
      </c>
      <c r="C15" s="92">
        <v>0.17949999999999999</v>
      </c>
    </row>
    <row r="16" spans="2:7">
      <c r="B16" s="90">
        <v>2011</v>
      </c>
      <c r="C16" s="91" t="s">
        <v>261</v>
      </c>
    </row>
    <row r="17" spans="2:3">
      <c r="B17" s="90">
        <v>2012</v>
      </c>
      <c r="C17" s="92">
        <v>0.27700000000000002</v>
      </c>
    </row>
    <row r="18" spans="2:3">
      <c r="B18" s="90">
        <v>2013</v>
      </c>
      <c r="C18" s="92">
        <v>6.7599999999999993E-2</v>
      </c>
    </row>
    <row r="19" spans="2:3">
      <c r="B19" s="90">
        <v>2014</v>
      </c>
      <c r="C19" s="92">
        <v>0.31390000000000001</v>
      </c>
    </row>
    <row r="20" spans="2:3">
      <c r="B20" s="90">
        <v>2015</v>
      </c>
      <c r="C20" s="91" t="s">
        <v>262</v>
      </c>
    </row>
    <row r="21" spans="2:3">
      <c r="B21" s="90">
        <v>2016</v>
      </c>
      <c r="C21" s="92">
        <v>3.0099999999999998E-2</v>
      </c>
    </row>
    <row r="22" spans="2:3">
      <c r="B22" s="90">
        <v>2017</v>
      </c>
      <c r="C22" s="92">
        <v>0.28649999999999998</v>
      </c>
    </row>
    <row r="23" spans="2:3">
      <c r="B23" s="90">
        <v>2018</v>
      </c>
      <c r="C23" s="92">
        <v>3.15E-2</v>
      </c>
    </row>
    <row r="24" spans="2:3">
      <c r="B24" s="90">
        <v>2019</v>
      </c>
      <c r="C24" s="92">
        <v>0.1202</v>
      </c>
    </row>
    <row r="25" spans="2:3">
      <c r="B25" s="90">
        <v>2020</v>
      </c>
      <c r="C25" s="92">
        <v>0.14899999999999999</v>
      </c>
    </row>
    <row r="26" spans="2:3">
      <c r="B26" s="90">
        <v>2021</v>
      </c>
      <c r="C26" s="92">
        <v>0.2412</v>
      </c>
    </row>
    <row r="27" spans="2:3">
      <c r="B27" s="90">
        <v>2022</v>
      </c>
      <c r="C27" s="92">
        <v>4.3200000000000002E-2</v>
      </c>
    </row>
    <row r="28" spans="2:3">
      <c r="B28" s="90">
        <v>2023</v>
      </c>
      <c r="C28" s="92">
        <v>0.19420000000000001</v>
      </c>
    </row>
    <row r="29" spans="2:3">
      <c r="B29" s="90">
        <v>2024</v>
      </c>
      <c r="C29" s="92">
        <v>8.7499999999999994E-2</v>
      </c>
    </row>
  </sheetData>
  <sheetProtection algorithmName="SHA-512" hashValue="IwTO0OMtvZAo2jwgyySUO6qy/YJhgb5/5Tpw7m8FL3cM9l73Y/RBds96+3jukGtzCHXQ0wyk8LaEgJWPgHBKIQ==" saltValue="Er6aL5i1DaThOFuGGBvTrQ==" spinCount="100000" sheet="1" objects="1" scenarios="1"/>
  <mergeCells count="1">
    <mergeCell ref="B2:C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4A43-8E98-4246-8686-9138BFFC2BF5}">
  <dimension ref="A2:L37"/>
  <sheetViews>
    <sheetView showGridLines="0" workbookViewId="0">
      <pane ySplit="3" topLeftCell="A14" activePane="bottomLeft" state="frozen"/>
      <selection pane="bottomLeft" activeCell="N11" sqref="N11"/>
    </sheetView>
  </sheetViews>
  <sheetFormatPr defaultRowHeight="14.4"/>
  <cols>
    <col min="1" max="1" width="1.88671875" customWidth="1"/>
    <col min="2" max="2" width="23.21875" customWidth="1"/>
  </cols>
  <sheetData>
    <row r="2" spans="1:12">
      <c r="A2" t="s">
        <v>94</v>
      </c>
      <c r="B2" s="119" t="str">
        <f>"Common Size Statement - "&amp;'Data Sheet'!A1</f>
        <v>Common Size Statement - GODREJ CONSUMER PRODUCTS LTD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</row>
    <row r="3" spans="1:12" ht="14.4" customHeight="1">
      <c r="B3" s="25" t="s">
        <v>149</v>
      </c>
      <c r="C3" s="26">
        <f>'3 Statements'!C3</f>
        <v>42094</v>
      </c>
      <c r="D3" s="26">
        <f>'3 Statements'!D3</f>
        <v>42460</v>
      </c>
      <c r="E3" s="26">
        <f>'3 Statements'!E3</f>
        <v>42825</v>
      </c>
      <c r="F3" s="26">
        <f>'3 Statements'!F3</f>
        <v>43190</v>
      </c>
      <c r="G3" s="26">
        <f>'3 Statements'!G3</f>
        <v>43555</v>
      </c>
      <c r="H3" s="26">
        <f>'3 Statements'!H3</f>
        <v>43921</v>
      </c>
      <c r="I3" s="26">
        <f>'3 Statements'!I3</f>
        <v>44286</v>
      </c>
      <c r="J3" s="26">
        <f>'3 Statements'!J3</f>
        <v>44651</v>
      </c>
      <c r="K3" s="26">
        <f>'3 Statements'!K3</f>
        <v>45016</v>
      </c>
      <c r="L3" s="26">
        <f>'3 Statements'!L3</f>
        <v>45382</v>
      </c>
    </row>
    <row r="4" spans="1:12" ht="9" customHeight="1"/>
    <row r="5" spans="1:12">
      <c r="B5" s="6" t="s">
        <v>5</v>
      </c>
      <c r="C5" s="29">
        <f>'Data Sheet'!B17/'Data Sheet'!B$17</f>
        <v>1</v>
      </c>
      <c r="D5" s="29">
        <f>'Data Sheet'!C17/'Data Sheet'!C$17</f>
        <v>1</v>
      </c>
      <c r="E5" s="29">
        <f>'Data Sheet'!D17/'Data Sheet'!D$17</f>
        <v>1</v>
      </c>
      <c r="F5" s="29">
        <f>'Data Sheet'!E17/'Data Sheet'!E$17</f>
        <v>1</v>
      </c>
      <c r="G5" s="29">
        <f>'Data Sheet'!F17/'Data Sheet'!F$17</f>
        <v>1</v>
      </c>
      <c r="H5" s="29">
        <f>'Data Sheet'!G17/'Data Sheet'!G$17</f>
        <v>1</v>
      </c>
      <c r="I5" s="29">
        <f>'Data Sheet'!H17/'Data Sheet'!H$17</f>
        <v>1</v>
      </c>
      <c r="J5" s="29">
        <f>'Data Sheet'!I17/'Data Sheet'!I$17</f>
        <v>1</v>
      </c>
      <c r="K5" s="29">
        <f>'Data Sheet'!J17/'Data Sheet'!J$17</f>
        <v>1</v>
      </c>
      <c r="L5" s="29">
        <f>'Data Sheet'!K17/'Data Sheet'!K$17</f>
        <v>1</v>
      </c>
    </row>
    <row r="6" spans="1:12">
      <c r="B6" s="4" t="s">
        <v>79</v>
      </c>
      <c r="C6" s="29">
        <f>'Data Sheet'!B18/'Data Sheet'!B$17</f>
        <v>0.46010044541680017</v>
      </c>
      <c r="D6" s="29">
        <f>'Data Sheet'!C18/'Data Sheet'!C$17</f>
        <v>0.46999007583203944</v>
      </c>
      <c r="E6" s="29">
        <f>'Data Sheet'!D18/'Data Sheet'!D$17</f>
        <v>0.46028176794983988</v>
      </c>
      <c r="F6" s="29">
        <f>'Data Sheet'!E18/'Data Sheet'!E$17</f>
        <v>0.42837166651603509</v>
      </c>
      <c r="G6" s="29">
        <f>'Data Sheet'!F18/'Data Sheet'!F$17</f>
        <v>0.42657019256685352</v>
      </c>
      <c r="H6" s="29">
        <f>'Data Sheet'!G18/'Data Sheet'!G$17</f>
        <v>0.44747447229285225</v>
      </c>
      <c r="I6" s="29">
        <f>'Data Sheet'!H18/'Data Sheet'!H$17</f>
        <v>0.45080617520596411</v>
      </c>
      <c r="J6" s="29">
        <f>'Data Sheet'!I18/'Data Sheet'!I$17</f>
        <v>0.4998680405653077</v>
      </c>
      <c r="K6" s="29">
        <f>'Data Sheet'!J18/'Data Sheet'!J$17</f>
        <v>0.4873734320518896</v>
      </c>
      <c r="L6" s="29">
        <f>'Data Sheet'!K18/'Data Sheet'!K$17</f>
        <v>0.44930338937479913</v>
      </c>
    </row>
    <row r="7" spans="1:12">
      <c r="B7" s="4" t="s">
        <v>80</v>
      </c>
      <c r="C7" s="29">
        <f>'Data Sheet'!B19/'Data Sheet'!B$17</f>
        <v>-4.2353879719333022E-3</v>
      </c>
      <c r="D7" s="29">
        <f>'Data Sheet'!C19/'Data Sheet'!C$17</f>
        <v>1.0909462148083783E-2</v>
      </c>
      <c r="E7" s="29">
        <f>'Data Sheet'!D19/'Data Sheet'!D$17</f>
        <v>1.438619926175373E-2</v>
      </c>
      <c r="F7" s="29">
        <f>'Data Sheet'!E19/'Data Sheet'!E$17</f>
        <v>-5.6867629422092869E-3</v>
      </c>
      <c r="G7" s="29">
        <f>'Data Sheet'!F19/'Data Sheet'!F$17</f>
        <v>-1.4983023635055659E-2</v>
      </c>
      <c r="H7" s="29">
        <f>'Data Sheet'!G19/'Data Sheet'!G$17</f>
        <v>1.747083989183517E-2</v>
      </c>
      <c r="I7" s="29">
        <f>'Data Sheet'!H19/'Data Sheet'!H$17</f>
        <v>3.8400089947790384E-3</v>
      </c>
      <c r="J7" s="29">
        <f>'Data Sheet'!I19/'Data Sheet'!I$17</f>
        <v>5.0128293894839736E-3</v>
      </c>
      <c r="K7" s="29">
        <f>'Data Sheet'!J19/'Data Sheet'!J$17</f>
        <v>-1.5991324702593953E-2</v>
      </c>
      <c r="L7" s="29">
        <f>'Data Sheet'!K19/'Data Sheet'!K$17</f>
        <v>9.3146265175285945E-4</v>
      </c>
    </row>
    <row r="8" spans="1:12">
      <c r="B8" s="4" t="s">
        <v>81</v>
      </c>
      <c r="C8" s="29">
        <f>'Data Sheet'!B20/'Data Sheet'!B$17</f>
        <v>1.3286354048941455E-2</v>
      </c>
      <c r="D8" s="29">
        <f>'Data Sheet'!C20/'Data Sheet'!C$17</f>
        <v>1.3056928636210392E-2</v>
      </c>
      <c r="E8" s="29">
        <f>'Data Sheet'!D20/'Data Sheet'!D$17</f>
        <v>9.6051860667615459E-3</v>
      </c>
      <c r="F8" s="29">
        <f>'Data Sheet'!E20/'Data Sheet'!E$17</f>
        <v>1.0267653590835375E-2</v>
      </c>
      <c r="G8" s="29">
        <f>'Data Sheet'!F20/'Data Sheet'!F$17</f>
        <v>1.1565451594576096E-2</v>
      </c>
      <c r="H8" s="29">
        <f>'Data Sheet'!G20/'Data Sheet'!G$17</f>
        <v>1.1935464341930017E-2</v>
      </c>
      <c r="I8" s="29">
        <f>'Data Sheet'!H20/'Data Sheet'!H$17</f>
        <v>9.6322114643536544E-3</v>
      </c>
      <c r="J8" s="29">
        <f>'Data Sheet'!I20/'Data Sheet'!I$17</f>
        <v>1.0873620331527716E-2</v>
      </c>
      <c r="K8" s="29">
        <f>'Data Sheet'!J20/'Data Sheet'!J$17</f>
        <v>1.1612372211712704E-2</v>
      </c>
      <c r="L8" s="29">
        <f>'Data Sheet'!K20/'Data Sheet'!K$17</f>
        <v>1.070153396930075E-2</v>
      </c>
    </row>
    <row r="9" spans="1:12">
      <c r="B9" s="4" t="s">
        <v>82</v>
      </c>
      <c r="C9" s="29">
        <f>'Data Sheet'!B21/'Data Sheet'!B$17</f>
        <v>2.7071913358273452E-2</v>
      </c>
      <c r="D9" s="29">
        <f>'Data Sheet'!C21/'Data Sheet'!C$17</f>
        <v>2.8042897097299582E-2</v>
      </c>
      <c r="E9" s="29">
        <f>'Data Sheet'!D21/'Data Sheet'!D$17</f>
        <v>3.2677270279922878E-2</v>
      </c>
      <c r="F9" s="29">
        <f>'Data Sheet'!E21/'Data Sheet'!E$17</f>
        <v>3.2368851568378751E-2</v>
      </c>
      <c r="G9" s="29">
        <f>'Data Sheet'!F21/'Data Sheet'!F$17</f>
        <v>3.1974900963125129E-2</v>
      </c>
      <c r="H9" s="29">
        <f>'Data Sheet'!G21/'Data Sheet'!G$17</f>
        <v>3.8209831698752882E-2</v>
      </c>
      <c r="I9" s="29">
        <f>'Data Sheet'!H21/'Data Sheet'!H$17</f>
        <v>3.6019919083257919E-2</v>
      </c>
      <c r="J9" s="29">
        <f>'Data Sheet'!I21/'Data Sheet'!I$17</f>
        <v>3.5050706634627136E-2</v>
      </c>
      <c r="K9" s="29">
        <f>'Data Sheet'!J21/'Data Sheet'!J$17</f>
        <v>3.296117368843577E-2</v>
      </c>
      <c r="L9" s="29">
        <f>'Data Sheet'!K21/'Data Sheet'!K$17</f>
        <v>2.9825959076653061E-2</v>
      </c>
    </row>
    <row r="10" spans="1:12">
      <c r="B10" s="4" t="s">
        <v>83</v>
      </c>
      <c r="C10" s="29">
        <f>'Data Sheet'!B22/'Data Sheet'!B$17</f>
        <v>9.3912234155067914E-2</v>
      </c>
      <c r="D10" s="29">
        <f>'Data Sheet'!C22/'Data Sheet'!C$17</f>
        <v>0.11207780737617346</v>
      </c>
      <c r="E10" s="29">
        <f>'Data Sheet'!D22/'Data Sheet'!D$17</f>
        <v>0.10665403526792988</v>
      </c>
      <c r="F10" s="29">
        <f>'Data Sheet'!E22/'Data Sheet'!E$17</f>
        <v>0.10737928576288433</v>
      </c>
      <c r="G10" s="29">
        <f>'Data Sheet'!F22/'Data Sheet'!F$17</f>
        <v>0.10358491187996519</v>
      </c>
      <c r="H10" s="29">
        <f>'Data Sheet'!G22/'Data Sheet'!G$17</f>
        <v>0.10279896678371071</v>
      </c>
      <c r="I10" s="29">
        <f>'Data Sheet'!H22/'Data Sheet'!H$17</f>
        <v>0.10185680529386268</v>
      </c>
      <c r="J10" s="29">
        <f>'Data Sheet'!I22/'Data Sheet'!I$17</f>
        <v>8.9939314951329785E-2</v>
      </c>
      <c r="K10" s="29">
        <f>'Data Sheet'!J22/'Data Sheet'!J$17</f>
        <v>8.3469698414760624E-2</v>
      </c>
      <c r="L10" s="29">
        <f>'Data Sheet'!K22/'Data Sheet'!K$17</f>
        <v>8.8630125616216096E-2</v>
      </c>
    </row>
    <row r="11" spans="1:12">
      <c r="B11" s="4" t="s">
        <v>84</v>
      </c>
      <c r="C11" s="29">
        <f>'Data Sheet'!B23/'Data Sheet'!B$17</f>
        <v>0.21984975493010522</v>
      </c>
      <c r="D11" s="29">
        <f>'Data Sheet'!C23/'Data Sheet'!C$17</f>
        <v>0.17390798539390401</v>
      </c>
      <c r="E11" s="29">
        <f>'Data Sheet'!D23/'Data Sheet'!D$17</f>
        <v>0.17796784819878486</v>
      </c>
      <c r="F11" s="29">
        <f>'Data Sheet'!E23/'Data Sheet'!E$17</f>
        <v>0.18032725289745649</v>
      </c>
      <c r="G11" s="29">
        <f>'Data Sheet'!F23/'Data Sheet'!F$17</f>
        <v>0.1831295070746165</v>
      </c>
      <c r="H11" s="29">
        <f>'Data Sheet'!G23/'Data Sheet'!G$17</f>
        <v>0.17860616700972679</v>
      </c>
      <c r="I11" s="29">
        <f>'Data Sheet'!H23/'Data Sheet'!H$17</f>
        <v>0.16400329324974475</v>
      </c>
      <c r="J11" s="29">
        <f>'Data Sheet'!I23/'Data Sheet'!I$17</f>
        <v>0.14959393964077711</v>
      </c>
      <c r="K11" s="29">
        <f>'Data Sheet'!J23/'Data Sheet'!J$17</f>
        <v>0.16104271787935839</v>
      </c>
      <c r="L11" s="29">
        <f>'Data Sheet'!K23/'Data Sheet'!K$17</f>
        <v>0.18726159202787149</v>
      </c>
    </row>
    <row r="12" spans="1:12">
      <c r="B12" s="4" t="s">
        <v>85</v>
      </c>
      <c r="C12" s="29">
        <f>'Data Sheet'!B24/'Data Sheet'!B$17</f>
        <v>1.4866163432308128E-2</v>
      </c>
      <c r="D12" s="29">
        <f>'Data Sheet'!C24/'Data Sheet'!C$17</f>
        <v>1.7085950891988017E-2</v>
      </c>
      <c r="E12" s="29">
        <f>'Data Sheet'!D24/'Data Sheet'!D$17</f>
        <v>2.146762322896964E-2</v>
      </c>
      <c r="F12" s="29">
        <f>'Data Sheet'!E24/'Data Sheet'!E$17</f>
        <v>2.3929086066110647E-2</v>
      </c>
      <c r="G12" s="29">
        <f>'Data Sheet'!F24/'Data Sheet'!F$17</f>
        <v>2.1531188617012819E-2</v>
      </c>
      <c r="H12" s="29">
        <f>'Data Sheet'!G24/'Data Sheet'!G$17</f>
        <v>2.1132501917100539E-2</v>
      </c>
      <c r="I12" s="29">
        <f>'Data Sheet'!H24/'Data Sheet'!H$17</f>
        <v>2.3973080947570953E-2</v>
      </c>
      <c r="J12" s="29">
        <f>'Data Sheet'!I24/'Data Sheet'!I$17</f>
        <v>2.344397833258665E-2</v>
      </c>
      <c r="K12" s="29">
        <f>'Data Sheet'!J24/'Data Sheet'!J$17</f>
        <v>2.4070345607567455E-2</v>
      </c>
      <c r="L12" s="29">
        <f>'Data Sheet'!K24/'Data Sheet'!K$17</f>
        <v>2.5411975360578199E-2</v>
      </c>
    </row>
    <row r="13" spans="1:12">
      <c r="B13" s="6" t="s">
        <v>8</v>
      </c>
      <c r="C13" s="29">
        <f>'Data Sheet'!B25/'Data Sheet'!B$17</f>
        <v>8.8249336709717591E-3</v>
      </c>
      <c r="D13" s="29">
        <f>'Data Sheet'!C25/'Data Sheet'!C$17</f>
        <v>-3.1106805889922463E-2</v>
      </c>
      <c r="E13" s="29">
        <f>'Data Sheet'!D25/'Data Sheet'!D$17</f>
        <v>8.2197604422140497E-3</v>
      </c>
      <c r="F13" s="29">
        <f>'Data Sheet'!E25/'Data Sheet'!E$17</f>
        <v>2.8766896540518689E-2</v>
      </c>
      <c r="G13" s="29">
        <f>'Data Sheet'!F25/'Data Sheet'!F$17</f>
        <v>3.5091920568839106E-2</v>
      </c>
      <c r="H13" s="29">
        <f>'Data Sheet'!G25/'Data Sheet'!G$17</f>
        <v>3.2348549057593739E-3</v>
      </c>
      <c r="I13" s="29">
        <f>'Data Sheet'!H25/'Data Sheet'!H$17</f>
        <v>2.0492137728927102E-3</v>
      </c>
      <c r="J13" s="29">
        <f>'Data Sheet'!I25/'Data Sheet'!I$17</f>
        <v>6.3755956502260409E-3</v>
      </c>
      <c r="K13" s="29">
        <f>'Data Sheet'!J25/'Data Sheet'!J$17</f>
        <v>8.5836780947989525E-3</v>
      </c>
      <c r="L13" s="29">
        <f>'Data Sheet'!K25/'Data Sheet'!K$17</f>
        <v>-0.1566786865312487</v>
      </c>
    </row>
    <row r="14" spans="1:12">
      <c r="B14" s="6" t="s">
        <v>9</v>
      </c>
      <c r="C14" s="29">
        <f>'Data Sheet'!B26/'Data Sheet'!B$17</f>
        <v>1.0972845893039531E-2</v>
      </c>
      <c r="D14" s="29">
        <f>'Data Sheet'!C26/'Data Sheet'!C$17</f>
        <v>1.1945801697080207E-2</v>
      </c>
      <c r="E14" s="29">
        <f>'Data Sheet'!D26/'Data Sheet'!D$17</f>
        <v>1.5275288603363649E-2</v>
      </c>
      <c r="F14" s="29">
        <f>'Data Sheet'!E26/'Data Sheet'!E$17</f>
        <v>1.5809200979341818E-2</v>
      </c>
      <c r="G14" s="29">
        <f>'Data Sheet'!F26/'Data Sheet'!F$17</f>
        <v>1.6479968664984863E-2</v>
      </c>
      <c r="H14" s="29">
        <f>'Data Sheet'!G26/'Data Sheet'!G$17</f>
        <v>1.9905557573556124E-2</v>
      </c>
      <c r="I14" s="29">
        <f>'Data Sheet'!H26/'Data Sheet'!H$17</f>
        <v>1.8483726885140661E-2</v>
      </c>
      <c r="J14" s="29">
        <f>'Data Sheet'!I26/'Data Sheet'!I$17</f>
        <v>1.7100150694416161E-2</v>
      </c>
      <c r="K14" s="29">
        <f>'Data Sheet'!J26/'Data Sheet'!J$17</f>
        <v>1.7744858241645182E-2</v>
      </c>
      <c r="L14" s="29">
        <f>'Data Sheet'!K26/'Data Sheet'!K$17</f>
        <v>1.7094077727827037E-2</v>
      </c>
    </row>
    <row r="15" spans="1:12">
      <c r="B15" s="6" t="s">
        <v>10</v>
      </c>
      <c r="C15" s="29">
        <f>'Data Sheet'!B27/'Data Sheet'!B$17</f>
        <v>1.3593371327728858E-2</v>
      </c>
      <c r="D15" s="29">
        <f>'Data Sheet'!C27/'Data Sheet'!C$17</f>
        <v>1.5199646718614226E-2</v>
      </c>
      <c r="E15" s="29">
        <f>'Data Sheet'!D27/'Data Sheet'!D$17</f>
        <v>1.6636976405683696E-2</v>
      </c>
      <c r="F15" s="29">
        <f>'Data Sheet'!E27/'Data Sheet'!E$17</f>
        <v>1.7580221438486997E-2</v>
      </c>
      <c r="G15" s="29">
        <f>'Data Sheet'!F27/'Data Sheet'!F$17</f>
        <v>2.3095030801776942E-2</v>
      </c>
      <c r="H15" s="29">
        <f>'Data Sheet'!G27/'Data Sheet'!G$17</f>
        <v>2.3018323445130565E-2</v>
      </c>
      <c r="I15" s="29">
        <f>'Data Sheet'!H27/'Data Sheet'!H$17</f>
        <v>1.2481162647729272E-2</v>
      </c>
      <c r="J15" s="29">
        <f>'Data Sheet'!I27/'Data Sheet'!I$17</f>
        <v>9.9588644972101181E-3</v>
      </c>
      <c r="K15" s="29">
        <f>'Data Sheet'!J27/'Data Sheet'!J$17</f>
        <v>1.4154432609866199E-2</v>
      </c>
      <c r="L15" s="29">
        <f>'Data Sheet'!K27/'Data Sheet'!K$17</f>
        <v>2.1961377997192132E-2</v>
      </c>
    </row>
    <row r="16" spans="1:12">
      <c r="B16" s="6" t="s">
        <v>11</v>
      </c>
      <c r="C16" s="29">
        <f>'Data Sheet'!B28/'Data Sheet'!B$17</f>
        <v>0.15093646313677378</v>
      </c>
      <c r="D16" s="29">
        <f>'Data Sheet'!C28/'Data Sheet'!C$17</f>
        <v>0.13849556261485207</v>
      </c>
      <c r="E16" s="29">
        <f>'Data Sheet'!D28/'Data Sheet'!D$17</f>
        <v>0.18203996370271183</v>
      </c>
      <c r="F16" s="29">
        <f>'Data Sheet'!E28/'Data Sheet'!E$17</f>
        <v>0.20704691477877984</v>
      </c>
      <c r="G16" s="29">
        <f>'Data Sheet'!F28/'Data Sheet'!F$17</f>
        <v>0.20217774477087239</v>
      </c>
      <c r="H16" s="29">
        <f>'Data Sheet'!G28/'Data Sheet'!G$17</f>
        <v>0.17762440973483476</v>
      </c>
      <c r="I16" s="29">
        <f>'Data Sheet'!H28/'Data Sheet'!H$17</f>
        <v>0.1886328479900477</v>
      </c>
      <c r="J16" s="29">
        <f>'Data Sheet'!I28/'Data Sheet'!I$17</f>
        <v>0.1755598093919277</v>
      </c>
      <c r="K16" s="29">
        <f>'Data Sheet'!J28/'Data Sheet'!J$17</f>
        <v>0.16016332268696912</v>
      </c>
      <c r="L16" s="29">
        <f>'Data Sheet'!K28/'Data Sheet'!K$17</f>
        <v>1.4062744970066208E-2</v>
      </c>
    </row>
    <row r="17" spans="1:12">
      <c r="B17" s="6" t="s">
        <v>12</v>
      </c>
      <c r="C17" s="29">
        <f>'Data Sheet'!B29/'Data Sheet'!B$17</f>
        <v>3.2912494031898373E-2</v>
      </c>
      <c r="D17" s="29">
        <f>'Data Sheet'!C29/'Data Sheet'!C$17</f>
        <v>3.9892543578493526E-2</v>
      </c>
      <c r="E17" s="29">
        <f>'Data Sheet'!D29/'Data Sheet'!D$17</f>
        <v>4.0911057617089512E-2</v>
      </c>
      <c r="F17" s="29">
        <f>'Data Sheet'!E29/'Data Sheet'!E$17</f>
        <v>4.1097017191287472E-2</v>
      </c>
      <c r="G17" s="29">
        <f>'Data Sheet'!F29/'Data Sheet'!F$17</f>
        <v>-2.4839204447400415E-2</v>
      </c>
      <c r="H17" s="29">
        <f>'Data Sheet'!G29/'Data Sheet'!G$17</f>
        <v>2.6619445453444728E-2</v>
      </c>
      <c r="I17" s="29">
        <f>'Data Sheet'!H29/'Data Sheet'!H$17</f>
        <v>3.2600633624152435E-2</v>
      </c>
      <c r="J17" s="29">
        <f>'Data Sheet'!I29/'Data Sheet'!I$17</f>
        <v>3.0291206777175905E-2</v>
      </c>
      <c r="K17" s="29">
        <f>'Data Sheet'!J29/'Data Sheet'!J$17</f>
        <v>3.2312328730088762E-2</v>
      </c>
      <c r="L17" s="29">
        <f>'Data Sheet'!K29/'Data Sheet'!K$17</f>
        <v>5.3829035102592127E-2</v>
      </c>
    </row>
    <row r="18" spans="1:12">
      <c r="B18" s="6" t="s">
        <v>13</v>
      </c>
      <c r="C18" s="29">
        <f>'Data Sheet'!B30/'Data Sheet'!B$17</f>
        <v>0.10964626532820027</v>
      </c>
      <c r="D18" s="29">
        <f>'Data Sheet'!C30/'Data Sheet'!C$17</f>
        <v>9.8245701505719471E-2</v>
      </c>
      <c r="E18" s="29">
        <f>'Data Sheet'!D30/'Data Sheet'!D$17</f>
        <v>0.14070917822896423</v>
      </c>
      <c r="F18" s="29">
        <f>'Data Sheet'!E30/'Data Sheet'!E$17</f>
        <v>0.16594989758749237</v>
      </c>
      <c r="G18" s="29">
        <f>'Data Sheet'!F30/'Data Sheet'!F$17</f>
        <v>0.22701694921827284</v>
      </c>
      <c r="H18" s="29">
        <f>'Data Sheet'!G30/'Data Sheet'!G$17</f>
        <v>0.15100496428139001</v>
      </c>
      <c r="I18" s="29">
        <f>'Data Sheet'!H30/'Data Sheet'!H$17</f>
        <v>0.15603221436589526</v>
      </c>
      <c r="J18" s="29">
        <f>'Data Sheet'!I30/'Data Sheet'!I$17</f>
        <v>0.14526860261475177</v>
      </c>
      <c r="K18" s="29">
        <f>'Data Sheet'!J30/'Data Sheet'!J$17</f>
        <v>0.12785099395688035</v>
      </c>
      <c r="L18" s="29">
        <f>'Data Sheet'!K30/'Data Sheet'!K$17</f>
        <v>-3.9766290132525917E-2</v>
      </c>
    </row>
    <row r="19" spans="1:12">
      <c r="B19" s="6" t="s">
        <v>69</v>
      </c>
      <c r="C19" s="29">
        <f>'Data Sheet'!B31/'Data Sheet'!B$17</f>
        <v>2.2629832651408471E-2</v>
      </c>
      <c r="D19" s="29">
        <f>'Data Sheet'!C31/'Data Sheet'!C$17</f>
        <v>2.3242258911570442E-2</v>
      </c>
      <c r="E19" s="29">
        <f>'Data Sheet'!D31/'Data Sheet'!D$17</f>
        <v>5.5125697163653939E-2</v>
      </c>
      <c r="F19" s="29">
        <f>'Data Sheet'!E31/'Data Sheet'!E$17</f>
        <v>6.9185564152271201E-2</v>
      </c>
      <c r="G19" s="29">
        <f>'Data Sheet'!F31/'Data Sheet'!F$17</f>
        <v>9.9104741553991821E-2</v>
      </c>
      <c r="H19" s="29">
        <f>'Data Sheet'!G31/'Data Sheet'!G$17</f>
        <v>8.252007910562216E-2</v>
      </c>
      <c r="I19" s="29">
        <f>'Data Sheet'!H31/'Data Sheet'!H$17</f>
        <v>0</v>
      </c>
      <c r="J19" s="29">
        <f>'Data Sheet'!I31/'Data Sheet'!I$17</f>
        <v>0</v>
      </c>
      <c r="K19" s="29">
        <f>'Data Sheet'!J31/'Data Sheet'!J$17</f>
        <v>0</v>
      </c>
      <c r="L19" s="29">
        <f>'Data Sheet'!K31/'Data Sheet'!K$17</f>
        <v>0.10883853772423739</v>
      </c>
    </row>
    <row r="21" spans="1:12">
      <c r="B21" s="119" t="str">
        <f>"Common Size Statement - "&amp;'Data Sheet'!A1</f>
        <v>Common Size Statement - GODREJ CONSUMER PRODUCTS LTD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</row>
    <row r="22" spans="1:12">
      <c r="A22" t="s">
        <v>94</v>
      </c>
      <c r="B22" s="25" t="s">
        <v>149</v>
      </c>
      <c r="C22" s="26">
        <f>C3</f>
        <v>42094</v>
      </c>
      <c r="D22" s="26">
        <f t="shared" ref="D22:L22" si="0">D3</f>
        <v>42460</v>
      </c>
      <c r="E22" s="26">
        <f t="shared" si="0"/>
        <v>42825</v>
      </c>
      <c r="F22" s="26">
        <f t="shared" si="0"/>
        <v>43190</v>
      </c>
      <c r="G22" s="26">
        <f t="shared" si="0"/>
        <v>43555</v>
      </c>
      <c r="H22" s="26">
        <f t="shared" si="0"/>
        <v>43921</v>
      </c>
      <c r="I22" s="26">
        <f t="shared" si="0"/>
        <v>44286</v>
      </c>
      <c r="J22" s="26">
        <f t="shared" si="0"/>
        <v>44651</v>
      </c>
      <c r="K22" s="26">
        <f t="shared" si="0"/>
        <v>45016</v>
      </c>
      <c r="L22" s="26">
        <f t="shared" si="0"/>
        <v>45382</v>
      </c>
    </row>
    <row r="23" spans="1:12" ht="9" customHeight="1"/>
    <row r="24" spans="1:12">
      <c r="B24" s="1" t="s">
        <v>271</v>
      </c>
      <c r="C24" s="29">
        <f>'Data Sheet'!B57/'Data Sheet'!B$57</f>
        <v>1</v>
      </c>
      <c r="D24" s="29">
        <f>'Data Sheet'!C57/'Data Sheet'!C$57</f>
        <v>1</v>
      </c>
      <c r="E24" s="29">
        <f>'Data Sheet'!D57/'Data Sheet'!D$57</f>
        <v>1</v>
      </c>
      <c r="F24" s="29">
        <f>'Data Sheet'!E57/'Data Sheet'!E$57</f>
        <v>1</v>
      </c>
      <c r="G24" s="29">
        <f>'Data Sheet'!F57/'Data Sheet'!F$57</f>
        <v>1</v>
      </c>
      <c r="H24" s="29">
        <f>'Data Sheet'!G57/'Data Sheet'!G$57</f>
        <v>1</v>
      </c>
      <c r="I24" s="29">
        <f>'Data Sheet'!H57/'Data Sheet'!H$57</f>
        <v>1</v>
      </c>
      <c r="J24" s="29">
        <f>'Data Sheet'!I57/'Data Sheet'!I$57</f>
        <v>1</v>
      </c>
      <c r="K24" s="29">
        <f>'Data Sheet'!J57/'Data Sheet'!J$57</f>
        <v>1</v>
      </c>
      <c r="L24" s="29">
        <f>'Data Sheet'!K57/'Data Sheet'!K$57</f>
        <v>1</v>
      </c>
    </row>
    <row r="25" spans="1:12">
      <c r="B25" s="6" t="s">
        <v>23</v>
      </c>
      <c r="C25" s="29">
        <f>'Data Sheet'!B58/'Data Sheet'!B$57</f>
        <v>3.7304027826788322E-3</v>
      </c>
      <c r="D25" s="29">
        <f>'Data Sheet'!C58/'Data Sheet'!C$57</f>
        <v>3.5180199075499495E-3</v>
      </c>
      <c r="E25" s="29">
        <f>'Data Sheet'!D58/'Data Sheet'!D$57</f>
        <v>2.6320975251637336E-3</v>
      </c>
      <c r="F25" s="29">
        <f>'Data Sheet'!E58/'Data Sheet'!E$57</f>
        <v>4.914247711841728E-3</v>
      </c>
      <c r="G25" s="29">
        <f>'Data Sheet'!F58/'Data Sheet'!F$57</f>
        <v>7.2529632349549976E-3</v>
      </c>
      <c r="H25" s="29">
        <f>'Data Sheet'!G58/'Data Sheet'!G$57</f>
        <v>6.8701664215995934E-3</v>
      </c>
      <c r="I25" s="29">
        <f>'Data Sheet'!H58/'Data Sheet'!H$57</f>
        <v>7.1785669403999913E-3</v>
      </c>
      <c r="J25" s="29">
        <f>'Data Sheet'!I58/'Data Sheet'!I$57</f>
        <v>6.3586144115328081E-3</v>
      </c>
      <c r="K25" s="29">
        <f>'Data Sheet'!J58/'Data Sheet'!J$57</f>
        <v>5.8650269595108412E-3</v>
      </c>
      <c r="L25" s="29">
        <f>'Data Sheet'!K58/'Data Sheet'!K$57</f>
        <v>5.5610893384543773E-3</v>
      </c>
    </row>
    <row r="26" spans="1:12">
      <c r="B26" s="6" t="s">
        <v>24</v>
      </c>
      <c r="C26" s="29">
        <f>'Data Sheet'!B59/'Data Sheet'!B$57</f>
        <v>0.46867294537436627</v>
      </c>
      <c r="D26" s="29">
        <f>'Data Sheet'!C59/'Data Sheet'!C$57</f>
        <v>0.43734101752914117</v>
      </c>
      <c r="E26" s="29">
        <f>'Data Sheet'!D59/'Data Sheet'!D$57</f>
        <v>0.40709337145727481</v>
      </c>
      <c r="F26" s="29">
        <f>'Data Sheet'!E59/'Data Sheet'!E$57</f>
        <v>0.44650048291337785</v>
      </c>
      <c r="G26" s="29">
        <f>'Data Sheet'!F59/'Data Sheet'!F$57</f>
        <v>0.50836730277325448</v>
      </c>
      <c r="H26" s="29">
        <f>'Data Sheet'!G59/'Data Sheet'!G$57</f>
        <v>0.52392360896434742</v>
      </c>
      <c r="I26" s="29">
        <f>'Data Sheet'!H59/'Data Sheet'!H$57</f>
        <v>0.65548916404973667</v>
      </c>
      <c r="J26" s="29">
        <f>'Data Sheet'!I59/'Data Sheet'!I$57</f>
        <v>0.71219901356288839</v>
      </c>
      <c r="K26" s="29">
        <f>'Data Sheet'!J59/'Data Sheet'!J$57</f>
        <v>0.78521281439859247</v>
      </c>
      <c r="L26" s="29">
        <f>'Data Sheet'!K59/'Data Sheet'!K$57</f>
        <v>0.67943864967964474</v>
      </c>
    </row>
    <row r="27" spans="1:12">
      <c r="B27" s="6" t="s">
        <v>70</v>
      </c>
      <c r="C27" s="29">
        <f>'Data Sheet'!B60/'Data Sheet'!B$57</f>
        <v>0.29776921036885401</v>
      </c>
      <c r="D27" s="29">
        <f>'Data Sheet'!C60/'Data Sheet'!C$57</f>
        <v>0.29870830294025874</v>
      </c>
      <c r="E27" s="29">
        <f>'Data Sheet'!D60/'Data Sheet'!D$57</f>
        <v>0.30918490755588185</v>
      </c>
      <c r="F27" s="29">
        <f>'Data Sheet'!E60/'Data Sheet'!E$57</f>
        <v>0.25300261040106697</v>
      </c>
      <c r="G27" s="29">
        <f>'Data Sheet'!F60/'Data Sheet'!F$57</f>
        <v>0.23997147631363286</v>
      </c>
      <c r="H27" s="29">
        <f>'Data Sheet'!G60/'Data Sheet'!G$57</f>
        <v>0.24024883940355959</v>
      </c>
      <c r="I27" s="29">
        <f>'Data Sheet'!H60/'Data Sheet'!H$57</f>
        <v>0.13086194053689362</v>
      </c>
      <c r="J27" s="29">
        <f>'Data Sheet'!I60/'Data Sheet'!I$57</f>
        <v>0.10597732139792514</v>
      </c>
      <c r="K27" s="29">
        <f>'Data Sheet'!J60/'Data Sheet'!J$57</f>
        <v>6.4779672953204803E-2</v>
      </c>
      <c r="L27" s="29">
        <f>'Data Sheet'!K60/'Data Sheet'!K$57</f>
        <v>0.17519497522846789</v>
      </c>
    </row>
    <row r="28" spans="1:12">
      <c r="B28" s="6" t="s">
        <v>71</v>
      </c>
      <c r="C28" s="29">
        <f>'Data Sheet'!B61/'Data Sheet'!B$57</f>
        <v>0.22982744147410086</v>
      </c>
      <c r="D28" s="29">
        <f>'Data Sheet'!C61/'Data Sheet'!C$57</f>
        <v>0.26043265962305012</v>
      </c>
      <c r="E28" s="29">
        <f>'Data Sheet'!D61/'Data Sheet'!D$57</f>
        <v>0.28108962346167965</v>
      </c>
      <c r="F28" s="29">
        <f>'Data Sheet'!E61/'Data Sheet'!E$57</f>
        <v>0.2955826589737135</v>
      </c>
      <c r="G28" s="29">
        <f>'Data Sheet'!F61/'Data Sheet'!F$57</f>
        <v>0.24440825767815774</v>
      </c>
      <c r="H28" s="29">
        <f>'Data Sheet'!G61/'Data Sheet'!G$57</f>
        <v>0.22895738521049333</v>
      </c>
      <c r="I28" s="29">
        <f>'Data Sheet'!H61/'Data Sheet'!H$57</f>
        <v>0.20647032847296962</v>
      </c>
      <c r="J28" s="29">
        <f>'Data Sheet'!I61/'Data Sheet'!I$57</f>
        <v>0.17546505062765355</v>
      </c>
      <c r="K28" s="29">
        <f>'Data Sheet'!J61/'Data Sheet'!J$57</f>
        <v>0.14414248568869192</v>
      </c>
      <c r="L28" s="29">
        <f>'Data Sheet'!K61/'Data Sheet'!K$57</f>
        <v>0.13980528575343298</v>
      </c>
    </row>
    <row r="29" spans="1:12">
      <c r="B29" s="6"/>
    </row>
    <row r="30" spans="1:12">
      <c r="B30" s="1" t="s">
        <v>122</v>
      </c>
      <c r="C30" s="29">
        <f>'Data Sheet'!B62/'Data Sheet'!B$62</f>
        <v>1</v>
      </c>
      <c r="D30" s="29">
        <f>'Data Sheet'!C62/'Data Sheet'!C$62</f>
        <v>1</v>
      </c>
      <c r="E30" s="29">
        <f>'Data Sheet'!D62/'Data Sheet'!D$62</f>
        <v>1</v>
      </c>
      <c r="F30" s="29">
        <f>'Data Sheet'!E62/'Data Sheet'!E$62</f>
        <v>1</v>
      </c>
      <c r="G30" s="29">
        <f>'Data Sheet'!F62/'Data Sheet'!F$62</f>
        <v>1</v>
      </c>
      <c r="H30" s="29">
        <f>'Data Sheet'!G62/'Data Sheet'!G$62</f>
        <v>1</v>
      </c>
      <c r="I30" s="29">
        <f>'Data Sheet'!H62/'Data Sheet'!H$62</f>
        <v>1</v>
      </c>
      <c r="J30" s="29">
        <f>'Data Sheet'!I62/'Data Sheet'!I$62</f>
        <v>1</v>
      </c>
      <c r="K30" s="29">
        <f>'Data Sheet'!J62/'Data Sheet'!J$62</f>
        <v>1</v>
      </c>
      <c r="L30" s="29">
        <f>'Data Sheet'!K62/'Data Sheet'!K$62</f>
        <v>1</v>
      </c>
    </row>
    <row r="31" spans="1:12">
      <c r="B31" s="6" t="s">
        <v>26</v>
      </c>
      <c r="C31" s="29">
        <f>'Data Sheet'!B63/'Data Sheet'!B$62</f>
        <v>0.60832195436283976</v>
      </c>
      <c r="D31" s="29">
        <f>'Data Sheet'!C63/'Data Sheet'!C$62</f>
        <v>0.61282873597183107</v>
      </c>
      <c r="E31" s="29">
        <f>'Data Sheet'!D63/'Data Sheet'!D$62</f>
        <v>0.62463167249473539</v>
      </c>
      <c r="F31" s="29">
        <f>'Data Sheet'!E63/'Data Sheet'!E$62</f>
        <v>0.5997647104647581</v>
      </c>
      <c r="G31" s="29">
        <f>'Data Sheet'!F63/'Data Sheet'!F$62</f>
        <v>0.6151934750293574</v>
      </c>
      <c r="H31" s="29">
        <f>'Data Sheet'!G63/'Data Sheet'!G$62</f>
        <v>0.62037811116457486</v>
      </c>
      <c r="I31" s="29">
        <f>'Data Sheet'!H63/'Data Sheet'!H$62</f>
        <v>0.62516858223829475</v>
      </c>
      <c r="J31" s="29">
        <f>'Data Sheet'!I63/'Data Sheet'!I$62</f>
        <v>0.57326397266032081</v>
      </c>
      <c r="K31" s="29">
        <f>'Data Sheet'!J63/'Data Sheet'!J$62</f>
        <v>0.56968009882286552</v>
      </c>
      <c r="L31" s="29">
        <f>'Data Sheet'!K63/'Data Sheet'!K$62</f>
        <v>0.56764868356379483</v>
      </c>
    </row>
    <row r="32" spans="1:12">
      <c r="B32" s="6" t="s">
        <v>27</v>
      </c>
      <c r="C32" s="29">
        <f>'Data Sheet'!B64/'Data Sheet'!B$62</f>
        <v>2.4614740570431625E-2</v>
      </c>
      <c r="D32" s="29">
        <f>'Data Sheet'!C64/'Data Sheet'!C$62</f>
        <v>4.5109177434252802E-3</v>
      </c>
      <c r="E32" s="29">
        <f>'Data Sheet'!D64/'Data Sheet'!D$62</f>
        <v>7.5292208419466397E-3</v>
      </c>
      <c r="F32" s="29">
        <f>'Data Sheet'!E64/'Data Sheet'!E$62</f>
        <v>6.050302334790608E-3</v>
      </c>
      <c r="G32" s="29">
        <f>'Data Sheet'!F64/'Data Sheet'!F$62</f>
        <v>3.6938883389919506E-3</v>
      </c>
      <c r="H32" s="29">
        <f>'Data Sheet'!G64/'Data Sheet'!G$62</f>
        <v>3.8332612020741544E-3</v>
      </c>
      <c r="I32" s="29">
        <f>'Data Sheet'!H64/'Data Sheet'!H$62</f>
        <v>4.0319325123439756E-3</v>
      </c>
      <c r="J32" s="29">
        <f>'Data Sheet'!I64/'Data Sheet'!I$62</f>
        <v>7.2403389602863303E-3</v>
      </c>
      <c r="K32" s="29">
        <f>'Data Sheet'!J64/'Data Sheet'!J$62</f>
        <v>2.6047670333527173E-3</v>
      </c>
      <c r="L32" s="29">
        <f>'Data Sheet'!K64/'Data Sheet'!K$62</f>
        <v>4.5323856790531573E-3</v>
      </c>
    </row>
    <row r="33" spans="2:12">
      <c r="B33" s="6" t="s">
        <v>28</v>
      </c>
      <c r="C33" s="29">
        <f>'Data Sheet'!B65/'Data Sheet'!B$62</f>
        <v>2.0349544439354651E-2</v>
      </c>
      <c r="D33" s="29">
        <f>'Data Sheet'!C65/'Data Sheet'!C$62</f>
        <v>1.9578994786511469E-2</v>
      </c>
      <c r="E33" s="29">
        <f>'Data Sheet'!D65/'Data Sheet'!D$62</f>
        <v>7.2142346554355599E-2</v>
      </c>
      <c r="F33" s="29">
        <f>'Data Sheet'!E65/'Data Sheet'!E$62</f>
        <v>7.1934257420600597E-2</v>
      </c>
      <c r="G33" s="29">
        <f>'Data Sheet'!F65/'Data Sheet'!F$62</f>
        <v>3.6611073860028175E-2</v>
      </c>
      <c r="H33" s="29">
        <f>'Data Sheet'!G65/'Data Sheet'!G$62</f>
        <v>4.5159096468614837E-2</v>
      </c>
      <c r="I33" s="29">
        <f>'Data Sheet'!H65/'Data Sheet'!H$62</f>
        <v>4.7676917449639457E-2</v>
      </c>
      <c r="J33" s="29">
        <f>'Data Sheet'!I65/'Data Sheet'!I$62</f>
        <v>6.3140307372411095E-2</v>
      </c>
      <c r="K33" s="29">
        <f>'Data Sheet'!J65/'Data Sheet'!J$62</f>
        <v>0.17370733704721958</v>
      </c>
      <c r="L33" s="29">
        <f>'Data Sheet'!K65/'Data Sheet'!K$62</f>
        <v>0.19049884515508847</v>
      </c>
    </row>
    <row r="34" spans="2:12">
      <c r="B34" s="6" t="s">
        <v>72</v>
      </c>
      <c r="C34" s="29">
        <f>'Data Sheet'!B66/'Data Sheet'!B$62</f>
        <v>0.34671376062737397</v>
      </c>
      <c r="D34" s="29">
        <f>'Data Sheet'!C66/'Data Sheet'!C$62</f>
        <v>0.36308135149823223</v>
      </c>
      <c r="E34" s="29">
        <f>'Data Sheet'!D66/'Data Sheet'!D$62</f>
        <v>0.29569676010896234</v>
      </c>
      <c r="F34" s="29">
        <f>'Data Sheet'!E66/'Data Sheet'!E$62</f>
        <v>0.32225072977985059</v>
      </c>
      <c r="G34" s="29">
        <f>'Data Sheet'!F66/'Data Sheet'!F$62</f>
        <v>0.34450156277162247</v>
      </c>
      <c r="H34" s="29">
        <f>'Data Sheet'!G66/'Data Sheet'!G$62</f>
        <v>0.33062953116473609</v>
      </c>
      <c r="I34" s="29">
        <f>'Data Sheet'!H66/'Data Sheet'!H$62</f>
        <v>0.32312256779972182</v>
      </c>
      <c r="J34" s="29">
        <f>'Data Sheet'!I66/'Data Sheet'!I$62</f>
        <v>0.35635538100698166</v>
      </c>
      <c r="K34" s="29">
        <f>'Data Sheet'!J66/'Data Sheet'!J$62</f>
        <v>0.25400779709656218</v>
      </c>
      <c r="L34" s="29">
        <f>'Data Sheet'!K66/'Data Sheet'!K$62</f>
        <v>0.2373200856020635</v>
      </c>
    </row>
    <row r="35" spans="2:12">
      <c r="B35" s="6" t="s">
        <v>77</v>
      </c>
      <c r="C35" s="29">
        <f>'Data Sheet'!B67/'Data Sheet'!B$62</f>
        <v>8.8172957429134405E-2</v>
      </c>
      <c r="D35" s="29">
        <f>'Data Sheet'!C67/'Data Sheet'!C$62</f>
        <v>0.11551193647106958</v>
      </c>
      <c r="E35" s="29">
        <f>'Data Sheet'!D67/'Data Sheet'!D$62</f>
        <v>7.949923687718552E-2</v>
      </c>
      <c r="F35" s="29">
        <f>'Data Sheet'!E67/'Data Sheet'!E$62</f>
        <v>8.9838478278274958E-2</v>
      </c>
      <c r="G35" s="29">
        <f>'Data Sheet'!F67/'Data Sheet'!F$62</f>
        <v>9.1737000258983736E-2</v>
      </c>
      <c r="H35" s="29">
        <f>'Data Sheet'!G67/'Data Sheet'!G$62</f>
        <v>7.7770713991941007E-2</v>
      </c>
      <c r="I35" s="29">
        <f>'Data Sheet'!H67/'Data Sheet'!H$62</f>
        <v>7.0521960798354932E-2</v>
      </c>
      <c r="J35" s="29">
        <f>'Data Sheet'!I67/'Data Sheet'!I$62</f>
        <v>6.9413734010192685E-2</v>
      </c>
      <c r="K35" s="29">
        <f>'Data Sheet'!J67/'Data Sheet'!J$62</f>
        <v>7.1414889724647115E-2</v>
      </c>
      <c r="L35" s="29">
        <f>'Data Sheet'!K67/'Data Sheet'!K$62</f>
        <v>8.3479954415161289E-2</v>
      </c>
    </row>
    <row r="36" spans="2:12">
      <c r="B36" s="6" t="s">
        <v>44</v>
      </c>
      <c r="C36" s="29">
        <f>'Data Sheet'!B68/'Data Sheet'!B$62</f>
        <v>0.11744741381388753</v>
      </c>
      <c r="D36" s="29">
        <f>'Data Sheet'!C68/'Data Sheet'!C$62</f>
        <v>0.13503617206371904</v>
      </c>
      <c r="E36" s="29">
        <f>'Data Sheet'!D68/'Data Sheet'!D$62</f>
        <v>0.10915554181719828</v>
      </c>
      <c r="F36" s="29">
        <f>'Data Sheet'!E68/'Data Sheet'!E$62</f>
        <v>0.11380165712501</v>
      </c>
      <c r="G36" s="29">
        <f>'Data Sheet'!F68/'Data Sheet'!F$62</f>
        <v>0.11058888640548335</v>
      </c>
      <c r="H36" s="29">
        <f>'Data Sheet'!G68/'Data Sheet'!G$62</f>
        <v>0.11445483552728845</v>
      </c>
      <c r="I36" s="29">
        <f>'Data Sheet'!H68/'Data Sheet'!H$62</f>
        <v>0.12049110524656709</v>
      </c>
      <c r="J36" s="29">
        <f>'Data Sheet'!I68/'Data Sheet'!I$62</f>
        <v>0.1324358977547736</v>
      </c>
      <c r="K36" s="29">
        <f>'Data Sheet'!J68/'Data Sheet'!J$62</f>
        <v>8.8153184617308006E-2</v>
      </c>
      <c r="L36" s="29">
        <f>'Data Sheet'!K68/'Data Sheet'!K$62</f>
        <v>6.9101482812166978E-2</v>
      </c>
    </row>
    <row r="37" spans="2:12">
      <c r="B37" s="4" t="s">
        <v>86</v>
      </c>
      <c r="C37" s="29">
        <f>'Data Sheet'!B69/'Data Sheet'!B$62</f>
        <v>9.7996497541923189E-2</v>
      </c>
      <c r="D37" s="29">
        <f>'Data Sheet'!C69/'Data Sheet'!C$62</f>
        <v>7.788100517216083E-2</v>
      </c>
      <c r="E37" s="29">
        <f>'Data Sheet'!D69/'Data Sheet'!D$62</f>
        <v>7.0528776491953396E-2</v>
      </c>
      <c r="F37" s="29">
        <f>'Data Sheet'!E69/'Data Sheet'!E$62</f>
        <v>6.9260381555666314E-2</v>
      </c>
      <c r="G37" s="29">
        <f>'Data Sheet'!F69/'Data Sheet'!F$62</f>
        <v>6.3484359866747567E-2</v>
      </c>
      <c r="H37" s="29">
        <f>'Data Sheet'!G69/'Data Sheet'!G$62</f>
        <v>5.1757090592381323E-2</v>
      </c>
      <c r="I37" s="29">
        <f>'Data Sheet'!H69/'Data Sheet'!H$62</f>
        <v>4.7193197877812017E-2</v>
      </c>
      <c r="J37" s="29">
        <f>'Data Sheet'!I69/'Data Sheet'!I$62</f>
        <v>6.8882087684956961E-2</v>
      </c>
      <c r="K37" s="29">
        <f>'Data Sheet'!J69/'Data Sheet'!J$62</f>
        <v>2.2407190120466179E-2</v>
      </c>
      <c r="L37" s="29">
        <f>'Data Sheet'!K69/'Data Sheet'!K$62</f>
        <v>2.9737800183557272E-2</v>
      </c>
    </row>
  </sheetData>
  <sheetProtection algorithmName="SHA-512" hashValue="tBHYn0f6AlBb1661+JQEppJoSgFlHna6wkB0DREJ/CmNTv9FO4RlDXf6jgQf/bkvzPBwKhFRpYHXNte0JfZL7Q==" saltValue="FjCQfaN383Skg4Rr5/7zpQ==" spinCount="100000" sheet="1" objects="1" scenarios="1"/>
  <mergeCells count="2">
    <mergeCell ref="B2:L2"/>
    <mergeCell ref="B21:L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5DB-7CE0-4CB0-BEBE-460E0E74ECBE}">
  <sheetPr>
    <tabColor rgb="FFC00000"/>
  </sheetPr>
  <dimension ref="B2:N44"/>
  <sheetViews>
    <sheetView showGridLines="0" workbookViewId="0">
      <pane ySplit="2" topLeftCell="A5" activePane="bottomLeft" state="frozen"/>
      <selection pane="bottomLeft" activeCell="T33" sqref="T33"/>
    </sheetView>
  </sheetViews>
  <sheetFormatPr defaultRowHeight="14.4"/>
  <cols>
    <col min="1" max="1" width="1.88671875" customWidth="1"/>
    <col min="2" max="2" width="24.88671875" customWidth="1"/>
    <col min="3" max="6" width="9" bestFit="1" customWidth="1"/>
    <col min="7" max="14" width="10" bestFit="1" customWidth="1"/>
  </cols>
  <sheetData>
    <row r="2" spans="2:14" ht="15" thickBot="1">
      <c r="B2" s="45" t="s">
        <v>303</v>
      </c>
      <c r="C2" s="102">
        <v>41334</v>
      </c>
      <c r="D2" s="102">
        <v>41699</v>
      </c>
      <c r="E2" s="102">
        <v>42064</v>
      </c>
      <c r="F2" s="102">
        <v>42430</v>
      </c>
      <c r="G2" s="102">
        <v>42795</v>
      </c>
      <c r="H2" s="102">
        <v>43160</v>
      </c>
      <c r="I2" s="102">
        <v>43525</v>
      </c>
      <c r="J2" s="102">
        <v>43891</v>
      </c>
      <c r="K2" s="102">
        <v>44256</v>
      </c>
      <c r="L2" s="102">
        <v>44621</v>
      </c>
      <c r="M2" s="102">
        <v>44986</v>
      </c>
      <c r="N2" s="102">
        <v>45352</v>
      </c>
    </row>
    <row r="3" spans="2:14">
      <c r="B3" s="105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</row>
    <row r="4" spans="2:14">
      <c r="B4" s="103" t="s">
        <v>272</v>
      </c>
      <c r="C4" s="108">
        <v>34</v>
      </c>
      <c r="D4" s="108">
        <v>34</v>
      </c>
      <c r="E4" s="108">
        <v>34</v>
      </c>
      <c r="F4" s="108">
        <v>34</v>
      </c>
      <c r="G4" s="108">
        <v>34</v>
      </c>
      <c r="H4" s="108">
        <v>68</v>
      </c>
      <c r="I4" s="108">
        <v>102</v>
      </c>
      <c r="J4" s="108">
        <v>102</v>
      </c>
      <c r="K4" s="108">
        <v>102</v>
      </c>
      <c r="L4" s="108">
        <v>102</v>
      </c>
      <c r="M4" s="108">
        <v>102</v>
      </c>
      <c r="N4" s="108">
        <v>102</v>
      </c>
    </row>
    <row r="5" spans="2:14" ht="15" thickBot="1">
      <c r="B5" s="104" t="s">
        <v>24</v>
      </c>
      <c r="C5" s="109">
        <v>3279</v>
      </c>
      <c r="D5" s="109">
        <v>3741</v>
      </c>
      <c r="E5" s="109">
        <v>4277</v>
      </c>
      <c r="F5" s="109">
        <v>4233</v>
      </c>
      <c r="G5" s="109">
        <v>5268</v>
      </c>
      <c r="H5" s="109">
        <v>6190</v>
      </c>
      <c r="I5" s="109">
        <v>7165</v>
      </c>
      <c r="J5" s="109">
        <v>7796</v>
      </c>
      <c r="K5" s="109">
        <v>9337</v>
      </c>
      <c r="L5" s="109">
        <v>11454</v>
      </c>
      <c r="M5" s="109">
        <v>13692</v>
      </c>
      <c r="N5" s="109">
        <v>12496</v>
      </c>
    </row>
    <row r="6" spans="2:14">
      <c r="B6" s="97" t="s">
        <v>273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</row>
    <row r="7" spans="2:14">
      <c r="B7" s="98" t="s">
        <v>274</v>
      </c>
      <c r="C7" s="108">
        <v>1866</v>
      </c>
      <c r="D7" s="108">
        <v>1591</v>
      </c>
      <c r="E7" s="108">
        <v>2023</v>
      </c>
      <c r="F7" s="108">
        <v>2449</v>
      </c>
      <c r="G7" s="108">
        <v>3108</v>
      </c>
      <c r="H7" s="108">
        <v>2380</v>
      </c>
      <c r="I7" s="108">
        <v>2605</v>
      </c>
      <c r="J7" s="108">
        <v>2145</v>
      </c>
      <c r="K7" s="108">
        <v>480</v>
      </c>
      <c r="L7" s="108">
        <v>381</v>
      </c>
      <c r="M7" s="108">
        <v>189</v>
      </c>
      <c r="N7" s="108">
        <v>0</v>
      </c>
    </row>
    <row r="8" spans="2:14">
      <c r="B8" s="98" t="s">
        <v>275</v>
      </c>
      <c r="C8" s="108">
        <v>82</v>
      </c>
      <c r="D8" s="108">
        <v>111</v>
      </c>
      <c r="E8" s="108">
        <v>147</v>
      </c>
      <c r="F8" s="108">
        <v>182</v>
      </c>
      <c r="G8" s="108">
        <v>233</v>
      </c>
      <c r="H8" s="108">
        <v>154</v>
      </c>
      <c r="I8" s="108">
        <v>271</v>
      </c>
      <c r="J8" s="108">
        <v>519</v>
      </c>
      <c r="K8" s="108">
        <v>1288</v>
      </c>
      <c r="L8" s="108">
        <v>1227</v>
      </c>
      <c r="M8" s="108">
        <v>845</v>
      </c>
      <c r="N8" s="108">
        <v>3155</v>
      </c>
    </row>
    <row r="9" spans="2:14">
      <c r="B9" s="98" t="s">
        <v>276</v>
      </c>
      <c r="C9" s="108">
        <v>0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>
        <v>57</v>
      </c>
      <c r="K9" s="108">
        <v>96</v>
      </c>
      <c r="L9" s="108">
        <v>97</v>
      </c>
      <c r="M9" s="108">
        <v>96</v>
      </c>
      <c r="N9" s="108">
        <v>68</v>
      </c>
    </row>
    <row r="10" spans="2:14" ht="15" thickBot="1">
      <c r="B10" s="98" t="s">
        <v>277</v>
      </c>
      <c r="C10" s="108">
        <v>508</v>
      </c>
      <c r="D10" s="108">
        <v>671</v>
      </c>
      <c r="E10" s="108">
        <v>547</v>
      </c>
      <c r="F10" s="108">
        <v>260</v>
      </c>
      <c r="G10" s="108">
        <v>660</v>
      </c>
      <c r="H10" s="108">
        <v>973</v>
      </c>
      <c r="I10" s="108">
        <v>506</v>
      </c>
      <c r="J10" s="108">
        <v>855</v>
      </c>
      <c r="K10" s="108">
        <v>0</v>
      </c>
      <c r="L10" s="108">
        <v>0</v>
      </c>
      <c r="M10" s="108">
        <v>0</v>
      </c>
      <c r="N10" s="108">
        <v>0</v>
      </c>
    </row>
    <row r="11" spans="2:14">
      <c r="B11" s="99" t="s">
        <v>278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2" spans="2:14">
      <c r="B12" s="100" t="s">
        <v>279</v>
      </c>
      <c r="C12" s="109">
        <v>210</v>
      </c>
      <c r="D12" s="109">
        <v>225</v>
      </c>
      <c r="E12" s="109">
        <v>162</v>
      </c>
      <c r="F12" s="109">
        <v>10</v>
      </c>
      <c r="G12" s="109">
        <v>0</v>
      </c>
      <c r="H12" s="109">
        <v>0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  <c r="N12" s="109">
        <v>0</v>
      </c>
    </row>
    <row r="13" spans="2:14">
      <c r="B13" s="100" t="s">
        <v>280</v>
      </c>
      <c r="C13" s="109">
        <v>1035</v>
      </c>
      <c r="D13" s="109">
        <v>1234</v>
      </c>
      <c r="E13" s="109">
        <v>1088</v>
      </c>
      <c r="F13" s="109">
        <v>1485</v>
      </c>
      <c r="G13" s="109">
        <v>1724</v>
      </c>
      <c r="H13" s="109">
        <v>2353</v>
      </c>
      <c r="I13" s="109">
        <v>2540</v>
      </c>
      <c r="J13" s="109">
        <v>2480</v>
      </c>
      <c r="K13" s="109">
        <v>2012</v>
      </c>
      <c r="L13" s="109">
        <v>2163</v>
      </c>
      <c r="M13" s="109">
        <v>1823</v>
      </c>
      <c r="N13" s="109">
        <v>1675</v>
      </c>
    </row>
    <row r="14" spans="2:14">
      <c r="B14" s="100" t="s">
        <v>281</v>
      </c>
      <c r="C14" s="109">
        <v>0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25</v>
      </c>
      <c r="K14" s="109">
        <v>27</v>
      </c>
      <c r="L14" s="109">
        <v>30</v>
      </c>
      <c r="M14" s="109">
        <v>38</v>
      </c>
      <c r="N14" s="109">
        <v>30</v>
      </c>
    </row>
    <row r="15" spans="2:14" ht="15" thickBot="1">
      <c r="B15" s="100" t="s">
        <v>282</v>
      </c>
      <c r="C15" s="109">
        <v>681</v>
      </c>
      <c r="D15" s="109">
        <v>712</v>
      </c>
      <c r="E15" s="109">
        <v>847</v>
      </c>
      <c r="F15" s="109">
        <v>1026</v>
      </c>
      <c r="G15" s="109">
        <v>1913</v>
      </c>
      <c r="H15" s="109">
        <v>1745</v>
      </c>
      <c r="I15" s="109">
        <v>905</v>
      </c>
      <c r="J15" s="109">
        <v>901</v>
      </c>
      <c r="K15" s="109">
        <v>901</v>
      </c>
      <c r="L15" s="109">
        <v>629</v>
      </c>
      <c r="M15" s="109">
        <v>652</v>
      </c>
      <c r="N15" s="109">
        <v>865</v>
      </c>
    </row>
    <row r="16" spans="2:14" ht="15" thickBot="1">
      <c r="B16" s="97" t="s">
        <v>271</v>
      </c>
      <c r="C16" s="110">
        <v>7695</v>
      </c>
      <c r="D16" s="110">
        <v>8320</v>
      </c>
      <c r="E16" s="110">
        <v>9125</v>
      </c>
      <c r="F16" s="110">
        <v>9679</v>
      </c>
      <c r="G16" s="110">
        <v>12940</v>
      </c>
      <c r="H16" s="110">
        <v>13864</v>
      </c>
      <c r="I16" s="110">
        <v>14094</v>
      </c>
      <c r="J16" s="110">
        <v>14880</v>
      </c>
      <c r="K16" s="110">
        <v>14244</v>
      </c>
      <c r="L16" s="110">
        <v>16082</v>
      </c>
      <c r="M16" s="110">
        <v>17437</v>
      </c>
      <c r="N16" s="110">
        <v>18392</v>
      </c>
    </row>
    <row r="17" spans="2:14" ht="15" thickBot="1">
      <c r="B17" s="97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</row>
    <row r="18" spans="2:14">
      <c r="B18" s="99" t="s">
        <v>283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</row>
    <row r="19" spans="2:14">
      <c r="B19" s="100" t="s">
        <v>284</v>
      </c>
      <c r="C19" s="109">
        <v>50</v>
      </c>
      <c r="D19" s="109">
        <v>61</v>
      </c>
      <c r="E19" s="109">
        <v>54</v>
      </c>
      <c r="F19" s="109">
        <v>86</v>
      </c>
      <c r="G19" s="109">
        <v>108</v>
      </c>
      <c r="H19" s="109">
        <v>118</v>
      </c>
      <c r="I19" s="109">
        <v>147</v>
      </c>
      <c r="J19" s="109">
        <v>146</v>
      </c>
      <c r="K19" s="109">
        <v>144</v>
      </c>
      <c r="L19" s="109">
        <v>147</v>
      </c>
      <c r="M19" s="109">
        <v>145</v>
      </c>
      <c r="N19" s="109">
        <v>157</v>
      </c>
    </row>
    <row r="20" spans="2:14">
      <c r="B20" s="100" t="s">
        <v>285</v>
      </c>
      <c r="C20" s="109">
        <v>237</v>
      </c>
      <c r="D20" s="109">
        <v>217</v>
      </c>
      <c r="E20" s="109">
        <v>249</v>
      </c>
      <c r="F20" s="109">
        <v>390</v>
      </c>
      <c r="G20" s="109">
        <v>430</v>
      </c>
      <c r="H20" s="109">
        <v>537</v>
      </c>
      <c r="I20" s="109">
        <v>627</v>
      </c>
      <c r="J20" s="109">
        <v>699</v>
      </c>
      <c r="K20" s="109">
        <v>757</v>
      </c>
      <c r="L20" s="109">
        <v>812</v>
      </c>
      <c r="M20" s="109">
        <v>854</v>
      </c>
      <c r="N20" s="109">
        <v>791</v>
      </c>
    </row>
    <row r="21" spans="2:14">
      <c r="B21" s="100" t="s">
        <v>286</v>
      </c>
      <c r="C21" s="109">
        <v>451</v>
      </c>
      <c r="D21" s="109">
        <v>507</v>
      </c>
      <c r="E21" s="109">
        <v>547</v>
      </c>
      <c r="F21" s="109">
        <v>343</v>
      </c>
      <c r="G21" s="109">
        <v>435</v>
      </c>
      <c r="H21" s="109">
        <v>517</v>
      </c>
      <c r="I21" s="109">
        <v>634</v>
      </c>
      <c r="J21" s="109">
        <v>713</v>
      </c>
      <c r="K21" s="109">
        <v>809</v>
      </c>
      <c r="L21" s="109">
        <v>942</v>
      </c>
      <c r="M21" s="109">
        <v>1178</v>
      </c>
      <c r="N21" s="109">
        <v>1186</v>
      </c>
    </row>
    <row r="22" spans="2:14">
      <c r="B22" s="100" t="s">
        <v>287</v>
      </c>
      <c r="C22" s="109">
        <v>0</v>
      </c>
      <c r="D22" s="109">
        <v>0</v>
      </c>
      <c r="E22" s="109">
        <v>0</v>
      </c>
      <c r="F22" s="109">
        <v>0</v>
      </c>
      <c r="G22" s="109">
        <v>0</v>
      </c>
      <c r="H22" s="109">
        <v>0</v>
      </c>
      <c r="I22" s="109">
        <v>0</v>
      </c>
      <c r="J22" s="109">
        <v>0</v>
      </c>
      <c r="K22" s="109">
        <v>1</v>
      </c>
      <c r="L22" s="109">
        <v>2</v>
      </c>
      <c r="M22" s="109">
        <v>12</v>
      </c>
      <c r="N22" s="109">
        <v>17</v>
      </c>
    </row>
    <row r="23" spans="2:14">
      <c r="B23" s="100" t="s">
        <v>288</v>
      </c>
      <c r="C23" s="109">
        <v>26</v>
      </c>
      <c r="D23" s="109">
        <v>19</v>
      </c>
      <c r="E23" s="109">
        <v>19</v>
      </c>
      <c r="F23" s="109">
        <v>14</v>
      </c>
      <c r="G23" s="109">
        <v>17</v>
      </c>
      <c r="H23" s="109">
        <v>24</v>
      </c>
      <c r="I23" s="109">
        <v>30</v>
      </c>
      <c r="J23" s="109">
        <v>33</v>
      </c>
      <c r="K23" s="109">
        <v>36</v>
      </c>
      <c r="L23" s="109">
        <v>41</v>
      </c>
      <c r="M23" s="109">
        <v>51</v>
      </c>
      <c r="N23" s="109">
        <v>47</v>
      </c>
    </row>
    <row r="24" spans="2:14">
      <c r="B24" s="100" t="s">
        <v>289</v>
      </c>
      <c r="C24" s="109">
        <v>22</v>
      </c>
      <c r="D24" s="109">
        <v>27</v>
      </c>
      <c r="E24" s="109">
        <v>34</v>
      </c>
      <c r="F24" s="109">
        <v>24</v>
      </c>
      <c r="G24" s="109">
        <v>38</v>
      </c>
      <c r="H24" s="109">
        <v>47</v>
      </c>
      <c r="I24" s="109">
        <v>55</v>
      </c>
      <c r="J24" s="109">
        <v>59</v>
      </c>
      <c r="K24" s="109">
        <v>64</v>
      </c>
      <c r="L24" s="109">
        <v>75</v>
      </c>
      <c r="M24" s="109">
        <v>78</v>
      </c>
      <c r="N24" s="109">
        <v>67</v>
      </c>
    </row>
    <row r="25" spans="2:14">
      <c r="B25" s="100" t="s">
        <v>290</v>
      </c>
      <c r="C25" s="109">
        <v>25</v>
      </c>
      <c r="D25" s="109">
        <v>27</v>
      </c>
      <c r="E25" s="109">
        <v>29</v>
      </c>
      <c r="F25" s="109">
        <v>21</v>
      </c>
      <c r="G25" s="109">
        <v>25</v>
      </c>
      <c r="H25" s="109">
        <v>32</v>
      </c>
      <c r="I25" s="109">
        <v>35</v>
      </c>
      <c r="J25" s="109">
        <v>35</v>
      </c>
      <c r="K25" s="109">
        <v>37</v>
      </c>
      <c r="L25" s="109">
        <v>36</v>
      </c>
      <c r="M25" s="109">
        <v>35</v>
      </c>
      <c r="N25" s="109">
        <v>30</v>
      </c>
    </row>
    <row r="26" spans="2:14">
      <c r="B26" s="100" t="s">
        <v>291</v>
      </c>
      <c r="C26" s="109">
        <v>41</v>
      </c>
      <c r="D26" s="109">
        <v>47</v>
      </c>
      <c r="E26" s="109">
        <v>49</v>
      </c>
      <c r="F26" s="109">
        <v>41</v>
      </c>
      <c r="G26" s="109">
        <v>47</v>
      </c>
      <c r="H26" s="109">
        <v>47</v>
      </c>
      <c r="I26" s="109">
        <v>48</v>
      </c>
      <c r="J26" s="109">
        <v>44</v>
      </c>
      <c r="K26" s="109">
        <v>60</v>
      </c>
      <c r="L26" s="109">
        <v>65</v>
      </c>
      <c r="M26" s="109">
        <v>63</v>
      </c>
      <c r="N26" s="109">
        <v>31</v>
      </c>
    </row>
    <row r="27" spans="2:14">
      <c r="B27" s="100" t="s">
        <v>292</v>
      </c>
      <c r="C27" s="109">
        <v>4180</v>
      </c>
      <c r="D27" s="109">
        <v>4843</v>
      </c>
      <c r="E27" s="109">
        <v>5285</v>
      </c>
      <c r="F27" s="109">
        <v>5050</v>
      </c>
      <c r="G27" s="109">
        <v>7123</v>
      </c>
      <c r="H27" s="109">
        <v>7245</v>
      </c>
      <c r="I27" s="109">
        <v>7433</v>
      </c>
      <c r="J27" s="109">
        <v>8036</v>
      </c>
      <c r="K27" s="109">
        <v>7753</v>
      </c>
      <c r="L27" s="109">
        <v>8083</v>
      </c>
      <c r="M27" s="109">
        <v>8687</v>
      </c>
      <c r="N27" s="109">
        <v>10696</v>
      </c>
    </row>
    <row r="28" spans="2:14" ht="15" thickBot="1">
      <c r="B28" s="100" t="s">
        <v>293</v>
      </c>
      <c r="C28" s="109">
        <v>36</v>
      </c>
      <c r="D28" s="109">
        <v>56</v>
      </c>
      <c r="E28" s="109">
        <v>67</v>
      </c>
      <c r="F28" s="109">
        <v>55</v>
      </c>
      <c r="G28" s="109">
        <v>67</v>
      </c>
      <c r="H28" s="109">
        <v>107</v>
      </c>
      <c r="I28" s="109">
        <v>119</v>
      </c>
      <c r="J28" s="109">
        <v>126</v>
      </c>
      <c r="K28" s="109">
        <v>130</v>
      </c>
      <c r="L28" s="109">
        <v>144</v>
      </c>
      <c r="M28" s="109">
        <v>145</v>
      </c>
      <c r="N28" s="109">
        <v>151</v>
      </c>
    </row>
    <row r="29" spans="2:14">
      <c r="B29" s="101" t="s">
        <v>294</v>
      </c>
      <c r="C29" s="111">
        <v>5066</v>
      </c>
      <c r="D29" s="111">
        <v>5804</v>
      </c>
      <c r="E29" s="111">
        <v>6333</v>
      </c>
      <c r="F29" s="111">
        <v>6024</v>
      </c>
      <c r="G29" s="111">
        <v>8291</v>
      </c>
      <c r="H29" s="111">
        <v>8674</v>
      </c>
      <c r="I29" s="111">
        <v>9127</v>
      </c>
      <c r="J29" s="111">
        <v>9892</v>
      </c>
      <c r="K29" s="111">
        <v>9791</v>
      </c>
      <c r="L29" s="111">
        <v>10347</v>
      </c>
      <c r="M29" s="111">
        <v>11248</v>
      </c>
      <c r="N29" s="111">
        <v>13172</v>
      </c>
    </row>
    <row r="30" spans="2:14">
      <c r="B30" s="107" t="s">
        <v>295</v>
      </c>
      <c r="C30" s="109">
        <v>570</v>
      </c>
      <c r="D30" s="109">
        <v>682</v>
      </c>
      <c r="E30" s="109">
        <v>782</v>
      </c>
      <c r="F30" s="109">
        <v>93</v>
      </c>
      <c r="G30" s="109">
        <v>208</v>
      </c>
      <c r="H30" s="109">
        <v>359</v>
      </c>
      <c r="I30" s="109">
        <v>457</v>
      </c>
      <c r="J30" s="109">
        <v>661</v>
      </c>
      <c r="K30" s="109">
        <v>886</v>
      </c>
      <c r="L30" s="109">
        <v>1127</v>
      </c>
      <c r="M30" s="109">
        <v>1315</v>
      </c>
      <c r="N30" s="109">
        <v>2732</v>
      </c>
    </row>
    <row r="31" spans="2:14">
      <c r="B31" s="107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</row>
    <row r="32" spans="2:14">
      <c r="B32" s="103" t="s">
        <v>296</v>
      </c>
      <c r="C32" s="108">
        <v>141</v>
      </c>
      <c r="D32" s="108">
        <v>167</v>
      </c>
      <c r="E32" s="108">
        <v>225</v>
      </c>
      <c r="F32" s="108">
        <v>44</v>
      </c>
      <c r="G32" s="108">
        <v>97</v>
      </c>
      <c r="H32" s="108">
        <v>84</v>
      </c>
      <c r="I32" s="108">
        <v>52</v>
      </c>
      <c r="J32" s="108">
        <v>57</v>
      </c>
      <c r="K32" s="108">
        <v>57</v>
      </c>
      <c r="L32" s="108">
        <v>116</v>
      </c>
      <c r="M32" s="108">
        <v>45</v>
      </c>
      <c r="N32" s="108">
        <v>83</v>
      </c>
    </row>
    <row r="33" spans="2:14">
      <c r="B33" s="104" t="s">
        <v>28</v>
      </c>
      <c r="C33" s="109">
        <v>121</v>
      </c>
      <c r="D33" s="109">
        <v>136</v>
      </c>
      <c r="E33" s="109">
        <v>186</v>
      </c>
      <c r="F33" s="109">
        <v>190</v>
      </c>
      <c r="G33" s="109">
        <v>934</v>
      </c>
      <c r="H33" s="109">
        <v>997</v>
      </c>
      <c r="I33" s="109">
        <v>516</v>
      </c>
      <c r="J33" s="109">
        <v>672</v>
      </c>
      <c r="K33" s="109">
        <v>679</v>
      </c>
      <c r="L33" s="109">
        <v>1015</v>
      </c>
      <c r="M33" s="109">
        <v>3029</v>
      </c>
      <c r="N33" s="109">
        <v>3504</v>
      </c>
    </row>
    <row r="34" spans="2:14" ht="15" thickBot="1">
      <c r="B34" s="104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2:14">
      <c r="B35" s="97" t="s">
        <v>297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</row>
    <row r="36" spans="2:14">
      <c r="B36" s="98" t="s">
        <v>298</v>
      </c>
      <c r="C36" s="108">
        <v>1047</v>
      </c>
      <c r="D36" s="108">
        <v>1082</v>
      </c>
      <c r="E36" s="108">
        <v>1072</v>
      </c>
      <c r="F36" s="108">
        <v>1307</v>
      </c>
      <c r="G36" s="108">
        <v>1412</v>
      </c>
      <c r="H36" s="108">
        <v>1578</v>
      </c>
      <c r="I36" s="108">
        <v>1559</v>
      </c>
      <c r="J36" s="108">
        <v>1703</v>
      </c>
      <c r="K36" s="108">
        <v>1716</v>
      </c>
      <c r="L36" s="108">
        <v>2130</v>
      </c>
      <c r="M36" s="108">
        <v>1537</v>
      </c>
      <c r="N36" s="108">
        <v>1271</v>
      </c>
    </row>
    <row r="37" spans="2:14">
      <c r="B37" s="98" t="s">
        <v>299</v>
      </c>
      <c r="C37" s="108">
        <v>729</v>
      </c>
      <c r="D37" s="108">
        <v>732</v>
      </c>
      <c r="E37" s="108">
        <v>805</v>
      </c>
      <c r="F37" s="108">
        <v>1118</v>
      </c>
      <c r="G37" s="108">
        <v>1029</v>
      </c>
      <c r="H37" s="108">
        <v>1246</v>
      </c>
      <c r="I37" s="108">
        <v>1293</v>
      </c>
      <c r="J37" s="108">
        <v>1157</v>
      </c>
      <c r="K37" s="108">
        <v>1004</v>
      </c>
      <c r="L37" s="108">
        <v>1116</v>
      </c>
      <c r="M37" s="108">
        <v>1245</v>
      </c>
      <c r="N37" s="108">
        <v>1535</v>
      </c>
    </row>
    <row r="38" spans="2:14">
      <c r="B38" s="98" t="s">
        <v>300</v>
      </c>
      <c r="C38" s="108">
        <v>748</v>
      </c>
      <c r="D38" s="108">
        <v>705</v>
      </c>
      <c r="E38" s="108">
        <v>894</v>
      </c>
      <c r="F38" s="108">
        <v>754</v>
      </c>
      <c r="G38" s="108">
        <v>913</v>
      </c>
      <c r="H38" s="108">
        <v>960</v>
      </c>
      <c r="I38" s="108">
        <v>895</v>
      </c>
      <c r="J38" s="108">
        <v>770</v>
      </c>
      <c r="K38" s="108">
        <v>672</v>
      </c>
      <c r="L38" s="108">
        <v>1108</v>
      </c>
      <c r="M38" s="108">
        <v>391</v>
      </c>
      <c r="N38" s="108">
        <v>547</v>
      </c>
    </row>
    <row r="39" spans="2:14">
      <c r="B39" s="98" t="s">
        <v>301</v>
      </c>
      <c r="C39" s="108">
        <v>-1</v>
      </c>
      <c r="D39" s="108">
        <v>-1</v>
      </c>
      <c r="E39" s="108">
        <v>0</v>
      </c>
      <c r="F39" s="108">
        <v>-1</v>
      </c>
      <c r="G39" s="108">
        <v>-2</v>
      </c>
      <c r="H39" s="108">
        <v>-2</v>
      </c>
      <c r="I39" s="108">
        <v>-1</v>
      </c>
      <c r="J39" s="108">
        <v>0</v>
      </c>
      <c r="K39" s="108">
        <v>-2</v>
      </c>
      <c r="L39" s="108">
        <v>-1</v>
      </c>
      <c r="M39" s="108">
        <v>-1</v>
      </c>
      <c r="N39" s="108">
        <v>-2</v>
      </c>
    </row>
    <row r="40" spans="2:14" ht="15" thickBot="1">
      <c r="B40" s="98" t="s">
        <v>302</v>
      </c>
      <c r="C40" s="108">
        <v>414</v>
      </c>
      <c r="D40" s="108">
        <v>377</v>
      </c>
      <c r="E40" s="108">
        <v>394</v>
      </c>
      <c r="F40" s="108">
        <v>336</v>
      </c>
      <c r="G40" s="108">
        <v>474</v>
      </c>
      <c r="H40" s="108">
        <v>686</v>
      </c>
      <c r="I40" s="108">
        <v>1110</v>
      </c>
      <c r="J40" s="108">
        <v>1290</v>
      </c>
      <c r="K40" s="108">
        <v>1211</v>
      </c>
      <c r="L40" s="108">
        <v>1378</v>
      </c>
      <c r="M40" s="108">
        <v>1257</v>
      </c>
      <c r="N40" s="108">
        <v>1014</v>
      </c>
    </row>
    <row r="41" spans="2:14">
      <c r="B41" s="99" t="s">
        <v>122</v>
      </c>
      <c r="C41" s="111">
        <v>7695</v>
      </c>
      <c r="D41" s="111">
        <v>8320</v>
      </c>
      <c r="E41" s="111">
        <v>9125</v>
      </c>
      <c r="F41" s="111">
        <v>9679</v>
      </c>
      <c r="G41" s="111">
        <v>12940</v>
      </c>
      <c r="H41" s="111">
        <v>13864</v>
      </c>
      <c r="I41" s="111">
        <v>14094</v>
      </c>
      <c r="J41" s="111">
        <v>14880</v>
      </c>
      <c r="K41" s="111">
        <v>14244</v>
      </c>
      <c r="L41" s="111">
        <v>16082</v>
      </c>
      <c r="M41" s="111">
        <v>17437</v>
      </c>
      <c r="N41" s="111">
        <v>18392</v>
      </c>
    </row>
    <row r="43" spans="2:14">
      <c r="B43" s="42" t="s">
        <v>133</v>
      </c>
      <c r="C43" s="84">
        <v>-264</v>
      </c>
      <c r="D43" s="84">
        <v>-133</v>
      </c>
      <c r="E43" s="84">
        <v>-213</v>
      </c>
      <c r="F43" s="84">
        <v>-208</v>
      </c>
      <c r="G43" s="84">
        <v>-180</v>
      </c>
      <c r="H43" s="84">
        <v>-311</v>
      </c>
      <c r="I43" s="84">
        <v>-208</v>
      </c>
      <c r="J43" s="84">
        <v>-152</v>
      </c>
      <c r="K43" s="84">
        <v>-164</v>
      </c>
      <c r="L43" s="84">
        <v>0</v>
      </c>
      <c r="M43" s="84">
        <v>0</v>
      </c>
      <c r="N43" s="84">
        <v>0</v>
      </c>
    </row>
    <row r="44" spans="2:14">
      <c r="B44" s="42" t="s">
        <v>134</v>
      </c>
      <c r="C44" s="84">
        <v>0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3</v>
      </c>
      <c r="M44" s="84">
        <v>8</v>
      </c>
      <c r="N44" s="84">
        <v>31</v>
      </c>
    </row>
  </sheetData>
  <sheetProtection algorithmName="SHA-512" hashValue="+DyuHheUv9BlVvof3Ornl+CEbZOTk+90yZXmewjTo4UQ0dT/pGOiBS2o7/PFp3Eb26+ggCE3wbYsls1jtnAoQQ==" saltValue="KA9ijcTl0tv7UbpvfV4ITw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5B8B-FD10-4D95-AC9B-BEB2808BE3F3}">
  <dimension ref="A2:I60"/>
  <sheetViews>
    <sheetView showGridLines="0" workbookViewId="0">
      <pane ySplit="3" topLeftCell="A36" activePane="bottomLeft" state="frozen"/>
      <selection pane="bottomLeft" activeCell="M43" sqref="M43"/>
    </sheetView>
  </sheetViews>
  <sheetFormatPr defaultRowHeight="14.4"/>
  <cols>
    <col min="1" max="1" width="1.88671875" customWidth="1"/>
    <col min="2" max="2" width="24.33203125" customWidth="1"/>
    <col min="4" max="4" width="9" bestFit="1" customWidth="1"/>
  </cols>
  <sheetData>
    <row r="2" spans="1:9">
      <c r="A2" t="s">
        <v>94</v>
      </c>
      <c r="B2" s="120" t="s">
        <v>304</v>
      </c>
      <c r="C2" s="120"/>
      <c r="D2" s="120"/>
      <c r="E2" s="120"/>
      <c r="F2" s="120"/>
      <c r="G2" s="120"/>
      <c r="I2" t="s">
        <v>306</v>
      </c>
    </row>
    <row r="3" spans="1:9">
      <c r="B3" s="112" t="s">
        <v>92</v>
      </c>
      <c r="C3" s="113">
        <f>'Intrinsic Growth Data'!J2</f>
        <v>43891</v>
      </c>
      <c r="D3" s="113">
        <f>'Intrinsic Growth Data'!K2</f>
        <v>44256</v>
      </c>
      <c r="E3" s="113">
        <f>'Intrinsic Growth Data'!L2</f>
        <v>44621</v>
      </c>
      <c r="F3" s="113">
        <f>'Intrinsic Growth Data'!M2</f>
        <v>44986</v>
      </c>
      <c r="G3" s="113">
        <f>'Intrinsic Growth Data'!N2</f>
        <v>45352</v>
      </c>
      <c r="I3" t="s">
        <v>305</v>
      </c>
    </row>
    <row r="4" spans="1:9" ht="9.6" customHeight="1"/>
    <row r="5" spans="1:9">
      <c r="B5" s="2" t="s">
        <v>307</v>
      </c>
    </row>
    <row r="6" spans="1:9">
      <c r="B6" t="str">
        <f>'Intrinsic Growth Data'!B36</f>
        <v>Inventories</v>
      </c>
      <c r="C6" s="39">
        <f>'Intrinsic Growth Data'!J36</f>
        <v>1703</v>
      </c>
      <c r="D6" s="39">
        <f>'Intrinsic Growth Data'!K36</f>
        <v>1716</v>
      </c>
      <c r="E6" s="39">
        <f>'Intrinsic Growth Data'!L36</f>
        <v>2130</v>
      </c>
      <c r="F6" s="39">
        <f>'Intrinsic Growth Data'!M36</f>
        <v>1537</v>
      </c>
      <c r="G6" s="39">
        <f>'Intrinsic Growth Data'!N36</f>
        <v>1271</v>
      </c>
    </row>
    <row r="7" spans="1:9">
      <c r="B7" t="str">
        <f>'Intrinsic Growth Data'!B37</f>
        <v>Trade receivables</v>
      </c>
      <c r="C7" s="39">
        <f>'Intrinsic Growth Data'!J37</f>
        <v>1157</v>
      </c>
      <c r="D7" s="39">
        <f>'Intrinsic Growth Data'!K37</f>
        <v>1004</v>
      </c>
      <c r="E7" s="39">
        <f>'Intrinsic Growth Data'!L37</f>
        <v>1116</v>
      </c>
      <c r="F7" s="39">
        <f>'Intrinsic Growth Data'!M37</f>
        <v>1245</v>
      </c>
      <c r="G7" s="39">
        <f>'Intrinsic Growth Data'!N37</f>
        <v>1535</v>
      </c>
    </row>
    <row r="8" spans="1:9">
      <c r="B8" t="str">
        <f>'Intrinsic Growth Data'!B39</f>
        <v>Loans n Advances</v>
      </c>
      <c r="C8" s="39">
        <f>'Intrinsic Growth Data'!J38</f>
        <v>770</v>
      </c>
      <c r="D8" s="39">
        <f>'Intrinsic Growth Data'!K38</f>
        <v>672</v>
      </c>
      <c r="E8" s="39">
        <f>'Intrinsic Growth Data'!L38</f>
        <v>1108</v>
      </c>
      <c r="F8" s="39">
        <f>'Intrinsic Growth Data'!M38</f>
        <v>391</v>
      </c>
      <c r="G8" s="39">
        <f>'Intrinsic Growth Data'!N38</f>
        <v>547</v>
      </c>
    </row>
    <row r="9" spans="1:9">
      <c r="B9" t="str">
        <f>'Intrinsic Growth Data'!B40</f>
        <v>Other asset items</v>
      </c>
      <c r="C9" s="39">
        <f>'Intrinsic Growth Data'!J39</f>
        <v>0</v>
      </c>
      <c r="D9" s="39">
        <f>'Intrinsic Growth Data'!K39</f>
        <v>-2</v>
      </c>
      <c r="E9" s="39">
        <f>'Intrinsic Growth Data'!L39</f>
        <v>-1</v>
      </c>
      <c r="F9" s="39">
        <f>'Intrinsic Growth Data'!M39</f>
        <v>-1</v>
      </c>
      <c r="G9" s="39">
        <f>'Intrinsic Growth Data'!N39</f>
        <v>-2</v>
      </c>
    </row>
    <row r="10" spans="1:9">
      <c r="B10" s="2" t="s">
        <v>308</v>
      </c>
      <c r="C10" s="41">
        <f>SUM(C6:C9)</f>
        <v>3630</v>
      </c>
      <c r="D10" s="41">
        <f t="shared" ref="D10:G10" si="0">SUM(D6:D9)</f>
        <v>3390</v>
      </c>
      <c r="E10" s="41">
        <f t="shared" si="0"/>
        <v>4353</v>
      </c>
      <c r="F10" s="41">
        <f t="shared" si="0"/>
        <v>3172</v>
      </c>
      <c r="G10" s="41">
        <f t="shared" si="0"/>
        <v>3351</v>
      </c>
    </row>
    <row r="12" spans="1:9">
      <c r="B12" s="2" t="s">
        <v>309</v>
      </c>
    </row>
    <row r="13" spans="1:9">
      <c r="B13" t="str">
        <f>'Intrinsic Growth Data'!B13</f>
        <v>Trade Payables</v>
      </c>
      <c r="C13" s="39">
        <f>'Intrinsic Growth Data'!J13</f>
        <v>2480</v>
      </c>
      <c r="D13" s="39">
        <f>'Intrinsic Growth Data'!K13</f>
        <v>2012</v>
      </c>
      <c r="E13" s="39">
        <f>'Intrinsic Growth Data'!L13</f>
        <v>2163</v>
      </c>
      <c r="F13" s="39">
        <f>'Intrinsic Growth Data'!M13</f>
        <v>1823</v>
      </c>
      <c r="G13" s="39">
        <f>'Intrinsic Growth Data'!N13</f>
        <v>1675</v>
      </c>
    </row>
    <row r="14" spans="1:9">
      <c r="B14" t="str">
        <f>'Intrinsic Growth Data'!B14</f>
        <v>Advance from Customers</v>
      </c>
      <c r="C14" s="39">
        <f>'Intrinsic Growth Data'!J14</f>
        <v>25</v>
      </c>
      <c r="D14" s="39">
        <f>'Intrinsic Growth Data'!K14</f>
        <v>27</v>
      </c>
      <c r="E14" s="39">
        <f>'Intrinsic Growth Data'!L14</f>
        <v>30</v>
      </c>
      <c r="F14" s="39">
        <f>'Intrinsic Growth Data'!M14</f>
        <v>38</v>
      </c>
      <c r="G14" s="39">
        <f>'Intrinsic Growth Data'!N14</f>
        <v>30</v>
      </c>
    </row>
    <row r="15" spans="1:9">
      <c r="B15" t="str">
        <f>'Intrinsic Growth Data'!B15</f>
        <v>Other liability items</v>
      </c>
      <c r="C15" s="39">
        <f>'Intrinsic Growth Data'!J15</f>
        <v>901</v>
      </c>
      <c r="D15" s="39">
        <f>'Intrinsic Growth Data'!K15</f>
        <v>901</v>
      </c>
      <c r="E15" s="39">
        <f>'Intrinsic Growth Data'!L15</f>
        <v>629</v>
      </c>
      <c r="F15" s="39">
        <f>'Intrinsic Growth Data'!M15</f>
        <v>652</v>
      </c>
      <c r="G15" s="39">
        <f>'Intrinsic Growth Data'!N15</f>
        <v>865</v>
      </c>
    </row>
    <row r="16" spans="1:9">
      <c r="B16" s="2" t="s">
        <v>336</v>
      </c>
      <c r="C16" s="41">
        <f>SUM(C13:C15)</f>
        <v>3406</v>
      </c>
      <c r="D16" s="41">
        <f t="shared" ref="D16:G16" si="1">SUM(D13:D15)</f>
        <v>2940</v>
      </c>
      <c r="E16" s="41">
        <f t="shared" si="1"/>
        <v>2822</v>
      </c>
      <c r="F16" s="41">
        <f t="shared" si="1"/>
        <v>2513</v>
      </c>
      <c r="G16" s="41">
        <f t="shared" si="1"/>
        <v>2570</v>
      </c>
    </row>
    <row r="18" spans="2:8">
      <c r="B18" s="2" t="s">
        <v>310</v>
      </c>
      <c r="C18" s="114">
        <f>C10-C16</f>
        <v>224</v>
      </c>
      <c r="D18" s="114">
        <f t="shared" ref="D18:G18" si="2">D10-D16</f>
        <v>450</v>
      </c>
      <c r="E18" s="114">
        <f t="shared" si="2"/>
        <v>1531</v>
      </c>
      <c r="F18" s="114">
        <f t="shared" si="2"/>
        <v>659</v>
      </c>
      <c r="G18" s="114">
        <f t="shared" si="2"/>
        <v>781</v>
      </c>
      <c r="H18" t="s">
        <v>337</v>
      </c>
    </row>
    <row r="20" spans="2:8">
      <c r="B20" s="2" t="s">
        <v>311</v>
      </c>
    </row>
    <row r="21" spans="2:8">
      <c r="B21" t="str">
        <f>'Intrinsic Growth Data'!B19</f>
        <v>Land</v>
      </c>
      <c r="C21" s="39">
        <f>'Intrinsic Growth Data'!J19</f>
        <v>146</v>
      </c>
      <c r="D21" s="39">
        <f>'Intrinsic Growth Data'!K19</f>
        <v>144</v>
      </c>
      <c r="E21" s="39">
        <f>'Intrinsic Growth Data'!L19</f>
        <v>147</v>
      </c>
      <c r="F21" s="39">
        <f>'Intrinsic Growth Data'!M19</f>
        <v>145</v>
      </c>
      <c r="G21" s="39">
        <f>'Intrinsic Growth Data'!N19</f>
        <v>157</v>
      </c>
    </row>
    <row r="22" spans="2:8">
      <c r="B22" t="str">
        <f>'Intrinsic Growth Data'!B20</f>
        <v>Building</v>
      </c>
      <c r="C22" s="39">
        <f>'Intrinsic Growth Data'!J20</f>
        <v>699</v>
      </c>
      <c r="D22" s="39">
        <f>'Intrinsic Growth Data'!K20</f>
        <v>757</v>
      </c>
      <c r="E22" s="39">
        <f>'Intrinsic Growth Data'!L20</f>
        <v>812</v>
      </c>
      <c r="F22" s="39">
        <f>'Intrinsic Growth Data'!M20</f>
        <v>854</v>
      </c>
      <c r="G22" s="39">
        <f>'Intrinsic Growth Data'!N20</f>
        <v>791</v>
      </c>
    </row>
    <row r="23" spans="2:8">
      <c r="B23" t="str">
        <f>'Intrinsic Growth Data'!B21</f>
        <v>Plant Machinery</v>
      </c>
      <c r="C23" s="39">
        <f>'Intrinsic Growth Data'!J21</f>
        <v>713</v>
      </c>
      <c r="D23" s="39">
        <f>'Intrinsic Growth Data'!K21</f>
        <v>809</v>
      </c>
      <c r="E23" s="39">
        <f>'Intrinsic Growth Data'!L21</f>
        <v>942</v>
      </c>
      <c r="F23" s="39">
        <f>'Intrinsic Growth Data'!M21</f>
        <v>1178</v>
      </c>
      <c r="G23" s="39">
        <f>'Intrinsic Growth Data'!N21</f>
        <v>1186</v>
      </c>
    </row>
    <row r="24" spans="2:8">
      <c r="B24" t="str">
        <f>'Intrinsic Growth Data'!B22</f>
        <v>Ships Vessels</v>
      </c>
      <c r="C24" s="39">
        <f>'Intrinsic Growth Data'!J22</f>
        <v>0</v>
      </c>
      <c r="D24" s="39">
        <f>'Intrinsic Growth Data'!K22</f>
        <v>1</v>
      </c>
      <c r="E24" s="39">
        <f>'Intrinsic Growth Data'!L22</f>
        <v>2</v>
      </c>
      <c r="F24" s="39">
        <f>'Intrinsic Growth Data'!M22</f>
        <v>12</v>
      </c>
      <c r="G24" s="39">
        <f>'Intrinsic Growth Data'!N22</f>
        <v>17</v>
      </c>
    </row>
    <row r="25" spans="2:8">
      <c r="B25" t="str">
        <f>'Intrinsic Growth Data'!B23</f>
        <v>Equipments</v>
      </c>
      <c r="C25" s="39">
        <f>'Intrinsic Growth Data'!J23</f>
        <v>33</v>
      </c>
      <c r="D25" s="39">
        <f>'Intrinsic Growth Data'!K23</f>
        <v>36</v>
      </c>
      <c r="E25" s="39">
        <f>'Intrinsic Growth Data'!L23</f>
        <v>41</v>
      </c>
      <c r="F25" s="39">
        <f>'Intrinsic Growth Data'!M23</f>
        <v>51</v>
      </c>
      <c r="G25" s="39">
        <f>'Intrinsic Growth Data'!N23</f>
        <v>47</v>
      </c>
    </row>
    <row r="26" spans="2:8">
      <c r="B26" t="str">
        <f>'Intrinsic Growth Data'!B24</f>
        <v>Computers</v>
      </c>
      <c r="C26" s="39">
        <f>'Intrinsic Growth Data'!J24</f>
        <v>59</v>
      </c>
      <c r="D26" s="39">
        <f>'Intrinsic Growth Data'!K24</f>
        <v>64</v>
      </c>
      <c r="E26" s="39">
        <f>'Intrinsic Growth Data'!L24</f>
        <v>75</v>
      </c>
      <c r="F26" s="39">
        <f>'Intrinsic Growth Data'!M24</f>
        <v>78</v>
      </c>
      <c r="G26" s="39">
        <f>'Intrinsic Growth Data'!N24</f>
        <v>67</v>
      </c>
    </row>
    <row r="27" spans="2:8">
      <c r="B27" t="str">
        <f>'Intrinsic Growth Data'!B25</f>
        <v>Furniture n fittings</v>
      </c>
      <c r="C27" s="39">
        <f>'Intrinsic Growth Data'!J25</f>
        <v>35</v>
      </c>
      <c r="D27" s="39">
        <f>'Intrinsic Growth Data'!K25</f>
        <v>37</v>
      </c>
      <c r="E27" s="39">
        <f>'Intrinsic Growth Data'!L25</f>
        <v>36</v>
      </c>
      <c r="F27" s="39">
        <f>'Intrinsic Growth Data'!M25</f>
        <v>35</v>
      </c>
      <c r="G27" s="39">
        <f>'Intrinsic Growth Data'!N25</f>
        <v>30</v>
      </c>
    </row>
    <row r="28" spans="2:8">
      <c r="B28" t="str">
        <f>'Intrinsic Growth Data'!B26</f>
        <v>Vehicles</v>
      </c>
      <c r="C28" s="39">
        <f>'Intrinsic Growth Data'!J26</f>
        <v>44</v>
      </c>
      <c r="D28" s="39">
        <f>'Intrinsic Growth Data'!K26</f>
        <v>60</v>
      </c>
      <c r="E28" s="39">
        <f>'Intrinsic Growth Data'!L26</f>
        <v>65</v>
      </c>
      <c r="F28" s="39">
        <f>'Intrinsic Growth Data'!M26</f>
        <v>63</v>
      </c>
      <c r="G28" s="39">
        <f>'Intrinsic Growth Data'!N26</f>
        <v>31</v>
      </c>
    </row>
    <row r="29" spans="2:8">
      <c r="B29" t="str">
        <f>'Intrinsic Growth Data'!B28</f>
        <v>Other fixed assets</v>
      </c>
      <c r="C29" s="39">
        <f>'Intrinsic Growth Data'!J28</f>
        <v>126</v>
      </c>
      <c r="D29" s="39">
        <f>'Intrinsic Growth Data'!K28</f>
        <v>130</v>
      </c>
      <c r="E29" s="39">
        <f>'Intrinsic Growth Data'!L28</f>
        <v>144</v>
      </c>
      <c r="F29" s="39">
        <f>'Intrinsic Growth Data'!M28</f>
        <v>145</v>
      </c>
      <c r="G29" s="39">
        <f>'Intrinsic Growth Data'!N28</f>
        <v>151</v>
      </c>
    </row>
    <row r="30" spans="2:8">
      <c r="B30" s="2" t="s">
        <v>294</v>
      </c>
      <c r="C30" s="41">
        <f>SUM(C21:C29)</f>
        <v>1855</v>
      </c>
      <c r="D30" s="41">
        <f t="shared" ref="D30:G30" si="3">SUM(D21:D29)</f>
        <v>2038</v>
      </c>
      <c r="E30" s="41">
        <f t="shared" si="3"/>
        <v>2264</v>
      </c>
      <c r="F30" s="41">
        <f t="shared" si="3"/>
        <v>2561</v>
      </c>
      <c r="G30" s="41">
        <f t="shared" si="3"/>
        <v>2477</v>
      </c>
    </row>
    <row r="31" spans="2:8">
      <c r="B31" s="2" t="str">
        <f>'Intrinsic Growth Data'!B30</f>
        <v>Accumulated Depreciation</v>
      </c>
      <c r="C31" s="2">
        <f>'Intrinsic Growth Data'!J30</f>
        <v>661</v>
      </c>
      <c r="D31" s="2">
        <f>'Intrinsic Growth Data'!K30</f>
        <v>886</v>
      </c>
      <c r="E31" s="2">
        <f>'Intrinsic Growth Data'!L30</f>
        <v>1127</v>
      </c>
      <c r="F31" s="2">
        <f>'Intrinsic Growth Data'!M30</f>
        <v>1315</v>
      </c>
      <c r="G31" s="2">
        <f>'Intrinsic Growth Data'!N30</f>
        <v>2732</v>
      </c>
    </row>
    <row r="32" spans="2:8">
      <c r="B32" s="2" t="s">
        <v>312</v>
      </c>
      <c r="C32" s="41">
        <f>SUM(C30:C31)</f>
        <v>2516</v>
      </c>
      <c r="D32" s="41">
        <f t="shared" ref="D32:G32" si="4">SUM(D30:D31)</f>
        <v>2924</v>
      </c>
      <c r="E32" s="41">
        <f t="shared" si="4"/>
        <v>3391</v>
      </c>
      <c r="F32" s="41">
        <f t="shared" si="4"/>
        <v>3876</v>
      </c>
      <c r="G32" s="41">
        <f t="shared" si="4"/>
        <v>5209</v>
      </c>
      <c r="H32" t="s">
        <v>327</v>
      </c>
    </row>
    <row r="34" spans="1:8">
      <c r="B34" s="2" t="s">
        <v>313</v>
      </c>
      <c r="C34" s="114">
        <f>C32+C18</f>
        <v>2740</v>
      </c>
      <c r="D34" s="114">
        <f t="shared" ref="D34:G34" si="5">D32+D18</f>
        <v>3374</v>
      </c>
      <c r="E34" s="114">
        <f t="shared" si="5"/>
        <v>4922</v>
      </c>
      <c r="F34" s="114">
        <f t="shared" si="5"/>
        <v>4535</v>
      </c>
      <c r="G34" s="114">
        <f t="shared" si="5"/>
        <v>5990</v>
      </c>
      <c r="H34" t="s">
        <v>328</v>
      </c>
    </row>
    <row r="35" spans="1:8">
      <c r="B35" s="2" t="s">
        <v>314</v>
      </c>
      <c r="C35" s="115">
        <f>'Data Sheet'!G33</f>
        <v>1988.53</v>
      </c>
      <c r="D35" s="115">
        <f>'Data Sheet'!H33</f>
        <v>2218.0099999999998</v>
      </c>
      <c r="E35" s="115">
        <f>'Data Sheet'!I33</f>
        <v>2277.52</v>
      </c>
      <c r="F35" s="115">
        <f>'Data Sheet'!J33</f>
        <v>2321.21</v>
      </c>
      <c r="G35" s="115">
        <f>'Data Sheet'!K33</f>
        <v>507.79999999999995</v>
      </c>
    </row>
    <row r="36" spans="1:8">
      <c r="B36" s="2" t="s">
        <v>315</v>
      </c>
      <c r="C36" s="29">
        <f>C35/C34</f>
        <v>0.72574087591240877</v>
      </c>
      <c r="D36" s="29">
        <f t="shared" ref="D36:G36" si="6">D35/D34</f>
        <v>0.65738292827504441</v>
      </c>
      <c r="E36" s="29">
        <f t="shared" si="6"/>
        <v>0.4627224705404307</v>
      </c>
      <c r="F36" s="29">
        <f t="shared" si="6"/>
        <v>0.51184343991179715</v>
      </c>
      <c r="G36" s="29">
        <f t="shared" si="6"/>
        <v>8.4774624373956581E-2</v>
      </c>
      <c r="H36" s="32" t="s">
        <v>329</v>
      </c>
    </row>
    <row r="38" spans="1:8">
      <c r="A38" t="s">
        <v>94</v>
      </c>
      <c r="B38" s="120" t="s">
        <v>316</v>
      </c>
      <c r="C38" s="120"/>
      <c r="D38" s="120"/>
      <c r="E38" s="120"/>
      <c r="F38" s="120"/>
      <c r="G38" s="120"/>
    </row>
    <row r="39" spans="1:8">
      <c r="B39" s="112" t="s">
        <v>92</v>
      </c>
      <c r="C39" s="113">
        <f>C3</f>
        <v>43891</v>
      </c>
      <c r="D39" s="113">
        <f t="shared" ref="D39:G39" si="7">D3</f>
        <v>44256</v>
      </c>
      <c r="E39" s="113">
        <f t="shared" si="7"/>
        <v>44621</v>
      </c>
      <c r="F39" s="113">
        <f t="shared" si="7"/>
        <v>44986</v>
      </c>
      <c r="G39" s="113">
        <f t="shared" si="7"/>
        <v>45352</v>
      </c>
    </row>
    <row r="40" spans="1:8" ht="9.6" customHeight="1"/>
    <row r="41" spans="1:8">
      <c r="B41" t="s">
        <v>317</v>
      </c>
      <c r="C41" s="39">
        <f>SUM('Intrinsic Growth Data'!J43:J44)</f>
        <v>-152</v>
      </c>
      <c r="D41" s="39">
        <f>SUM('Intrinsic Growth Data'!K43:K44)</f>
        <v>-164</v>
      </c>
      <c r="E41" s="39">
        <f>SUM('Intrinsic Growth Data'!L43:L44)</f>
        <v>3</v>
      </c>
      <c r="F41" s="39">
        <f>SUM('Intrinsic Growth Data'!M43:M44)</f>
        <v>8</v>
      </c>
      <c r="G41" s="39">
        <f>SUM('Intrinsic Growth Data'!N43:N44)</f>
        <v>31</v>
      </c>
      <c r="H41" t="s">
        <v>330</v>
      </c>
    </row>
    <row r="42" spans="1:8">
      <c r="B42" t="s">
        <v>318</v>
      </c>
      <c r="C42" s="39"/>
      <c r="D42" s="39">
        <f>D18-C18</f>
        <v>226</v>
      </c>
      <c r="E42" s="39">
        <f t="shared" ref="E42:G42" si="8">E18-D18</f>
        <v>1081</v>
      </c>
      <c r="F42" s="39">
        <f t="shared" si="8"/>
        <v>-872</v>
      </c>
      <c r="G42" s="39">
        <f t="shared" si="8"/>
        <v>122</v>
      </c>
      <c r="H42" t="s">
        <v>331</v>
      </c>
    </row>
    <row r="43" spans="1:8">
      <c r="B43" t="s">
        <v>314</v>
      </c>
      <c r="C43" s="39">
        <f>C35</f>
        <v>1988.53</v>
      </c>
      <c r="D43" s="39">
        <f t="shared" ref="D43:G43" si="9">D35</f>
        <v>2218.0099999999998</v>
      </c>
      <c r="E43" s="39">
        <f t="shared" si="9"/>
        <v>2277.52</v>
      </c>
      <c r="F43" s="39">
        <f t="shared" si="9"/>
        <v>2321.21</v>
      </c>
      <c r="G43" s="39">
        <f t="shared" si="9"/>
        <v>507.79999999999995</v>
      </c>
    </row>
    <row r="44" spans="1:8">
      <c r="B44" t="s">
        <v>319</v>
      </c>
      <c r="C44" s="29">
        <v>0.3</v>
      </c>
      <c r="D44" s="29">
        <v>0.3</v>
      </c>
      <c r="E44" s="29">
        <v>0.3</v>
      </c>
      <c r="F44" s="29">
        <v>0.3</v>
      </c>
      <c r="G44" s="29">
        <v>0.3</v>
      </c>
    </row>
    <row r="45" spans="1:8">
      <c r="B45" t="s">
        <v>320</v>
      </c>
      <c r="C45" s="39">
        <f>C43*(1-C44)</f>
        <v>1391.971</v>
      </c>
      <c r="D45" s="39">
        <f t="shared" ref="D45:G45" si="10">D43*(1-D44)</f>
        <v>1552.6069999999997</v>
      </c>
      <c r="E45" s="39">
        <f t="shared" si="10"/>
        <v>1594.2639999999999</v>
      </c>
      <c r="F45" s="39">
        <f t="shared" si="10"/>
        <v>1624.847</v>
      </c>
      <c r="G45" s="39">
        <f t="shared" si="10"/>
        <v>355.45999999999992</v>
      </c>
      <c r="H45" t="s">
        <v>332</v>
      </c>
    </row>
    <row r="46" spans="1:8">
      <c r="B46" t="s">
        <v>321</v>
      </c>
      <c r="C46" s="39"/>
      <c r="D46" s="39">
        <f>SUM(D41:D42)</f>
        <v>62</v>
      </c>
      <c r="E46" s="39">
        <f t="shared" ref="E46:G46" si="11">SUM(E41:E42)</f>
        <v>1084</v>
      </c>
      <c r="F46" s="39">
        <f t="shared" si="11"/>
        <v>-864</v>
      </c>
      <c r="G46" s="39">
        <f t="shared" si="11"/>
        <v>153</v>
      </c>
      <c r="H46" t="s">
        <v>333</v>
      </c>
    </row>
    <row r="47" spans="1:8">
      <c r="B47" s="2" t="s">
        <v>322</v>
      </c>
      <c r="C47" s="41"/>
      <c r="D47" s="116">
        <f>D46/D45</f>
        <v>3.9932835546922056E-2</v>
      </c>
      <c r="E47" s="116">
        <f t="shared" ref="E47:G47" si="12">E46/E45</f>
        <v>0.67993757621071549</v>
      </c>
      <c r="F47" s="116">
        <f t="shared" si="12"/>
        <v>-0.5317423732819152</v>
      </c>
      <c r="G47" s="116">
        <f t="shared" si="12"/>
        <v>0.43042817757272278</v>
      </c>
      <c r="H47" t="s">
        <v>334</v>
      </c>
    </row>
    <row r="49" spans="1:8">
      <c r="B49" t="s">
        <v>323</v>
      </c>
      <c r="D49" s="5">
        <f>AVERAGE(D47:G47)</f>
        <v>0.15463905401211128</v>
      </c>
    </row>
    <row r="50" spans="1:8">
      <c r="B50" t="s">
        <v>324</v>
      </c>
      <c r="D50" s="5">
        <f>MEDIAN(D47:G47)</f>
        <v>0.23518050655982242</v>
      </c>
    </row>
    <row r="52" spans="1:8">
      <c r="A52" t="s">
        <v>94</v>
      </c>
      <c r="B52" s="120" t="s">
        <v>325</v>
      </c>
      <c r="C52" s="120"/>
      <c r="D52" s="120"/>
      <c r="E52" s="120"/>
      <c r="F52" s="120"/>
      <c r="G52" s="120"/>
    </row>
    <row r="53" spans="1:8">
      <c r="B53" s="112" t="s">
        <v>92</v>
      </c>
      <c r="C53" s="113">
        <f>C39</f>
        <v>43891</v>
      </c>
      <c r="D53" s="113">
        <f t="shared" ref="D53:G53" si="13">D39</f>
        <v>44256</v>
      </c>
      <c r="E53" s="113">
        <f t="shared" si="13"/>
        <v>44621</v>
      </c>
      <c r="F53" s="113">
        <f t="shared" si="13"/>
        <v>44986</v>
      </c>
      <c r="G53" s="113">
        <f t="shared" si="13"/>
        <v>45352</v>
      </c>
    </row>
    <row r="54" spans="1:8" ht="9" customHeight="1"/>
    <row r="55" spans="1:8">
      <c r="B55" t="s">
        <v>322</v>
      </c>
      <c r="D55" s="5">
        <f>D47</f>
        <v>3.9932835546922056E-2</v>
      </c>
      <c r="E55" s="5">
        <f t="shared" ref="E55:G55" si="14">E47</f>
        <v>0.67993757621071549</v>
      </c>
      <c r="F55" s="5">
        <f t="shared" si="14"/>
        <v>-0.5317423732819152</v>
      </c>
      <c r="G55" s="5">
        <f t="shared" si="14"/>
        <v>0.43042817757272278</v>
      </c>
    </row>
    <row r="56" spans="1:8">
      <c r="B56" t="s">
        <v>315</v>
      </c>
      <c r="D56" s="5">
        <f>D36</f>
        <v>0.65738292827504441</v>
      </c>
      <c r="E56" s="5">
        <f t="shared" ref="E56:G56" si="15">E36</f>
        <v>0.4627224705404307</v>
      </c>
      <c r="F56" s="5">
        <f t="shared" si="15"/>
        <v>0.51184343991179715</v>
      </c>
      <c r="G56" s="5">
        <f t="shared" si="15"/>
        <v>8.4774624373956581E-2</v>
      </c>
    </row>
    <row r="57" spans="1:8">
      <c r="B57" s="2" t="s">
        <v>326</v>
      </c>
      <c r="C57" s="2"/>
      <c r="D57" s="16">
        <f>D55*D56</f>
        <v>2.6251164366161407E-2</v>
      </c>
      <c r="E57" s="16">
        <f t="shared" ref="E57:G57" si="16">E55*E56</f>
        <v>0.31462239507749468</v>
      </c>
      <c r="F57" s="16">
        <f t="shared" si="16"/>
        <v>-0.27216884548747838</v>
      </c>
      <c r="G57" s="16">
        <f t="shared" si="16"/>
        <v>3.6489387073694257E-2</v>
      </c>
      <c r="H57" t="s">
        <v>335</v>
      </c>
    </row>
    <row r="59" spans="1:8">
      <c r="B59" t="s">
        <v>323</v>
      </c>
      <c r="D59" s="5">
        <f>AVERAGE(D57:G57)</f>
        <v>2.6298525257467995E-2</v>
      </c>
    </row>
    <row r="60" spans="1:8">
      <c r="B60" t="s">
        <v>324</v>
      </c>
      <c r="D60" s="5">
        <f>MEDIAN(D57:G57)</f>
        <v>3.1370275719927829E-2</v>
      </c>
    </row>
  </sheetData>
  <sheetProtection algorithmName="SHA-512" hashValue="ErOM2odzXkKokGtpkGGOJdJUX8HRZOKmTs4u6vVo/LATwXem5WkdbVB3y+PYRL5S8VPCltVG4nT4HlQDJL2TnA==" saltValue="jcmPvFA+bBtOV8PSqutUyA==" spinCount="100000" sheet="1" objects="1" scenarios="1"/>
  <mergeCells count="3">
    <mergeCell ref="B2:G2"/>
    <mergeCell ref="B38:G38"/>
    <mergeCell ref="B52:G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59C-409F-4FEE-A76A-3DBA7CC38F80}">
  <dimension ref="B2:M28"/>
  <sheetViews>
    <sheetView showGridLines="0" tabSelected="1" topLeftCell="A3" workbookViewId="0">
      <selection activeCell="G28" sqref="G28"/>
    </sheetView>
  </sheetViews>
  <sheetFormatPr defaultRowHeight="14.4"/>
  <cols>
    <col min="1" max="1" width="1.88671875" customWidth="1"/>
    <col min="2" max="2" width="22.5546875" bestFit="1" customWidth="1"/>
    <col min="13" max="13" width="19.21875" bestFit="1" customWidth="1"/>
  </cols>
  <sheetData>
    <row r="2" spans="2:13">
      <c r="B2" s="112" t="s">
        <v>343</v>
      </c>
      <c r="C2" s="122">
        <f>'Intrinsic Growth'!G3</f>
        <v>45352</v>
      </c>
      <c r="D2" s="122">
        <f>C2+365</f>
        <v>45717</v>
      </c>
      <c r="E2" s="122">
        <f t="shared" ref="E2:G2" si="0">D2+365</f>
        <v>46082</v>
      </c>
      <c r="F2" s="122">
        <f t="shared" si="0"/>
        <v>46447</v>
      </c>
      <c r="G2" s="122">
        <f>F2+366</f>
        <v>46813</v>
      </c>
    </row>
    <row r="3" spans="2:13" ht="9" customHeight="1"/>
    <row r="4" spans="2:13">
      <c r="B4" t="s">
        <v>314</v>
      </c>
      <c r="C4">
        <f>'Intrinsic Growth'!G43</f>
        <v>507.79999999999995</v>
      </c>
      <c r="D4" s="33">
        <f>C4*(1+$C$13)</f>
        <v>523.72982601057936</v>
      </c>
      <c r="E4" s="33">
        <f>D4*(1+$C$13)</f>
        <v>540.15937505528109</v>
      </c>
      <c r="F4" s="33">
        <f>E4*(1+$C$13)</f>
        <v>557.10432358346918</v>
      </c>
      <c r="G4" s="33">
        <f>F4*(1+$C$13)</f>
        <v>574.58083981904656</v>
      </c>
      <c r="H4" t="s">
        <v>351</v>
      </c>
    </row>
    <row r="5" spans="2:13">
      <c r="B5" t="s">
        <v>237</v>
      </c>
      <c r="C5" s="5">
        <f>'Intrinsic Growth'!C44</f>
        <v>0.3</v>
      </c>
      <c r="D5" s="5">
        <f>'Intrinsic Growth'!D44</f>
        <v>0.3</v>
      </c>
      <c r="E5" s="5">
        <f>'Intrinsic Growth'!E44</f>
        <v>0.3</v>
      </c>
      <c r="F5" s="5">
        <f>'Intrinsic Growth'!F44</f>
        <v>0.3</v>
      </c>
      <c r="G5" s="5">
        <f>'Intrinsic Growth'!G44</f>
        <v>0.3</v>
      </c>
    </row>
    <row r="6" spans="2:13">
      <c r="B6" t="s">
        <v>320</v>
      </c>
      <c r="C6">
        <f>C4*(1-C5)</f>
        <v>355.45999999999992</v>
      </c>
      <c r="D6" s="33">
        <f t="shared" ref="D6:G6" si="1">D4*(1-D5)</f>
        <v>366.61087820740551</v>
      </c>
      <c r="E6" s="33">
        <f t="shared" si="1"/>
        <v>378.11156253869672</v>
      </c>
      <c r="F6" s="33">
        <f t="shared" si="1"/>
        <v>389.9730265084284</v>
      </c>
      <c r="G6" s="33">
        <f t="shared" si="1"/>
        <v>402.20658787333258</v>
      </c>
    </row>
    <row r="7" spans="2:13">
      <c r="B7" t="s">
        <v>345</v>
      </c>
      <c r="C7" s="5">
        <f>'Intrinsic Growth'!D50</f>
        <v>0.23518050655982242</v>
      </c>
      <c r="D7" s="5">
        <f>C7</f>
        <v>0.23518050655982242</v>
      </c>
      <c r="E7" s="5">
        <f t="shared" ref="E7:G7" si="2">D7</f>
        <v>0.23518050655982242</v>
      </c>
      <c r="F7" s="5">
        <f t="shared" si="2"/>
        <v>0.23518050655982242</v>
      </c>
      <c r="G7" s="5">
        <f t="shared" si="2"/>
        <v>0.23518050655982242</v>
      </c>
      <c r="H7" t="s">
        <v>352</v>
      </c>
    </row>
    <row r="8" spans="2:13">
      <c r="B8" t="s">
        <v>346</v>
      </c>
      <c r="C8" s="33">
        <f>C6*(1-C7)</f>
        <v>271.86273713824545</v>
      </c>
      <c r="D8" s="33">
        <f t="shared" ref="D8:G8" si="3">D6*(1-D7)</f>
        <v>280.39114616024648</v>
      </c>
      <c r="E8" s="33">
        <f t="shared" si="3"/>
        <v>289.18709372472</v>
      </c>
      <c r="F8" s="33">
        <f t="shared" si="3"/>
        <v>298.25897258950914</v>
      </c>
      <c r="G8" s="33">
        <f t="shared" si="3"/>
        <v>307.61543879558445</v>
      </c>
      <c r="H8" t="s">
        <v>353</v>
      </c>
    </row>
    <row r="9" spans="2:13">
      <c r="B9" t="s">
        <v>347</v>
      </c>
      <c r="C9">
        <v>0.5</v>
      </c>
      <c r="D9">
        <f>C9+1</f>
        <v>1.5</v>
      </c>
      <c r="E9">
        <f t="shared" ref="E9:G9" si="4">D9+1</f>
        <v>2.5</v>
      </c>
      <c r="F9">
        <f t="shared" si="4"/>
        <v>3.5</v>
      </c>
      <c r="G9">
        <f t="shared" si="4"/>
        <v>4.5</v>
      </c>
    </row>
    <row r="10" spans="2:13">
      <c r="B10" t="s">
        <v>348</v>
      </c>
      <c r="C10" s="33">
        <f>1/(1+$C$19)^C9</f>
        <v>0.88808766037704212</v>
      </c>
      <c r="D10" s="33">
        <f>1/(1+$C$19)^D9</f>
        <v>0.70043446466482273</v>
      </c>
      <c r="E10" s="33">
        <f>1/(1+$C$19)^E9</f>
        <v>0.55243244690733195</v>
      </c>
      <c r="F10" s="33">
        <f>1/(1+$C$19)^F9</f>
        <v>0.43570330101055188</v>
      </c>
      <c r="G10" s="33">
        <f>1/(1+$C$19)^G9</f>
        <v>0.34363905953434332</v>
      </c>
      <c r="H10" t="s">
        <v>354</v>
      </c>
    </row>
    <row r="11" spans="2:13" ht="15" thickBot="1">
      <c r="B11" s="123" t="s">
        <v>349</v>
      </c>
      <c r="C11" s="124">
        <f>C8*C10</f>
        <v>241.4379421688032</v>
      </c>
      <c r="D11" s="124">
        <f t="shared" ref="D11:G11" si="5">D8*D10</f>
        <v>196.3956223575083</v>
      </c>
      <c r="E11" s="124">
        <f t="shared" si="5"/>
        <v>159.756333800367</v>
      </c>
      <c r="F11" s="124">
        <f t="shared" si="5"/>
        <v>129.95241891326484</v>
      </c>
      <c r="G11" s="124">
        <f t="shared" si="5"/>
        <v>105.70868008595899</v>
      </c>
      <c r="H11" t="s">
        <v>355</v>
      </c>
    </row>
    <row r="12" spans="2:13" ht="15" thickTop="1">
      <c r="E12" s="127"/>
    </row>
    <row r="13" spans="2:13">
      <c r="B13" t="s">
        <v>344</v>
      </c>
      <c r="C13" s="5">
        <f>'Intrinsic Growth'!D60</f>
        <v>3.1370275719927829E-2</v>
      </c>
      <c r="H13" t="s">
        <v>350</v>
      </c>
    </row>
    <row r="14" spans="2:13">
      <c r="B14" t="s">
        <v>356</v>
      </c>
      <c r="C14" s="5">
        <v>0.05</v>
      </c>
    </row>
    <row r="15" spans="2:13">
      <c r="B15" t="s">
        <v>246</v>
      </c>
      <c r="C15" s="5">
        <f>Wacc!N27</f>
        <v>0.26790971201283842</v>
      </c>
    </row>
    <row r="16" spans="2:13">
      <c r="M16" s="125"/>
    </row>
    <row r="17" spans="2:8">
      <c r="B17" s="112" t="s">
        <v>357</v>
      </c>
      <c r="C17" s="126"/>
    </row>
    <row r="18" spans="2:8">
      <c r="B18" t="s">
        <v>358</v>
      </c>
      <c r="C18" s="33">
        <f>G8*(1+C13)</f>
        <v>317.26541992630854</v>
      </c>
      <c r="H18" t="s">
        <v>359</v>
      </c>
    </row>
    <row r="19" spans="2:8">
      <c r="B19" t="s">
        <v>246</v>
      </c>
      <c r="C19" s="5">
        <f>Wacc!N27</f>
        <v>0.26790971201283842</v>
      </c>
    </row>
    <row r="20" spans="2:8">
      <c r="B20" t="s">
        <v>344</v>
      </c>
      <c r="C20" s="5">
        <f>C13</f>
        <v>3.1370275719927829E-2</v>
      </c>
    </row>
    <row r="22" spans="2:8">
      <c r="B22" s="128" t="s">
        <v>360</v>
      </c>
      <c r="C22" s="128">
        <f>C18/(C19-C20)</f>
        <v>1341.2791748325369</v>
      </c>
      <c r="H22" t="s">
        <v>361</v>
      </c>
    </row>
    <row r="24" spans="2:8">
      <c r="B24" s="112" t="s">
        <v>362</v>
      </c>
      <c r="C24" s="126"/>
    </row>
    <row r="25" spans="2:8">
      <c r="B25" t="s">
        <v>349</v>
      </c>
      <c r="C25" s="33">
        <f>SUM(C11:G11)</f>
        <v>833.2509973259024</v>
      </c>
      <c r="H25" t="s">
        <v>367</v>
      </c>
    </row>
    <row r="26" spans="2:8">
      <c r="B26" t="s">
        <v>363</v>
      </c>
      <c r="C26" s="33">
        <f>C22*G10</f>
        <v>460.915914212453</v>
      </c>
      <c r="H26" t="s">
        <v>364</v>
      </c>
    </row>
    <row r="28" spans="2:8">
      <c r="B28" s="128" t="s">
        <v>365</v>
      </c>
      <c r="C28" s="129">
        <f>SUM(C25:C26)</f>
        <v>1294.1669115383554</v>
      </c>
      <c r="H28" t="s">
        <v>366</v>
      </c>
    </row>
  </sheetData>
  <sheetProtection algorithmName="SHA-512" hashValue="tMfPhcJBDlHw2ElHdMRP4aOEE7L4X/kqYPYtB4A+DqQ99MZs4Vwc2pxNc/tneRoVb4IhjRwCoWVb0rxxI6P4Kg==" saltValue="6ovDq3NXS16RyNOTZhbD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Profit &amp; Loss</vt:lpstr>
      <vt:lpstr>Quarters</vt:lpstr>
      <vt:lpstr>Balance Sheet</vt:lpstr>
      <vt:lpstr>Cash Flow</vt:lpstr>
      <vt:lpstr>Customization</vt:lpstr>
      <vt:lpstr>Data Sheet</vt:lpstr>
      <vt:lpstr>3 Statements</vt:lpstr>
      <vt:lpstr>Ratio Analysis</vt:lpstr>
      <vt:lpstr>Forecasting</vt:lpstr>
      <vt:lpstr>Wacc</vt:lpstr>
      <vt:lpstr>Rm</vt:lpstr>
      <vt:lpstr>Common Size Statement</vt:lpstr>
      <vt:lpstr>Intrinsic Growth Data</vt:lpstr>
      <vt:lpstr>Intrinsic Growth</vt:lpstr>
      <vt:lpstr>Terminal Value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ritikakhatwani@outlook.com</cp:lastModifiedBy>
  <cp:lastPrinted>2012-12-06T18:14:13Z</cp:lastPrinted>
  <dcterms:created xsi:type="dcterms:W3CDTF">2012-08-17T09:55:37Z</dcterms:created>
  <dcterms:modified xsi:type="dcterms:W3CDTF">2025-05-08T10:53:26Z</dcterms:modified>
</cp:coreProperties>
</file>