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ate1904="1"/>
  <mc:AlternateContent xmlns:mc="http://schemas.openxmlformats.org/markup-compatibility/2006">
    <mc:Choice Requires="x15">
      <x15ac:absPath xmlns:x15ac="http://schemas.microsoft.com/office/spreadsheetml/2010/11/ac" url="C:\Users\Tyler\OneDrive - The University of Western Australia\Documents\Blog\How Pros Discount Cashflows\"/>
    </mc:Choice>
  </mc:AlternateContent>
  <xr:revisionPtr revIDLastSave="0" documentId="8_{BB30BED7-9DEB-4055-8ACD-1E2358E77E87}" xr6:coauthVersionLast="47" xr6:coauthVersionMax="47" xr10:uidLastSave="{00000000-0000-0000-0000-000000000000}"/>
  <bookViews>
    <workbookView xWindow="-28920" yWindow="-120" windowWidth="29040" windowHeight="16440"/>
  </bookViews>
  <sheets>
    <sheet name="Impl premium calculator" sheetId="1" r:id="rId1"/>
    <sheet name="Buyback computation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'Impl premium calculator'!$C$18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'Impl premium calculator'!$B$24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1468.36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D29" i="2"/>
  <c r="C26" i="2"/>
  <c r="C31" i="2"/>
  <c r="D31" i="2"/>
  <c r="D26" i="2"/>
  <c r="E26" i="2" s="1"/>
  <c r="I2" i="1" s="1"/>
  <c r="C3" i="1" s="1"/>
  <c r="F25" i="2"/>
  <c r="G25" i="2"/>
  <c r="H25" i="2"/>
  <c r="D30" i="2"/>
  <c r="C30" i="2"/>
  <c r="C7" i="1"/>
  <c r="C2" i="2"/>
  <c r="C3" i="2"/>
  <c r="C4" i="2"/>
  <c r="C5" i="2"/>
  <c r="C6" i="2"/>
  <c r="C7" i="2"/>
  <c r="C8" i="2"/>
  <c r="D10" i="2"/>
  <c r="C16" i="2"/>
  <c r="D16" i="2"/>
  <c r="E16" i="2"/>
  <c r="C17" i="2"/>
  <c r="D17" i="2"/>
  <c r="E17" i="2"/>
  <c r="C18" i="2"/>
  <c r="D18" i="2"/>
  <c r="E18" i="2"/>
  <c r="C19" i="2"/>
  <c r="E19" i="2" s="1"/>
  <c r="D19" i="2"/>
  <c r="C20" i="2"/>
  <c r="E20" i="2" s="1"/>
  <c r="D20" i="2"/>
  <c r="C21" i="2"/>
  <c r="D21" i="2"/>
  <c r="E21" i="2"/>
  <c r="C22" i="2"/>
  <c r="D22" i="2"/>
  <c r="E22" i="2"/>
  <c r="E23" i="2"/>
  <c r="D24" i="2"/>
  <c r="E24" i="2"/>
  <c r="F24" i="2"/>
  <c r="G24" i="2"/>
  <c r="H24" i="2"/>
  <c r="C32" i="2"/>
  <c r="D32" i="2"/>
  <c r="C11" i="1" l="1"/>
  <c r="C13" i="1" s="1"/>
  <c r="B21" i="1"/>
  <c r="B23" i="1" s="1"/>
  <c r="C21" i="1"/>
  <c r="C23" i="1" s="1"/>
  <c r="E21" i="1"/>
  <c r="E23" i="1" s="1"/>
  <c r="F11" i="1"/>
  <c r="F21" i="1"/>
  <c r="D11" i="1"/>
  <c r="D13" i="1" s="1"/>
  <c r="E11" i="1"/>
  <c r="E13" i="1" s="1"/>
  <c r="D21" i="1"/>
  <c r="D23" i="1" s="1"/>
  <c r="B11" i="1"/>
  <c r="B13" i="1" s="1"/>
  <c r="G21" i="1" l="1"/>
  <c r="F22" i="1"/>
  <c r="F23" i="1" s="1"/>
  <c r="B24" i="1" s="1"/>
  <c r="G11" i="1"/>
  <c r="F12" i="1"/>
  <c r="F13" i="1" s="1"/>
  <c r="B14" i="1" s="1"/>
</calcChain>
</file>

<file path=xl/comments1.xml><?xml version="1.0" encoding="utf-8"?>
<comments xmlns="http://schemas.openxmlformats.org/spreadsheetml/2006/main">
  <authors>
    <author>Aswath Damodaran</author>
  </authors>
  <commentList>
    <comment ref="C2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current level of the index.</t>
        </r>
      </text>
    </comment>
    <comment ref="C3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expected dividend yield. You can also add expected stock buybacks to dividends.</t>
        </r>
      </text>
    </comment>
    <comment ref="C4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should be a forecast of earnings growth from analysts following stocks in the index.</t>
        </r>
      </text>
    </comment>
    <comment ref="C5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Thks is the current rate on a long term government bond.</t>
        </r>
      </text>
    </comment>
    <comment ref="C6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expected risk premium for investing in stock.</t>
        </r>
      </text>
    </comment>
    <comment ref="C7" authorId="0" shapeId="0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As a default, I will set this equal to the treasury bond rate. You can reset it to a lower number.</t>
        </r>
      </text>
    </comment>
  </commentList>
</comments>
</file>

<file path=xl/sharedStrings.xml><?xml version="1.0" encoding="utf-8"?>
<sst xmlns="http://schemas.openxmlformats.org/spreadsheetml/2006/main" count="42" uniqueCount="37">
  <si>
    <t>Step 1: Update the index level (C2) and the long term bond rate (C5). Do not change any of the other inputs.</t>
    <phoneticPr fontId="10" type="noConversion"/>
  </si>
  <si>
    <t>Step 2: Open the goal seek function in excel (Trust me. Its in there somewhere)</t>
    <phoneticPr fontId="10" type="noConversion"/>
  </si>
  <si>
    <t>Implied Risk Premium Calculator</t>
  </si>
  <si>
    <t>Enter level of the index =</t>
  </si>
  <si>
    <t>Enter current dividend yield =</t>
  </si>
  <si>
    <t>Enter expected growth rate in earnings for next 5 years for market =</t>
  </si>
  <si>
    <t>Enter current long term bond rate =</t>
  </si>
  <si>
    <t>Enter risk premium =</t>
  </si>
  <si>
    <t>Enter expected growth rate in the long term =</t>
  </si>
  <si>
    <t>Expected Dividends =</t>
  </si>
  <si>
    <t>Expected Terminal Value =</t>
  </si>
  <si>
    <t>Present Value =</t>
  </si>
  <si>
    <t>Intrinsic Value of Index =</t>
  </si>
  <si>
    <t>Implied Risk Premium in current level of Index =</t>
  </si>
  <si>
    <t>(Go under Tools and choose Solver: See below)</t>
  </si>
  <si>
    <t>Intrinsic Value Estimate</t>
  </si>
  <si>
    <t>Implied Risk Premium</t>
  </si>
  <si>
    <t>Yield</t>
  </si>
  <si>
    <t>Dividend Yield</t>
  </si>
  <si>
    <t>Buybacks/Index</t>
  </si>
  <si>
    <t>Average yield between 2001-2007 =</t>
  </si>
  <si>
    <t>Year</t>
  </si>
  <si>
    <t>Dividends and Buybacks Trailing 12 months (normalized) =</t>
    <phoneticPr fontId="10" type="noConversion"/>
  </si>
  <si>
    <t>Year</t>
    <phoneticPr fontId="10" type="noConversion"/>
  </si>
  <si>
    <t>Dividend yield</t>
    <phoneticPr fontId="10" type="noConversion"/>
  </si>
  <si>
    <t>Buyback yield</t>
    <phoneticPr fontId="10" type="noConversion"/>
  </si>
  <si>
    <t>Total yield</t>
    <phoneticPr fontId="10" type="noConversion"/>
  </si>
  <si>
    <t>Dividends</t>
    <phoneticPr fontId="10" type="noConversion"/>
  </si>
  <si>
    <t>Buybacks</t>
    <phoneticPr fontId="10" type="noConversion"/>
  </si>
  <si>
    <t>Cash to equity</t>
    <phoneticPr fontId="10" type="noConversion"/>
  </si>
  <si>
    <t>Market value of index</t>
    <phoneticPr fontId="10" type="noConversion"/>
  </si>
  <si>
    <t>How to use this spreadsheet</t>
    <phoneticPr fontId="10" type="noConversion"/>
  </si>
  <si>
    <t>Step 3: In the goal seek box, set cell B24 to the current value of the index by changing cell C18.</t>
    <phoneticPr fontId="10" type="noConversion"/>
  </si>
  <si>
    <t>Ratio</t>
    <phoneticPr fontId="10" type="noConversion"/>
  </si>
  <si>
    <t>Trailing 12 month</t>
    <phoneticPr fontId="10" type="noConversion"/>
  </si>
  <si>
    <t>Dividends</t>
    <phoneticPr fontId="10" type="noConversion"/>
  </si>
  <si>
    <t>Trailing 12 month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</si>
</sst>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_(&quot;$&quot;* #,##0.00_);_(&quot;$&quot;* \(#,##0.00\);_(&quot;$&quot;* &quot;-&quot;??_);_(@_)"/>
    <numFmt numFmtId="171" formatCode="_(* #,##0.00_);_(* \(#,##0.00\);_(* &quot;-&quot;??_);_(@_)"/>
    <numFmt numFmtId="175" formatCode="&quot;$&quot;#,##0.00"/>
    <numFmt numFmtId="177" formatCode="_(* #,##0_);_(* \(#,##0\);_(* &quot;-&quot;??_);_(@_)"/>
  </numFmts>
  <fonts count="13">
    <font>
      <b/>
      <sz val="10"/>
      <name val="Geneva"/>
    </font>
    <font>
      <b/>
      <sz val="10"/>
      <name val="Geneva"/>
    </font>
    <font>
      <sz val="10"/>
      <name val="Geneva"/>
    </font>
    <font>
      <sz val="24"/>
      <name val="Geneva"/>
    </font>
    <font>
      <sz val="10"/>
      <name val="Times"/>
    </font>
    <font>
      <b/>
      <sz val="10"/>
      <name val="Times"/>
    </font>
    <font>
      <sz val="12"/>
      <name val="Times"/>
    </font>
    <font>
      <sz val="9"/>
      <color indexed="81"/>
      <name val="Geneva"/>
    </font>
    <font>
      <b/>
      <sz val="9"/>
      <color indexed="81"/>
      <name val="Geneva"/>
    </font>
    <font>
      <b/>
      <sz val="12"/>
      <name val="Times"/>
    </font>
    <font>
      <sz val="8"/>
      <name val="Verdana"/>
      <family val="2"/>
    </font>
    <font>
      <sz val="10"/>
      <color indexed="10"/>
      <name val="Times"/>
    </font>
    <font>
      <b/>
      <sz val="10"/>
      <color indexed="10"/>
      <name val="Time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5" fillId="0" borderId="0" xfId="0" applyFont="1"/>
    <xf numFmtId="10" fontId="4" fillId="0" borderId="1" xfId="0" applyNumberFormat="1" applyFont="1" applyBorder="1"/>
    <xf numFmtId="9" fontId="5" fillId="0" borderId="0" xfId="0" applyNumberFormat="1" applyFont="1"/>
    <xf numFmtId="10" fontId="4" fillId="0" borderId="1" xfId="3" applyNumberFormat="1" applyFont="1" applyBorder="1"/>
    <xf numFmtId="170" fontId="4" fillId="0" borderId="1" xfId="2" applyFont="1" applyBorder="1"/>
    <xf numFmtId="170" fontId="4" fillId="0" borderId="2" xfId="2" applyFont="1" applyBorder="1"/>
    <xf numFmtId="170" fontId="4" fillId="0" borderId="0" xfId="2" applyFont="1" applyBorder="1"/>
    <xf numFmtId="175" fontId="4" fillId="0" borderId="1" xfId="0" applyNumberFormat="1" applyFont="1" applyBorder="1"/>
    <xf numFmtId="175" fontId="4" fillId="0" borderId="1" xfId="2" applyNumberFormat="1" applyFont="1" applyBorder="1"/>
    <xf numFmtId="177" fontId="4" fillId="0" borderId="1" xfId="1" applyNumberFormat="1" applyFont="1" applyBorder="1" applyAlignment="1">
      <alignment horizontal="center"/>
    </xf>
    <xf numFmtId="175" fontId="5" fillId="0" borderId="0" xfId="0" applyNumberFormat="1" applyFont="1"/>
    <xf numFmtId="0" fontId="9" fillId="0" borderId="0" xfId="0" applyFont="1"/>
    <xf numFmtId="0" fontId="4" fillId="0" borderId="3" xfId="0" applyFont="1" applyBorder="1"/>
    <xf numFmtId="10" fontId="6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11" fillId="0" borderId="1" xfId="0" applyNumberFormat="1" applyFont="1" applyBorder="1"/>
    <xf numFmtId="0" fontId="11" fillId="0" borderId="1" xfId="0" applyFont="1" applyBorder="1"/>
    <xf numFmtId="0" fontId="0" fillId="0" borderId="9" xfId="0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2" xfId="0" applyNumberFormat="1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List1" displayName="List1" ref="A1:D10" totalsRowShown="0" headerRowDxfId="0">
  <autoFilter ref="A1:D10"/>
  <tableColumns count="4">
    <tableColumn id="1" name="Year"/>
    <tableColumn id="2" name="Dividend Yield"/>
    <tableColumn id="3" name="Buybacks/Index"/>
    <tableColumn id="4" name="Yiel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zoomScale="125" workbookViewId="0">
      <selection activeCell="M19" sqref="M19"/>
    </sheetView>
  </sheetViews>
  <sheetFormatPr defaultRowHeight="12.75"/>
  <cols>
    <col min="1" max="1" width="16.7109375" customWidth="1"/>
    <col min="2" max="6" width="12.5703125" customWidth="1"/>
    <col min="7" max="7" width="9.42578125" customWidth="1"/>
    <col min="8" max="256" width="11.42578125" customWidth="1"/>
  </cols>
  <sheetData>
    <row r="1" spans="1:9" s="1" customFormat="1" ht="30.75" thickBot="1">
      <c r="A1" s="1" t="s">
        <v>2</v>
      </c>
    </row>
    <row r="2" spans="1:9" s="4" customFormat="1" ht="13.5" thickBot="1">
      <c r="A2" s="2" t="s">
        <v>3</v>
      </c>
      <c r="B2" s="2"/>
      <c r="C2" s="28">
        <v>1320.64</v>
      </c>
      <c r="F2" s="4" t="s">
        <v>22</v>
      </c>
      <c r="I2" s="43">
        <f>'Buyback computation'!E26</f>
        <v>62.240511129431155</v>
      </c>
    </row>
    <row r="3" spans="1:9" s="4" customFormat="1">
      <c r="A3" s="2" t="s">
        <v>4</v>
      </c>
      <c r="B3" s="2"/>
      <c r="C3" s="5">
        <f>I2/C2</f>
        <v>4.7129051921364754E-2</v>
      </c>
      <c r="D3" s="2"/>
      <c r="F3" s="6"/>
    </row>
    <row r="4" spans="1:9" s="4" customFormat="1">
      <c r="A4" s="2" t="s">
        <v>5</v>
      </c>
      <c r="B4" s="2"/>
      <c r="C4" s="5">
        <v>6.9500000000000006E-2</v>
      </c>
      <c r="F4" s="4" t="s">
        <v>31</v>
      </c>
    </row>
    <row r="5" spans="1:9" s="4" customFormat="1">
      <c r="A5" s="2" t="s">
        <v>6</v>
      </c>
      <c r="B5" s="2"/>
      <c r="C5" s="27">
        <v>3.1699999999999999E-2</v>
      </c>
      <c r="F5" s="2" t="s">
        <v>0</v>
      </c>
    </row>
    <row r="6" spans="1:9" s="4" customFormat="1">
      <c r="A6" s="2" t="s">
        <v>7</v>
      </c>
      <c r="B6" s="2"/>
      <c r="C6" s="7">
        <v>0.05</v>
      </c>
      <c r="F6" s="2" t="s">
        <v>1</v>
      </c>
    </row>
    <row r="7" spans="1:9" s="2" customFormat="1">
      <c r="A7" s="2" t="s">
        <v>8</v>
      </c>
      <c r="C7" s="5">
        <f>C5</f>
        <v>3.1699999999999999E-2</v>
      </c>
      <c r="F7" s="2" t="s">
        <v>32</v>
      </c>
    </row>
    <row r="8" spans="1:9" s="4" customFormat="1" ht="13.5" thickBot="1"/>
    <row r="9" spans="1:9" s="15" customFormat="1" ht="16.5" thickBot="1">
      <c r="A9" s="44" t="s">
        <v>15</v>
      </c>
      <c r="B9" s="45"/>
      <c r="C9" s="45"/>
      <c r="D9" s="45"/>
      <c r="E9" s="45"/>
      <c r="F9" s="46"/>
    </row>
    <row r="10" spans="1:9" s="4" customFormat="1">
      <c r="A10" s="16"/>
      <c r="B10" s="16">
        <v>1</v>
      </c>
      <c r="C10" s="16">
        <v>2</v>
      </c>
      <c r="D10" s="16">
        <v>3</v>
      </c>
      <c r="E10" s="16">
        <v>4</v>
      </c>
      <c r="F10" s="16">
        <v>5</v>
      </c>
    </row>
    <row r="11" spans="1:9" s="4" customFormat="1">
      <c r="A11" s="3" t="s">
        <v>9</v>
      </c>
      <c r="B11" s="8">
        <f>$C$3*$C$2*(1+$C$4)^B10</f>
        <v>66.56622665292663</v>
      </c>
      <c r="C11" s="8">
        <f>$C$3*$C$2*(1+$C$4)^C10</f>
        <v>71.192579405305025</v>
      </c>
      <c r="D11" s="8">
        <f>$C$3*$C$2*(1+$C$4)^D10</f>
        <v>76.140463673973741</v>
      </c>
      <c r="E11" s="8">
        <f>$C$3*$C$2*(1+$C$4)^E10</f>
        <v>81.432225899314915</v>
      </c>
      <c r="F11" s="8">
        <f>$C$3*$C$2*(1+$C$4)^F10</f>
        <v>87.091765599317327</v>
      </c>
      <c r="G11" s="4">
        <f>F11*(1+C7)</f>
        <v>89.852574568815697</v>
      </c>
    </row>
    <row r="12" spans="1:9" s="4" customFormat="1">
      <c r="A12" s="3" t="s">
        <v>10</v>
      </c>
      <c r="B12" s="8"/>
      <c r="C12" s="8"/>
      <c r="D12" s="8"/>
      <c r="E12" s="8"/>
      <c r="F12" s="8">
        <f>F11*(1+C7)/(C5+C6-C7)</f>
        <v>1797.0514913763141</v>
      </c>
    </row>
    <row r="13" spans="1:9" s="4" customFormat="1" ht="13.5" thickBot="1">
      <c r="A13" s="3" t="s">
        <v>11</v>
      </c>
      <c r="B13" s="8">
        <f>B11/(1+$C$5+$C$6)^B10</f>
        <v>61.538528846192683</v>
      </c>
      <c r="C13" s="8">
        <f>C11/(1+$C$5+$C$6)^C10</f>
        <v>60.844463900344884</v>
      </c>
      <c r="D13" s="8">
        <f>D11/(1+$C$5+$C$6)^D10</f>
        <v>60.158226995857319</v>
      </c>
      <c r="E13" s="8">
        <f>E11/(1+$C$5+$C$6)^E10</f>
        <v>59.479729843828594</v>
      </c>
      <c r="F13" s="8">
        <f>(F11+F12)/(1+$C$5+$C$6)^F10</f>
        <v>1272.2714213594941</v>
      </c>
    </row>
    <row r="14" spans="1:9" s="4" customFormat="1" ht="13.5" thickBot="1">
      <c r="A14" s="3" t="s">
        <v>12</v>
      </c>
      <c r="B14" s="9">
        <f>SUM(B13:F13)</f>
        <v>1514.2923709457175</v>
      </c>
      <c r="C14" s="10"/>
      <c r="D14" s="10"/>
      <c r="E14" s="10"/>
      <c r="F14" s="10"/>
    </row>
    <row r="15" spans="1:9" s="4" customFormat="1"/>
    <row r="16" spans="1:9" s="4" customFormat="1" ht="13.5" thickBot="1"/>
    <row r="17" spans="1:7" s="15" customFormat="1" ht="15" customHeight="1" thickBot="1">
      <c r="A17" s="44" t="s">
        <v>16</v>
      </c>
      <c r="B17" s="45"/>
      <c r="C17" s="45"/>
      <c r="D17" s="45"/>
      <c r="E17" s="45"/>
      <c r="F17" s="46"/>
    </row>
    <row r="18" spans="1:7" s="4" customFormat="1" ht="16.5" thickBot="1">
      <c r="A18" s="2" t="s">
        <v>13</v>
      </c>
      <c r="C18" s="17">
        <v>5.7218321479622095E-2</v>
      </c>
      <c r="D18" s="4" t="s">
        <v>14</v>
      </c>
    </row>
    <row r="19" spans="1:7" s="4" customFormat="1"/>
    <row r="20" spans="1:7" s="4" customFormat="1">
      <c r="A20" s="11"/>
      <c r="B20" s="13">
        <v>1</v>
      </c>
      <c r="C20" s="13">
        <v>2</v>
      </c>
      <c r="D20" s="13">
        <v>3</v>
      </c>
      <c r="E20" s="13">
        <v>4</v>
      </c>
      <c r="F20" s="13">
        <v>5</v>
      </c>
    </row>
    <row r="21" spans="1:7" s="4" customFormat="1">
      <c r="A21" s="11" t="s">
        <v>9</v>
      </c>
      <c r="B21" s="12">
        <f>$C$3*$C$2*(1+$C$4)^B20</f>
        <v>66.56622665292663</v>
      </c>
      <c r="C21" s="12">
        <f>$C$3*$C$2*(1+$C$4)^C20</f>
        <v>71.192579405305025</v>
      </c>
      <c r="D21" s="12">
        <f>$C$3*$C$2*(1+$C$4)^D20</f>
        <v>76.140463673973741</v>
      </c>
      <c r="E21" s="12">
        <f>$C$3*$C$2*(1+$C$4)^E20</f>
        <v>81.432225899314915</v>
      </c>
      <c r="F21" s="12">
        <f>$C$3*$C$2*(1+$C$4)^F20</f>
        <v>87.091765599317327</v>
      </c>
      <c r="G21" s="14">
        <f>F21*1.065</f>
        <v>92.752730363272946</v>
      </c>
    </row>
    <row r="22" spans="1:7" s="4" customFormat="1">
      <c r="A22" s="3" t="s">
        <v>10</v>
      </c>
      <c r="B22" s="8"/>
      <c r="C22" s="8"/>
      <c r="D22" s="8"/>
      <c r="E22" s="8"/>
      <c r="F22" s="8">
        <f>F21*(1+C7)/(C5+C18-C7)</f>
        <v>1570.3462150810572</v>
      </c>
    </row>
    <row r="23" spans="1:7" s="4" customFormat="1" ht="13.5" thickBot="1">
      <c r="A23" s="3" t="s">
        <v>11</v>
      </c>
      <c r="B23" s="8">
        <f>B21/(1+$C$5+$C$18)^B20</f>
        <v>61.130596611209967</v>
      </c>
      <c r="C23" s="8">
        <f>C21/(1+$C$5+$C$18)^C20</f>
        <v>60.040474832723767</v>
      </c>
      <c r="D23" s="8">
        <f>D21/(1+$C$5+$C$18)^D20</f>
        <v>58.969792836569304</v>
      </c>
      <c r="E23" s="8">
        <f>E21/(1+$C$5+$C$18)^E20</f>
        <v>57.918203959516283</v>
      </c>
      <c r="F23" s="8">
        <f>(F21+F22)/(1+$C$5+C18)^F20</f>
        <v>1082.5818991695423</v>
      </c>
    </row>
    <row r="24" spans="1:7" s="4" customFormat="1" ht="13.5" thickBot="1">
      <c r="A24" s="3" t="s">
        <v>12</v>
      </c>
      <c r="B24" s="9">
        <f>SUM(B23:F23)</f>
        <v>1320.6409674095617</v>
      </c>
      <c r="C24" s="10"/>
      <c r="D24" s="10"/>
      <c r="E24" s="10"/>
      <c r="F24" s="10"/>
    </row>
    <row r="25" spans="1:7" s="4" customFormat="1"/>
  </sheetData>
  <mergeCells count="2">
    <mergeCell ref="A9:F9"/>
    <mergeCell ref="A17:F17"/>
  </mergeCells>
  <phoneticPr fontId="10" type="noConversion"/>
  <printOptions gridLines="1" gridLinesSet="0"/>
  <pageMargins left="0.75" right="0.75" top="1" bottom="1" header="0.5" footer="0.5"/>
  <pageSetup orientation="landscape" horizontalDpi="4294967292" verticalDpi="4294967292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30" sqref="C30"/>
    </sheetView>
  </sheetViews>
  <sheetFormatPr defaultColWidth="10.7109375" defaultRowHeight="12.75"/>
  <cols>
    <col min="1" max="1" width="10.7109375" style="18"/>
    <col min="2" max="2" width="15.85546875" style="18" bestFit="1" customWidth="1"/>
    <col min="3" max="16384" width="10.7109375" style="18"/>
  </cols>
  <sheetData>
    <row r="1" spans="1:8">
      <c r="A1" s="30" t="s">
        <v>21</v>
      </c>
      <c r="B1" s="18" t="s">
        <v>18</v>
      </c>
      <c r="C1" s="18" t="s">
        <v>19</v>
      </c>
      <c r="D1" s="18" t="s">
        <v>17</v>
      </c>
    </row>
    <row r="2" spans="1:8">
      <c r="A2" s="31">
        <v>2001</v>
      </c>
      <c r="B2" s="19">
        <v>1.3709726589378883E-2</v>
      </c>
      <c r="C2" s="19">
        <f t="shared" ref="C2:C8" si="0">D2-B2</f>
        <v>1.2490273410621118E-2</v>
      </c>
      <c r="D2" s="19">
        <v>2.6200000000000001E-2</v>
      </c>
    </row>
    <row r="3" spans="1:8">
      <c r="A3" s="31">
        <v>2002</v>
      </c>
      <c r="B3" s="19">
        <v>1.8140074106067151E-2</v>
      </c>
      <c r="C3" s="19">
        <f t="shared" si="0"/>
        <v>1.5759925893932849E-2</v>
      </c>
      <c r="D3" s="19">
        <v>3.39E-2</v>
      </c>
    </row>
    <row r="4" spans="1:8">
      <c r="A4" s="31">
        <v>2003</v>
      </c>
      <c r="B4" s="19">
        <v>1.6080438164959392E-2</v>
      </c>
      <c r="C4" s="19">
        <f t="shared" si="0"/>
        <v>1.2319561835040609E-2</v>
      </c>
      <c r="D4" s="19">
        <v>2.8400000000000002E-2</v>
      </c>
    </row>
    <row r="5" spans="1:8">
      <c r="A5" s="31">
        <v>2004</v>
      </c>
      <c r="B5" s="19">
        <v>1.568585385173939E-2</v>
      </c>
      <c r="C5" s="19">
        <f t="shared" si="0"/>
        <v>1.7814146148260612E-2</v>
      </c>
      <c r="D5" s="19">
        <v>3.3500000000000002E-2</v>
      </c>
    </row>
    <row r="6" spans="1:8">
      <c r="A6" s="31">
        <v>2005</v>
      </c>
      <c r="B6" s="19">
        <v>1.7931730607471018E-2</v>
      </c>
      <c r="C6" s="19">
        <f t="shared" si="0"/>
        <v>3.1068269392528984E-2</v>
      </c>
      <c r="D6" s="19">
        <v>4.9000000000000002E-2</v>
      </c>
    </row>
    <row r="7" spans="1:8">
      <c r="A7" s="31">
        <v>2006</v>
      </c>
      <c r="B7" s="19">
        <v>1.766198970598604E-2</v>
      </c>
      <c r="C7" s="19">
        <f t="shared" si="0"/>
        <v>3.3838010294013954E-2</v>
      </c>
      <c r="D7" s="20">
        <v>5.1499999999999997E-2</v>
      </c>
    </row>
    <row r="8" spans="1:8">
      <c r="A8" s="32">
        <v>2007</v>
      </c>
      <c r="B8" s="24">
        <v>1.8885014574082652E-2</v>
      </c>
      <c r="C8" s="26">
        <f t="shared" si="0"/>
        <v>4.0014985425917346E-2</v>
      </c>
      <c r="D8" s="23">
        <v>5.8900000000000001E-2</v>
      </c>
    </row>
    <row r="9" spans="1:8" ht="13.5" thickBot="1">
      <c r="A9" s="18">
        <v>2008</v>
      </c>
      <c r="B9" s="33">
        <v>3.1099999999999999E-2</v>
      </c>
    </row>
    <row r="10" spans="1:8" ht="13.5" thickBot="1">
      <c r="A10" s="29" t="s">
        <v>20</v>
      </c>
      <c r="B10" s="22"/>
      <c r="C10" s="25"/>
      <c r="D10" s="21">
        <f>AVERAGE(D2:D8)</f>
        <v>4.02E-2</v>
      </c>
    </row>
    <row r="15" spans="1:8">
      <c r="A15" s="31" t="s">
        <v>23</v>
      </c>
      <c r="B15" s="41" t="s">
        <v>30</v>
      </c>
      <c r="C15" s="31" t="s">
        <v>27</v>
      </c>
      <c r="D15" s="31" t="s">
        <v>28</v>
      </c>
      <c r="E15" s="31" t="s">
        <v>29</v>
      </c>
      <c r="F15" s="31" t="s">
        <v>24</v>
      </c>
      <c r="G15" s="31" t="s">
        <v>25</v>
      </c>
      <c r="H15" s="31" t="s">
        <v>26</v>
      </c>
    </row>
    <row r="16" spans="1:8" ht="15.75">
      <c r="A16" s="31">
        <v>2001</v>
      </c>
      <c r="B16" s="34">
        <v>1148.0899999999999</v>
      </c>
      <c r="C16" s="36">
        <f t="shared" ref="C16:C22" si="1">F16*B16</f>
        <v>15.74</v>
      </c>
      <c r="D16" s="36">
        <f t="shared" ref="D16:D22" si="2">G16*B16</f>
        <v>14.339957999999999</v>
      </c>
      <c r="E16" s="36">
        <f>C16+D16</f>
        <v>30.079957999999998</v>
      </c>
      <c r="F16" s="19">
        <v>1.3709726589378883E-2</v>
      </c>
      <c r="G16" s="19">
        <v>1.2490273410621118E-2</v>
      </c>
      <c r="H16" s="19">
        <v>2.6200000000000001E-2</v>
      </c>
    </row>
    <row r="17" spans="1:8" ht="15.75">
      <c r="A17" s="31">
        <v>2002</v>
      </c>
      <c r="B17" s="34">
        <v>879.82</v>
      </c>
      <c r="C17" s="36">
        <f t="shared" si="1"/>
        <v>15.96</v>
      </c>
      <c r="D17" s="36">
        <f t="shared" si="2"/>
        <v>13.865898</v>
      </c>
      <c r="E17" s="36">
        <f t="shared" ref="E17:E26" si="3">C17+D17</f>
        <v>29.825898000000002</v>
      </c>
      <c r="F17" s="19">
        <v>1.8140074106067151E-2</v>
      </c>
      <c r="G17" s="19">
        <v>1.5759925893932849E-2</v>
      </c>
      <c r="H17" s="19">
        <v>3.39E-2</v>
      </c>
    </row>
    <row r="18" spans="1:8" ht="15.75">
      <c r="A18" s="31">
        <v>2003</v>
      </c>
      <c r="B18" s="34">
        <v>1111.9100000000001</v>
      </c>
      <c r="C18" s="36">
        <f t="shared" si="1"/>
        <v>17.88</v>
      </c>
      <c r="D18" s="36">
        <f t="shared" si="2"/>
        <v>13.698244000000004</v>
      </c>
      <c r="E18" s="36">
        <f t="shared" si="3"/>
        <v>31.578244000000005</v>
      </c>
      <c r="F18" s="19">
        <v>1.6080438164959392E-2</v>
      </c>
      <c r="G18" s="19">
        <v>1.2319561835040609E-2</v>
      </c>
      <c r="H18" s="19">
        <v>2.8400000000000002E-2</v>
      </c>
    </row>
    <row r="19" spans="1:8" ht="15.75">
      <c r="A19" s="31">
        <v>2004</v>
      </c>
      <c r="B19" s="34">
        <v>1211.92</v>
      </c>
      <c r="C19" s="36">
        <f t="shared" si="1"/>
        <v>19.010000000000002</v>
      </c>
      <c r="D19" s="36">
        <f t="shared" si="2"/>
        <v>21.589320000000001</v>
      </c>
      <c r="E19" s="36">
        <f t="shared" si="3"/>
        <v>40.599320000000006</v>
      </c>
      <c r="F19" s="19">
        <v>1.568585385173939E-2</v>
      </c>
      <c r="G19" s="19">
        <v>1.7814146148260612E-2</v>
      </c>
      <c r="H19" s="19">
        <v>3.3500000000000002E-2</v>
      </c>
    </row>
    <row r="20" spans="1:8" ht="15.75">
      <c r="A20" s="31">
        <v>2005</v>
      </c>
      <c r="B20" s="34">
        <v>1248.29</v>
      </c>
      <c r="C20" s="36">
        <f t="shared" si="1"/>
        <v>22.344390999999998</v>
      </c>
      <c r="D20" s="36">
        <f t="shared" si="2"/>
        <v>38.821818999999998</v>
      </c>
      <c r="E20" s="36">
        <f t="shared" si="3"/>
        <v>61.166209999999992</v>
      </c>
      <c r="F20" s="19">
        <v>1.7899999999999999E-2</v>
      </c>
      <c r="G20" s="19">
        <v>3.1099999999999999E-2</v>
      </c>
      <c r="H20" s="19">
        <v>4.9000000000000002E-2</v>
      </c>
    </row>
    <row r="21" spans="1:8" ht="15.75">
      <c r="A21" s="31">
        <v>2006</v>
      </c>
      <c r="B21" s="34">
        <v>1418.3</v>
      </c>
      <c r="C21" s="36">
        <f t="shared" si="1"/>
        <v>25.042259800455653</v>
      </c>
      <c r="D21" s="36">
        <f t="shared" si="2"/>
        <v>48.115679864875482</v>
      </c>
      <c r="E21" s="36">
        <f t="shared" si="3"/>
        <v>73.157939665331128</v>
      </c>
      <c r="F21" s="19">
        <v>1.765653232775552E-2</v>
      </c>
      <c r="G21" s="19">
        <v>3.3924895906984054E-2</v>
      </c>
      <c r="H21" s="19">
        <v>5.16E-2</v>
      </c>
    </row>
    <row r="22" spans="1:8">
      <c r="A22" s="31">
        <v>2007</v>
      </c>
      <c r="B22" s="42">
        <v>1468.36</v>
      </c>
      <c r="C22" s="36">
        <f t="shared" si="1"/>
        <v>28.138241560460056</v>
      </c>
      <c r="D22" s="36">
        <f t="shared" si="2"/>
        <v>67.224140752253646</v>
      </c>
      <c r="E22" s="36">
        <f t="shared" si="3"/>
        <v>95.362382312713706</v>
      </c>
      <c r="F22" s="19">
        <v>1.9163040099471559E-2</v>
      </c>
      <c r="G22" s="19">
        <v>4.5781784271059993E-2</v>
      </c>
      <c r="H22" s="19">
        <v>6.4944824370531548E-2</v>
      </c>
    </row>
    <row r="23" spans="1:8" ht="15.75">
      <c r="A23" s="31">
        <v>2008</v>
      </c>
      <c r="B23" s="37">
        <v>903.25</v>
      </c>
      <c r="C23" s="36">
        <v>28.39</v>
      </c>
      <c r="D23" s="36">
        <v>40.25</v>
      </c>
      <c r="E23" s="36">
        <f t="shared" si="3"/>
        <v>68.64</v>
      </c>
      <c r="F23" s="19">
        <v>3.1518989723212348E-2</v>
      </c>
      <c r="G23" s="19">
        <v>4.6148282371850764E-2</v>
      </c>
      <c r="H23" s="19">
        <v>7.7667272095063106E-2</v>
      </c>
    </row>
    <row r="24" spans="1:8" ht="15.75">
      <c r="A24" s="31">
        <v>2009</v>
      </c>
      <c r="B24" s="37">
        <v>1115</v>
      </c>
      <c r="C24" s="36">
        <v>22.41</v>
      </c>
      <c r="D24" s="36">
        <f>D23*(137.64/339.65)</f>
        <v>16.310937730016192</v>
      </c>
      <c r="E24" s="36">
        <f t="shared" si="3"/>
        <v>38.720937730016189</v>
      </c>
      <c r="F24" s="19">
        <f>C24/B24</f>
        <v>2.0098654708520181E-2</v>
      </c>
      <c r="G24" s="19">
        <f>D24/B24</f>
        <v>1.4628643704050396E-2</v>
      </c>
      <c r="H24" s="19">
        <f>F24+G24</f>
        <v>3.4727298412570579E-2</v>
      </c>
    </row>
    <row r="25" spans="1:8">
      <c r="A25" s="31">
        <v>2010</v>
      </c>
      <c r="B25" s="39">
        <v>1257.6400000000001</v>
      </c>
      <c r="C25" s="39">
        <v>22.73</v>
      </c>
      <c r="D25" s="39">
        <v>26.104905193734545</v>
      </c>
      <c r="E25" s="38">
        <v>49.224231490794679</v>
      </c>
      <c r="F25" s="19">
        <f>C25/B25</f>
        <v>1.8073534556788905E-2</v>
      </c>
      <c r="G25" s="19">
        <f>D25/B25</f>
        <v>2.0757057022466319E-2</v>
      </c>
      <c r="H25" s="19">
        <f>F25+G25</f>
        <v>3.8830591579255225E-2</v>
      </c>
    </row>
    <row r="26" spans="1:8" s="35" customFormat="1">
      <c r="A26" s="38" t="s">
        <v>36</v>
      </c>
      <c r="B26" s="39"/>
      <c r="C26" s="39">
        <f>5.46+5.58+5.66+6.03</f>
        <v>22.73</v>
      </c>
      <c r="D26" s="39">
        <f>(D29/D31)*D23</f>
        <v>39.510511129431158</v>
      </c>
      <c r="E26" s="38">
        <f t="shared" si="3"/>
        <v>62.240511129431155</v>
      </c>
      <c r="F26" s="40"/>
      <c r="G26" s="40"/>
      <c r="H26" s="40"/>
    </row>
    <row r="28" spans="1:8">
      <c r="C28" s="18" t="s">
        <v>35</v>
      </c>
      <c r="D28" s="18" t="s">
        <v>28</v>
      </c>
    </row>
    <row r="29" spans="1:8">
      <c r="B29" s="31" t="s">
        <v>34</v>
      </c>
      <c r="C29" s="31">
        <f>50.44+51.26+54.85+56.08</f>
        <v>212.63</v>
      </c>
      <c r="D29" s="31">
        <f>77.64+79.56+86.36+89.84</f>
        <v>333.4</v>
      </c>
    </row>
    <row r="30" spans="1:8">
      <c r="B30" s="31">
        <v>2009</v>
      </c>
      <c r="C30" s="31">
        <f>51.73+47.63+47.21+49.04</f>
        <v>195.60999999999999</v>
      </c>
      <c r="D30" s="31">
        <f>30.78+24.2+34.85+47.82</f>
        <v>137.65</v>
      </c>
    </row>
    <row r="31" spans="1:8">
      <c r="B31" s="31">
        <v>2008</v>
      </c>
      <c r="C31" s="31">
        <f>62.19+61.44+61.94+61.72</f>
        <v>247.29</v>
      </c>
      <c r="D31" s="31">
        <f>48.12+89.71+87.91+113.9</f>
        <v>339.64</v>
      </c>
    </row>
    <row r="32" spans="1:8">
      <c r="B32" s="31" t="s">
        <v>33</v>
      </c>
      <c r="C32" s="19">
        <f>C29/C31</f>
        <v>0.85984067289417287</v>
      </c>
      <c r="D32" s="19">
        <f>D29/D31</f>
        <v>0.98162760570015306</v>
      </c>
    </row>
  </sheetData>
  <phoneticPr fontId="10" type="noConversion"/>
  <dataValidations count="1">
    <dataValidation allowBlank="1" showInputMessage="1" showErrorMessage="1" sqref="C2:C10"/>
  </dataValidation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cols>
    <col min="1" max="256" width="11.4257812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Impl premium calculator</vt:lpstr>
      <vt:lpstr>Buyback computation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Tyler</cp:lastModifiedBy>
  <dcterms:created xsi:type="dcterms:W3CDTF">2005-01-04T16:33:33Z</dcterms:created>
  <dcterms:modified xsi:type="dcterms:W3CDTF">2023-04-09T15:49:54Z</dcterms:modified>
</cp:coreProperties>
</file>