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yler\Downloads\"/>
    </mc:Choice>
  </mc:AlternateContent>
  <xr:revisionPtr revIDLastSave="0" documentId="8_{E78908BA-2158-4402-B15B-98017DB63BE9}" xr6:coauthVersionLast="47" xr6:coauthVersionMax="47" xr10:uidLastSave="{00000000-0000-0000-0000-000000000000}"/>
  <bookViews>
    <workbookView xWindow="-120" yWindow="-120" windowWidth="38640" windowHeight="21840" xr2:uid="{FB2F4C7A-97D4-4BF1-B27C-6831747C13EF}"/>
  </bookViews>
  <sheets>
    <sheet name="Current Porfolio" sheetId="1" r:id="rId1"/>
  </sheets>
  <definedNames>
    <definedName name="_xlnm._FilterDatabase" localSheetId="0" hidden="1">'Current Porfolio'!$B$5:$H$5</definedName>
    <definedName name="_xlchart.v1.0" hidden="1">'Current Porfolio'!$C$6:$C$12</definedName>
    <definedName name="_xlchart.v1.1" hidden="1">'Current Porfolio'!$D$5</definedName>
    <definedName name="_xlchart.v1.2" hidden="1">'Current Porfolio'!$D$6:$D$12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1" i="1" l="1"/>
  <c r="I11" i="1"/>
  <c r="I10" i="1"/>
  <c r="H11" i="1"/>
  <c r="H10" i="1"/>
  <c r="G10" i="1"/>
  <c r="F10" i="1"/>
  <c r="G11" i="1"/>
  <c r="M8" i="1"/>
  <c r="M7" i="1"/>
  <c r="M6" i="1"/>
  <c r="F11" i="1"/>
  <c r="D12" i="1"/>
  <c r="F9" i="1"/>
  <c r="F7" i="1" l="1"/>
  <c r="G7" i="1"/>
  <c r="G6" i="1" l="1"/>
  <c r="F6" i="1"/>
  <c r="C16" i="1" l="1"/>
  <c r="I9" i="1" s="1"/>
  <c r="H8" i="1"/>
  <c r="F8" i="1"/>
  <c r="I6" i="1" l="1"/>
  <c r="I8" i="1"/>
  <c r="I7" i="1"/>
  <c r="B7" i="1" a="1"/>
  <c r="B7" i="1" s="1"/>
  <c r="B6" i="1" a="1"/>
  <c r="B6" i="1" s="1"/>
  <c r="L15" i="1" l="1"/>
  <c r="L14" i="1"/>
  <c r="C17" i="1"/>
  <c r="C18"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Ritzty</author>
  </authors>
  <commentList>
    <comment ref="G5" authorId="0" shapeId="0" xr:uid="{8EC58FF3-687A-4D6B-A22C-6EB39C1804ED}">
      <text>
        <r>
          <rPr>
            <b/>
            <sz val="9"/>
            <color indexed="81"/>
            <rFont val="Tahoma"/>
            <family val="2"/>
          </rPr>
          <t>Ritzty:</t>
        </r>
        <r>
          <rPr>
            <sz val="9"/>
            <color indexed="81"/>
            <rFont val="Tahoma"/>
            <family val="2"/>
          </rPr>
          <t xml:space="preserve">
Operating Cashflow/(Total Assets - Current Liabilities)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<sst xmlns="http://schemas.openxmlformats.org/spreadsheetml/2006/main" count="35" uniqueCount="32">
  <si>
    <t>Company Name</t>
  </si>
  <si>
    <t>Portfolio %</t>
  </si>
  <si>
    <t>Unrealized Return %</t>
  </si>
  <si>
    <t>Ticker</t>
  </si>
  <si>
    <t>Cash</t>
  </si>
  <si>
    <t>Asset Allocation</t>
  </si>
  <si>
    <t>Stocks</t>
  </si>
  <si>
    <t>%</t>
  </si>
  <si>
    <t>Total</t>
  </si>
  <si>
    <t xml:space="preserve">Cash Position (AUD) </t>
  </si>
  <si>
    <t>Current Portfolio Holdings</t>
  </si>
  <si>
    <t>FCF Yield</t>
  </si>
  <si>
    <t xml:space="preserve">FCF Yield (TTM) </t>
  </si>
  <si>
    <t>EV/EBITDA</t>
  </si>
  <si>
    <t xml:space="preserve">ROCE (TTM) </t>
  </si>
  <si>
    <t>Weighted Average Metrics</t>
  </si>
  <si>
    <t xml:space="preserve">Unrealized Return </t>
  </si>
  <si>
    <t>ROCE</t>
  </si>
  <si>
    <t>N/A</t>
  </si>
  <si>
    <t>Adjusted for Cash</t>
  </si>
  <si>
    <t>Equity %</t>
  </si>
  <si>
    <t>THS.L</t>
  </si>
  <si>
    <t>Tharisa plc (THS.L)</t>
  </si>
  <si>
    <t>S4E</t>
  </si>
  <si>
    <t>S4E SA (S4E)</t>
  </si>
  <si>
    <t>Last Update: 28/11/2023</t>
  </si>
  <si>
    <t>PAC</t>
  </si>
  <si>
    <t>WCG</t>
  </si>
  <si>
    <t>Pacific Current Group Ltd</t>
  </si>
  <si>
    <t>Webcentral Ltd</t>
  </si>
  <si>
    <t>Post-sale of their domain business, the EV/EBIDA of Webcentral will be</t>
  </si>
  <si>
    <t>(83.6 million of cash with no debt, now trading at 83.5 million of MC)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</si>
</sst>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b/>
      <sz val="18"/>
      <color theme="1"/>
      <name val="Arial"/>
      <family val="2"/>
    </font>
    <font>
      <b/>
      <sz val="10"/>
      <color theme="1"/>
      <name val="Arial"/>
      <family val="2"/>
    </font>
    <font>
      <sz val="9"/>
      <color indexed="81"/>
      <name val="Tahoma"/>
      <family val="2"/>
    </font>
    <font>
      <b/>
      <sz val="9"/>
      <color indexed="81"/>
      <name val="Tahoma"/>
      <family val="2"/>
    </font>
    <font>
      <sz val="10"/>
      <color rgb="FFFF0000"/>
      <name val="Arial"/>
      <family val="2"/>
    </font>
    <font>
      <b/>
      <sz val="10"/>
      <color rgb="FFFF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4" fillId="0" borderId="0" xfId="0" applyFont="1"/>
    <xf numFmtId="0" fontId="5" fillId="0" borderId="0" xfId="0" applyFont="1"/>
    <xf numFmtId="0" fontId="6" fillId="0" borderId="0" xfId="0" applyFont="1"/>
    <xf numFmtId="10" fontId="4" fillId="0" borderId="0" xfId="0" applyNumberFormat="1" applyFont="1"/>
    <xf numFmtId="9" fontId="4" fillId="0" borderId="0" xfId="0" applyNumberFormat="1" applyFont="1"/>
    <xf numFmtId="10" fontId="6" fillId="0" borderId="0" xfId="0" applyNumberFormat="1" applyFont="1"/>
    <xf numFmtId="164" fontId="4" fillId="0" borderId="0" xfId="0" applyNumberFormat="1" applyFont="1"/>
    <xf numFmtId="0" fontId="9" fillId="0" borderId="0" xfId="0" applyFont="1"/>
    <xf numFmtId="0" fontId="10" fillId="0" borderId="0" xfId="0" applyFont="1"/>
    <xf numFmtId="10" fontId="4" fillId="0" borderId="1" xfId="0" applyNumberFormat="1" applyFont="1" applyBorder="1"/>
    <xf numFmtId="4" fontId="4" fillId="0" borderId="0" xfId="0" applyNumberFormat="1" applyFont="1"/>
    <xf numFmtId="0" fontId="3" fillId="0" borderId="0" xfId="0" applyFont="1"/>
    <xf numFmtId="0" fontId="2" fillId="0" borderId="0" xfId="0" applyFont="1"/>
    <xf numFmtId="0" fontId="6" fillId="0" borderId="0" xfId="0" applyFont="1" applyAlignment="1">
      <alignment horizontal="center"/>
    </xf>
    <xf numFmtId="0" fontId="6" fillId="0" borderId="1" xfId="0" applyFont="1" applyBorder="1" applyAlignment="1">
      <alignment horizontal="center"/>
    </xf>
    <xf numFmtId="0" fontId="1" fillId="0" borderId="0" xfId="0" applyFont="1"/>
    <xf numFmtId="4" fontId="4" fillId="2" borderId="0" xfId="0" applyNumberFormat="1" applyFont="1" applyFill="1"/>
    <xf numFmtId="0" fontId="4"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13" Type="http://schemas.openxmlformats.org/officeDocument/2006/relationships/customXml" Target="../customXml/item1.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5" Type="http://schemas.openxmlformats.org/officeDocument/2006/relationships/customXml" Target="../customXml/item3.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 Id="rId14" Type="http://schemas.openxmlformats.org/officeDocument/2006/relationships/customXml" Target="../customXml/item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Current Portfolio (as of 28/11/2023)</cx:v>
        </cx:txData>
      </cx:tx>
      <cx:txPr>
        <a:bodyPr spcFirstLastPara="1" vertOverflow="ellipsis" horzOverflow="overflow" wrap="square" lIns="0" tIns="0" rIns="0" bIns="0" anchor="ctr" anchorCtr="1"/>
        <a:lstStyle/>
        <a:p>
          <a:pPr algn="ctr" rtl="0">
            <a:defRPr/>
          </a:pPr>
          <a:r>
            <a:rPr lang="en-US" sz="15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rPr>
            <a:t>Current Portfolio (as of 28/11/2023)</a:t>
          </a:r>
        </a:p>
      </cx:txPr>
    </cx:title>
    <cx:plotArea>
      <cx:plotAreaRegion>
        <cx:series layoutId="sunburst" uniqueId="{C46BB3CD-1118-49E8-B865-14F2FF8F625C}">
          <cx:tx>
            <cx:txData>
              <cx:f>_xlchart.v1.1</cx:f>
              <cx:v>Portfolio %</cx:v>
            </cx:txData>
          </cx:tx>
          <cx:dataLabels pos="ctr">
            <cx:txPr>
              <a:bodyPr spcFirstLastPara="1" vertOverflow="ellipsis" horzOverflow="overflow" wrap="square" lIns="0" tIns="0" rIns="0" bIns="0" anchor="ctr" anchorCtr="1"/>
              <a:lstStyle/>
              <a:p>
                <a:pPr algn="ctr" rtl="0">
                  <a:defRPr>
                    <a:latin typeface="Arial" panose="020B0604020202020204" pitchFamily="34" charset="0"/>
                    <a:ea typeface="Arial" panose="020B0604020202020204" pitchFamily="34" charset="0"/>
                    <a:cs typeface="Arial" panose="020B0604020202020204" pitchFamily="34" charset="0"/>
                  </a:defRPr>
                </a:pPr>
                <a:endParaRPr lang="en-US" sz="900" b="0" i="0" u="none" strike="noStrike" baseline="0">
                  <a:solidFill>
                    <a:sysClr val="window" lastClr="FFFFFF"/>
                  </a:solidFill>
                  <a:latin typeface="Arial" panose="020B0604020202020204" pitchFamily="34" charset="0"/>
                  <a:cs typeface="Arial" panose="020B0604020202020204" pitchFamily="34" charset="0"/>
                </a:endParaRPr>
              </a:p>
            </cx:txPr>
            <cx:visibility seriesName="0" categoryName="1" value="0"/>
          </cx:dataLabels>
          <cx:dataId val="0"/>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82823</xdr:colOff>
      <xdr:row>18</xdr:row>
      <xdr:rowOff>19877</xdr:rowOff>
    </xdr:from>
    <xdr:to>
      <xdr:col>7</xdr:col>
      <xdr:colOff>314739</xdr:colOff>
      <xdr:row>51</xdr:row>
      <xdr:rowOff>91109</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8991533-6522-03BF-EBE3-28BF37DBF1A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68623" y="2744027"/>
              <a:ext cx="8975866" cy="5414757"/>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https://www.bing.com/financeapi/forcetrigger?t=a1slm7&amp;q=XNAS%3aMETA&amp;form=skydnc</v>
    <v>Learn more on Bing</v>
  </rv>
  <rv s="1">
    <v>en-AU</v>
    <v>a1slm7</v>
    <v>268435456</v>
    <v>1</v>
    <v>Powered by Refinitiv</v>
    <v>0</v>
    <v>Meta Platforms, Inc. (XNAS:META)</v>
    <v>2</v>
    <v>3</v>
    <v>Finance</v>
    <v>4</v>
    <v>326.2</v>
    <v>88.09</v>
    <v>1.244</v>
    <v>-1.84</v>
    <v>-5.2959999999999997E-4</v>
    <v>-6.4539999999999997E-3</v>
    <v>-0.15</v>
    <v>USD</v>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v>71469</v>
    <v>Nasdaq Stock Market</v>
    <v>XNAS</v>
    <v>XNAS</v>
    <v>1 Meta Way, MENLO PARK, CA, 94025 US</v>
    <v>285.69</v>
    <v>Software &amp; IT Services</v>
    <v>Stock</v>
    <v>45156.999986122653</v>
    <v>0</v>
    <v>274.38</v>
    <v>728847900000</v>
    <v>Meta Platforms, Inc.</v>
    <v>Meta Platforms, Inc.</v>
    <v>279.02999999999997</v>
    <v>33.253599999999999</v>
    <v>285.08999999999997</v>
    <v>283.25</v>
    <v>283.10000000000002</v>
    <v>2573161000</v>
    <v>META</v>
    <v>Meta Platforms, Inc. (XNAS:META)</v>
    <v>35347925</v>
    <v>24145843</v>
    <v>2004</v>
  </rv>
  <rv s="2">
    <v>1</v>
  </rv>
  <rv s="0">
    <v>https://www.bing.com/financeapi/forcetrigger?t=a1o4mw&amp;q=XNYS%3aBABA&amp;form=skydnc</v>
    <v>Learn more on Bing</v>
  </rv>
  <rv s="1">
    <v>en-AU</v>
    <v>a1o4mw</v>
    <v>268435456</v>
    <v>1</v>
    <v>Powered by Refinitiv</v>
    <v>0</v>
    <v>Alibaba Group Holding Limited (XNYS:BABA)</v>
    <v>2</v>
    <v>3</v>
    <v>Finance</v>
    <v>4</v>
    <v>121.3</v>
    <v>58.01</v>
    <v>0.71579999999999999</v>
    <v>-2.62</v>
    <v>-1.359E-3</v>
    <v>-2.8902000000000001E-2</v>
    <v>-0.1196</v>
    <v>USD</v>
    <v>Alibaba Group Holding Ltd provides technology infrastructure and marketing platforms. The Company operates through seven segments. China Commerce segment includes China retail commerce businesses such as Taobao, Tmall and Freshippo, among others, and wholesale business. International Commerce segment includes international retail and wholesale commerce businesses such as Lazada and AliExpress. Local Consumer Services segment includes location-based businesses such as Ele.me, Amap, Fliggy and others. Cainiao segment includes domestic and international one-stop-shop logistics services and supply chain management solutions. Cloud segment provides public and hybrid cloud services like Alibaba Cloud and DingTalk for domestic and foreign enterprises. Digital Media and Entertainment segment includes Youku, Quark and Alibaba Pictures, other content and distribution platforms and online games business. Innovation Initiatives and Others segment include Damo Academy, Tmall Genie and others.</v>
    <v>228675</v>
    <v>New York Stock Exchange</v>
    <v>XNYS</v>
    <v>XNYS</v>
    <v>No. 699 Wangshang Road, Binjiang District, HANGZHOU, ZHEJIANG, 310052 CN</v>
    <v>88.36</v>
    <v>Software &amp; IT Services</v>
    <v>Stock</v>
    <v>45156.999998275001</v>
    <v>3</v>
    <v>86.86</v>
    <v>223897600000</v>
    <v>Alibaba Group Holding Limited</v>
    <v>Alibaba Group Holding Limited</v>
    <v>87.78</v>
    <v>20.242799999999999</v>
    <v>90.65</v>
    <v>88.03</v>
    <v>87.910399999999996</v>
    <v>2543424000</v>
    <v>BABA</v>
    <v>Alibaba Group Holding Limited (XNYS:BABA)</v>
    <v>20424821</v>
    <v>20175071</v>
    <v>1999</v>
  </rv>
  <rv s="2">
    <v>4</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mm/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3A5CB-A1CC-4878-8C6B-320FE701FF8D}">
  <dimension ref="A2:M21"/>
  <sheetViews>
    <sheetView tabSelected="1" zoomScale="115" zoomScaleNormal="115" workbookViewId="0">
      <selection activeCell="E15" sqref="E15"/>
    </sheetView>
  </sheetViews>
  <sheetFormatPr defaultRowHeight="12.75" x14ac:dyDescent="0.2"/>
  <cols>
    <col min="1" max="1" width="9" style="1"/>
    <col min="2" max="2" width="14.375" style="1" customWidth="1"/>
    <col min="3" max="3" width="40.875" style="1" bestFit="1" customWidth="1"/>
    <col min="4" max="4" width="11.375" style="1" bestFit="1" customWidth="1"/>
    <col min="5" max="5" width="19.25" style="4" bestFit="1" customWidth="1"/>
    <col min="6" max="6" width="16" style="1" bestFit="1" customWidth="1"/>
    <col min="7" max="7" width="12.875" style="1" bestFit="1" customWidth="1"/>
    <col min="8" max="8" width="11.375" style="1" bestFit="1" customWidth="1"/>
    <col min="9" max="9" width="11.375" style="1" customWidth="1"/>
    <col min="10" max="16384" width="9" style="1"/>
  </cols>
  <sheetData>
    <row r="2" spans="1:13" ht="23.25" x14ac:dyDescent="0.35">
      <c r="B2" s="2" t="s">
        <v>10</v>
      </c>
    </row>
    <row r="3" spans="1:13" x14ac:dyDescent="0.2">
      <c r="B3" s="16" t="s">
        <v>25</v>
      </c>
    </row>
    <row r="5" spans="1:13" x14ac:dyDescent="0.2">
      <c r="B5" s="3" t="s">
        <v>3</v>
      </c>
      <c r="C5" s="3" t="s">
        <v>0</v>
      </c>
      <c r="D5" s="3" t="s">
        <v>1</v>
      </c>
      <c r="E5" s="6" t="s">
        <v>2</v>
      </c>
      <c r="F5" s="3" t="s">
        <v>12</v>
      </c>
      <c r="G5" s="3" t="s">
        <v>14</v>
      </c>
      <c r="H5" s="3" t="s">
        <v>13</v>
      </c>
      <c r="I5" s="3" t="s">
        <v>20</v>
      </c>
      <c r="K5" s="9" t="s">
        <v>15</v>
      </c>
      <c r="L5" s="8"/>
    </row>
    <row r="6" spans="1:13" x14ac:dyDescent="0.2">
      <c r="B6" s="1" t="str" cm="1">
        <f t="array" ref="B6">_FV(C6,"Ticker symbol",TRUE)</f>
        <v>META</v>
      </c>
      <c r="C6" s="1" t="e" vm="1">
        <v>#VALUE!</v>
      </c>
      <c r="D6" s="5">
        <v>4.7300000000000002E-2</v>
      </c>
      <c r="E6" s="4">
        <v>0.91400000000000003</v>
      </c>
      <c r="F6" s="7">
        <f>24.03/776.295</f>
        <v>3.0954727262187703E-2</v>
      </c>
      <c r="G6" s="7">
        <f>55.51/(206.69-29.92)</f>
        <v>0.31402387282909999</v>
      </c>
      <c r="H6" s="11">
        <v>16.61</v>
      </c>
      <c r="I6" s="5">
        <f t="shared" ref="I6:I7" si="0">D6/$C$16</f>
        <v>7.9871664978047971E-2</v>
      </c>
      <c r="K6" s="15" t="s">
        <v>16</v>
      </c>
      <c r="L6" s="15"/>
      <c r="M6" s="10">
        <f>SUMPRODUCT(D6:D12,E6:E12)</f>
        <v>6.8260260000000017E-2</v>
      </c>
    </row>
    <row r="7" spans="1:13" x14ac:dyDescent="0.2">
      <c r="B7" s="1" t="str" cm="1">
        <f t="array" ref="B7">_FV(C7,"Ticker symbol",TRUE)</f>
        <v>BABA</v>
      </c>
      <c r="C7" s="1" t="e" vm="2">
        <v>#VALUE!</v>
      </c>
      <c r="D7" s="5">
        <v>0.1174</v>
      </c>
      <c r="E7" s="4">
        <v>-0.245</v>
      </c>
      <c r="F7" s="7">
        <f>(26508)/245637</f>
        <v>0.10791533848728001</v>
      </c>
      <c r="G7" s="7">
        <f>30.111/(245.032-52.437)</f>
        <v>0.15634362262779405</v>
      </c>
      <c r="H7" s="11">
        <v>8.9499999999999993</v>
      </c>
      <c r="I7" s="5">
        <f t="shared" si="0"/>
        <v>0.19824383654170891</v>
      </c>
      <c r="K7" s="15" t="s">
        <v>11</v>
      </c>
      <c r="L7" s="15"/>
      <c r="M7" s="10">
        <f>SUMPRODUCT(D6:D12,F6:F12)</f>
        <v>0.19676867917496735</v>
      </c>
    </row>
    <row r="8" spans="1:13" x14ac:dyDescent="0.2">
      <c r="B8" s="12" t="s">
        <v>21</v>
      </c>
      <c r="C8" s="12" t="s">
        <v>22</v>
      </c>
      <c r="D8" s="5">
        <v>0.21659999999999999</v>
      </c>
      <c r="E8" s="4">
        <v>-0.19700000000000001</v>
      </c>
      <c r="F8" s="7">
        <f>(70.661+47.764)/325.23</f>
        <v>0.36412692556037268</v>
      </c>
      <c r="G8" s="7">
        <v>0.21</v>
      </c>
      <c r="H8" s="11">
        <f>215.4/117</f>
        <v>1.8410256410256411</v>
      </c>
      <c r="I8" s="5">
        <f>D8/$C$16</f>
        <v>0.36575481256332321</v>
      </c>
      <c r="K8" s="15" t="s">
        <v>17</v>
      </c>
      <c r="L8" s="15"/>
      <c r="M8" s="10">
        <f>SUMPRODUCT(G6:G12,D6:D12)</f>
        <v>0.18838804179394544</v>
      </c>
    </row>
    <row r="9" spans="1:13" x14ac:dyDescent="0.2">
      <c r="A9" s="13"/>
      <c r="B9" s="13" t="s">
        <v>23</v>
      </c>
      <c r="C9" s="13" t="s">
        <v>24</v>
      </c>
      <c r="D9" s="5">
        <v>0.2109</v>
      </c>
      <c r="E9" s="4">
        <v>0.58399999999999996</v>
      </c>
      <c r="F9" s="7">
        <f>19.426/(1.723*23)</f>
        <v>0.49019657321658372</v>
      </c>
      <c r="G9" s="7">
        <v>0.47</v>
      </c>
      <c r="H9" s="11">
        <v>0.16</v>
      </c>
      <c r="I9" s="5">
        <f>D9/$C$16</f>
        <v>0.35612968591692001</v>
      </c>
      <c r="K9" s="14"/>
      <c r="L9" s="14"/>
      <c r="M9" s="4"/>
    </row>
    <row r="10" spans="1:13" x14ac:dyDescent="0.2">
      <c r="A10" s="13"/>
      <c r="B10" s="16" t="s">
        <v>26</v>
      </c>
      <c r="C10" s="16" t="s">
        <v>28</v>
      </c>
      <c r="D10" s="5">
        <v>8.2299999999999998E-2</v>
      </c>
      <c r="E10" s="4">
        <v>-0.17799999999999999</v>
      </c>
      <c r="F10" s="7">
        <f>19.18/416.2</f>
        <v>4.6083613647284957E-2</v>
      </c>
      <c r="G10" s="7">
        <f>(19.36+2.46)/(612.38-9.204)</f>
        <v>3.6175179383795109E-2</v>
      </c>
      <c r="H10" s="11">
        <f>(416.2-23.2)/-5.04</f>
        <v>-77.976190476190482</v>
      </c>
      <c r="I10" s="5">
        <f>D10/$C$16</f>
        <v>0.13897331982438366</v>
      </c>
      <c r="K10" s="14"/>
      <c r="L10" s="14"/>
      <c r="M10" s="4"/>
    </row>
    <row r="11" spans="1:13" x14ac:dyDescent="0.2">
      <c r="A11" s="13"/>
      <c r="B11" s="16" t="s">
        <v>27</v>
      </c>
      <c r="C11" s="16" t="s">
        <v>29</v>
      </c>
      <c r="D11" s="5">
        <v>0.13730000000000001</v>
      </c>
      <c r="E11" s="4">
        <v>-8.7800000000000003E-2</v>
      </c>
      <c r="F11" s="7">
        <f>(-2.15+0.076)/83.513</f>
        <v>-2.4834456910900096E-2</v>
      </c>
      <c r="G11" s="7">
        <f>(3.49+0.949)/(131.32-51.06)</f>
        <v>5.5307749813107411E-2</v>
      </c>
      <c r="H11" s="17">
        <f>(83.513-3.76)/(9.84+6.05)</f>
        <v>5.0190685966016364</v>
      </c>
      <c r="I11" s="5">
        <f>D11/$C$16</f>
        <v>0.23184734886862549</v>
      </c>
      <c r="K11" s="14"/>
      <c r="L11" s="14"/>
      <c r="M11" s="4"/>
    </row>
    <row r="12" spans="1:13" x14ac:dyDescent="0.2">
      <c r="B12" s="1" t="s">
        <v>4</v>
      </c>
      <c r="C12" s="1" t="s">
        <v>9</v>
      </c>
      <c r="D12" s="5">
        <f>1-SUM(D6:D11)</f>
        <v>0.18820000000000003</v>
      </c>
      <c r="E12" s="4">
        <v>0</v>
      </c>
      <c r="F12" s="7">
        <v>0</v>
      </c>
      <c r="G12" s="7">
        <v>0</v>
      </c>
      <c r="H12" s="11" t="s">
        <v>18</v>
      </c>
      <c r="I12" s="11"/>
    </row>
    <row r="13" spans="1:13" x14ac:dyDescent="0.2">
      <c r="B13" s="3"/>
      <c r="D13" s="5"/>
      <c r="I13" s="5"/>
      <c r="K13" s="1" t="s">
        <v>19</v>
      </c>
    </row>
    <row r="14" spans="1:13" x14ac:dyDescent="0.2">
      <c r="K14" s="3" t="s">
        <v>11</v>
      </c>
      <c r="L14" s="4">
        <f>SUMPRODUCT(I6:I9,F6:F9)</f>
        <v>0.33162068339355355</v>
      </c>
    </row>
    <row r="15" spans="1:13" x14ac:dyDescent="0.2">
      <c r="B15" s="3" t="s">
        <v>5</v>
      </c>
      <c r="C15" s="3" t="s">
        <v>7</v>
      </c>
      <c r="K15" s="3" t="s">
        <v>17</v>
      </c>
      <c r="L15" s="4">
        <f>SUMPRODUCT(I6:I9,G6:G9)</f>
        <v>0.30026523215352829</v>
      </c>
    </row>
    <row r="16" spans="1:13" x14ac:dyDescent="0.2">
      <c r="B16" s="1" t="s">
        <v>6</v>
      </c>
      <c r="C16" s="5">
        <f>SUM(D6:D9)</f>
        <v>0.59219999999999995</v>
      </c>
    </row>
    <row r="17" spans="2:11" x14ac:dyDescent="0.2">
      <c r="B17" s="1" t="s">
        <v>4</v>
      </c>
      <c r="C17" s="5">
        <f>1-C16</f>
        <v>0.40780000000000005</v>
      </c>
    </row>
    <row r="18" spans="2:11" x14ac:dyDescent="0.2">
      <c r="B18" s="1" t="s">
        <v>8</v>
      </c>
      <c r="C18" s="5">
        <f>SUM(C16:C17)</f>
        <v>1</v>
      </c>
    </row>
    <row r="20" spans="2:11" x14ac:dyDescent="0.2">
      <c r="I20" s="18"/>
      <c r="J20" s="16" t="s">
        <v>30</v>
      </c>
    </row>
    <row r="21" spans="2:11" x14ac:dyDescent="0.2">
      <c r="B21" s="3"/>
      <c r="J21" s="1">
        <f>(83.513-83.5)/15.91</f>
        <v>8.1709616593370396E-4</v>
      </c>
      <c r="K21" s="16" t="s">
        <v>31</v>
      </c>
    </row>
  </sheetData>
  <autoFilter ref="B5:H5" xr:uid="{2363A5CB-A1CC-4878-8C6B-320FE701FF8D}">
    <sortState xmlns:xlrd2="http://schemas.microsoft.com/office/spreadsheetml/2017/richdata2" ref="B6:H9">
      <sortCondition ref="D5"/>
    </sortState>
  </autoFilter>
  <mergeCells count="3">
    <mergeCell ref="K6:L6"/>
    <mergeCell ref="K7:L7"/>
    <mergeCell ref="K8:L8"/>
  </mergeCells>
  <pageMargins left="0.7" right="0.7" top="0.75" bottom="0.75" header="0.3" footer="0.3"/>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5AFAA7F49FCF44DB410E586CD49BFEC" ma:contentTypeVersion="14" ma:contentTypeDescription="Create a new document." ma:contentTypeScope="" ma:versionID="40582d22ebb8952d957296c4d7e47fb0">
  <xsd:schema xmlns:xsd="http://www.w3.org/2001/XMLSchema" xmlns:xs="http://www.w3.org/2001/XMLSchema" xmlns:p="http://schemas.microsoft.com/office/2006/metadata/properties" xmlns:ns3="820f4e08-51ff-4df4-8910-bef763595338" xmlns:ns4="f7dac80f-6a77-48b9-a0b9-c4e6988a78b2" targetNamespace="http://schemas.microsoft.com/office/2006/metadata/properties" ma:root="true" ma:fieldsID="48b1389d2270dabd1e224a41363be19d" ns3:_="" ns4:_="">
    <xsd:import namespace="820f4e08-51ff-4df4-8910-bef763595338"/>
    <xsd:import namespace="f7dac80f-6a77-48b9-a0b9-c4e6988a78b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0f4e08-51ff-4df4-8910-bef7635953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dac80f-6a77-48b9-a0b9-c4e6988a78b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2EA7D80-010B-4E7D-9953-314B49F216DC}">
  <ds:schemaRefs>
    <ds:schemaRef ds:uri="http://schemas.microsoft.com/sharepoint/v3/contenttype/forms"/>
  </ds:schemaRefs>
</ds:datastoreItem>
</file>

<file path=customXml/itemProps2.xml><?xml version="1.0" encoding="utf-8"?>
<ds:datastoreItem xmlns:ds="http://schemas.openxmlformats.org/officeDocument/2006/customXml" ds:itemID="{9EFD2980-DA47-4F98-B1F3-CE43D42151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0f4e08-51ff-4df4-8910-bef763595338"/>
    <ds:schemaRef ds:uri="f7dac80f-6a77-48b9-a0b9-c4e6988a78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B051625-671B-4930-872D-6FB2F1CD7F77}">
  <ds:schemaRefs>
    <ds:schemaRef ds:uri="http://schemas.microsoft.com/office/2006/metadata/properties"/>
    <ds:schemaRef ds:uri="http://www.w3.org/XML/1998/namespace"/>
    <ds:schemaRef ds:uri="http://purl.org/dc/elements/1.1/"/>
    <ds:schemaRef ds:uri="http://schemas.microsoft.com/office/2006/documentManagement/types"/>
    <ds:schemaRef ds:uri="http://purl.org/dc/dcmitype/"/>
    <ds:schemaRef ds:uri="http://purl.org/dc/terms/"/>
    <ds:schemaRef ds:uri="http://schemas.openxmlformats.org/package/2006/metadata/core-properties"/>
    <ds:schemaRef ds:uri="http://schemas.microsoft.com/office/infopath/2007/PartnerControls"/>
    <ds:schemaRef ds:uri="f7dac80f-6a77-48b9-a0b9-c4e6988a78b2"/>
    <ds:schemaRef ds:uri="820f4e08-51ff-4df4-8910-bef76359533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Current Porfolio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Ritzty</dc:creator>
  <cp:lastModifiedBy>Tyler Mizuhata (22885077)</cp:lastModifiedBy>
  <dcterms:created xsi:type="dcterms:W3CDTF">2023-04-30T08:21:22Z</dcterms:created>
  <dcterms:modified xsi:type="dcterms:W3CDTF">2023-11-27T23:27:52Z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0x01010065AFAA7F49FCF44DB410E586CD49BFEC</vt:lpwstr>
  </property>
</Properties>
</file>