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va/Documents/NYU/研二秋季/Thesis I/Palette Projects/Palette/"/>
    </mc:Choice>
  </mc:AlternateContent>
  <xr:revisionPtr revIDLastSave="0" documentId="13_ncr:1_{FB098F24-6444-6841-B073-8902218676A8}" xr6:coauthVersionLast="47" xr6:coauthVersionMax="47" xr10:uidLastSave="{00000000-0000-0000-0000-000000000000}"/>
  <bookViews>
    <workbookView xWindow="0" yWindow="0" windowWidth="28800" windowHeight="18000" xr2:uid="{838F3939-C024-45FC-BA73-37719598021F}"/>
  </bookViews>
  <sheets>
    <sheet name="Game-Prototype" sheetId="5" r:id="rId1"/>
    <sheet name="Database" sheetId="1" r:id="rId2"/>
    <sheet name="Filterable-Database" sheetId="4" r:id="rId3"/>
    <sheet name="For-Data-Validation" sheetId="3" r:id="rId4"/>
  </sheets>
  <definedNames>
    <definedName name="ClassroomPC1" localSheetId="0">Table8[ClassroomPC1]</definedName>
    <definedName name="ClassroomPC1">Table8[ClassroomPC1]</definedName>
    <definedName name="ClassroomPC2" localSheetId="0">Table9[ClassroomPC2]</definedName>
    <definedName name="ClassroomPC2">Table9[ClassroomPC2]</definedName>
    <definedName name="ClassroomPC3" localSheetId="0">Table10[ClassroomPC3]</definedName>
    <definedName name="ClassroomPC3">Table10[ClassroomPC3]</definedName>
    <definedName name="Hallway1PC1" localSheetId="0">Table11[Hallway1PC1]</definedName>
    <definedName name="Hallway1PC1">Table11[Hallway1PC1]</definedName>
    <definedName name="Hallway1PC2" localSheetId="0">Table14[Hallway1PC2]</definedName>
    <definedName name="Hallway1PC2">Table14[Hallway1PC2]</definedName>
    <definedName name="Hallway1PC3" localSheetId="0">Table15[Hallway1PC3]</definedName>
    <definedName name="Hallway1PC3">Table15[Hallway1PC3]</definedName>
    <definedName name="Hallway2PC1" localSheetId="0">Table16[Hallway2PC1]</definedName>
    <definedName name="Hallway2PC1">Table16[Hallway2PC1]</definedName>
    <definedName name="Hallway2PC2" localSheetId="0">Table17[Hallway2PC2]</definedName>
    <definedName name="Hallway2PC2">Table17[Hallway2PC2]</definedName>
    <definedName name="Hallway2PC3" localSheetId="0">Table18[Hallway2PC3]</definedName>
    <definedName name="Hallway2PC3">Table18[Hallway2PC3]</definedName>
    <definedName name="NaproomPC1" localSheetId="0">Table25[NaproomPC1]</definedName>
    <definedName name="NaproomPC1">Table25[NaproomPC1]</definedName>
    <definedName name="NaproomPC2" localSheetId="0">Table26[NaproomPC2]</definedName>
    <definedName name="NaproomPC2">Table26[NaproomPC2]</definedName>
    <definedName name="NaproomPC3" localSheetId="0">Table27[NaproomPC3]</definedName>
    <definedName name="NaproomPC3">Table27[NaproomPC3]</definedName>
    <definedName name="OfficePC1" localSheetId="0">Table28[OfficePC1]</definedName>
    <definedName name="OfficePC1">Table28[OfficePC1]</definedName>
    <definedName name="OfficePC2" localSheetId="0">Table29[OfficePC2]</definedName>
    <definedName name="OfficePC2">Table29[OfficePC2]</definedName>
    <definedName name="OfficePC3" localSheetId="0">Table30[OfficePC3]</definedName>
    <definedName name="OfficePC3">Table30[OfficePC3]</definedName>
    <definedName name="PlaygroundPC1" localSheetId="0">Table22[PlaygroundPC1]</definedName>
    <definedName name="PlaygroundPC1">Table22[PlaygroundPC1]</definedName>
    <definedName name="PlaygroundPC2" localSheetId="0">Table23[PlaygroundPC2]</definedName>
    <definedName name="PlaygroundPC2">Table23[PlaygroundPC2]</definedName>
    <definedName name="PlaygroundPC3" localSheetId="0">Table24[PlaygroundPC3]</definedName>
    <definedName name="PlaygroundPC3">Table24[PlaygroundPC3]</definedName>
    <definedName name="RestroomPC1" localSheetId="0">Table19[RestroomPC1]</definedName>
    <definedName name="RestroomPC1">Table19[RestroomPC1]</definedName>
    <definedName name="RestroomPC2" localSheetId="0">Table20[RestroomPC2]</definedName>
    <definedName name="RestroomPC2">Table20[RestroomPC2]</definedName>
    <definedName name="RestroomPC3" localSheetId="0">Table21[RestroomPC3]</definedName>
    <definedName name="RestroomPC3">Table21[RestroomPC3]</definedName>
    <definedName name="StoragePC1" localSheetId="0">Table31[StoragePC1]</definedName>
    <definedName name="StoragePC1">Table31[StoragePC1]</definedName>
    <definedName name="StoragePC2" localSheetId="0">Table32[StoragePC2]</definedName>
    <definedName name="StoragePC2">Table32[StoragePC2]</definedName>
    <definedName name="StoragePC3" localSheetId="0">Table33[StoragePC3]</definedName>
    <definedName name="StoragePC3">Table33[StoragePC3]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0" i="1" l="1"/>
  <c r="T21" i="1"/>
  <c r="U21" i="1"/>
  <c r="V21" i="1"/>
  <c r="V19" i="1"/>
  <c r="V17" i="1"/>
  <c r="V16" i="1"/>
  <c r="V13" i="1"/>
  <c r="V11" i="1"/>
  <c r="V8" i="1"/>
  <c r="V7" i="1"/>
  <c r="V5" i="1"/>
  <c r="S20" i="1"/>
  <c r="T20" i="1"/>
  <c r="U20" i="1"/>
  <c r="V20" i="1"/>
  <c r="V6" i="1"/>
  <c r="S19" i="1"/>
  <c r="S7" i="1"/>
  <c r="T19" i="1"/>
  <c r="U19" i="1"/>
  <c r="S18" i="1"/>
  <c r="T18" i="1"/>
  <c r="U18" i="1"/>
  <c r="V18" i="1"/>
  <c r="S17" i="1"/>
  <c r="S16" i="1"/>
  <c r="T17" i="1"/>
  <c r="U17" i="1"/>
  <c r="U16" i="1"/>
  <c r="S15" i="1"/>
  <c r="T15" i="1"/>
  <c r="T4" i="1"/>
  <c r="U15" i="1"/>
  <c r="V15" i="1"/>
  <c r="Q14" i="1"/>
  <c r="T14" i="1"/>
  <c r="U14" i="1"/>
  <c r="U12" i="1"/>
  <c r="V14" i="1"/>
  <c r="V9" i="1"/>
  <c r="S13" i="1"/>
  <c r="T13" i="1"/>
  <c r="T12" i="1"/>
  <c r="U13" i="1"/>
  <c r="V12" i="1"/>
  <c r="Q12" i="1"/>
  <c r="U11" i="1"/>
  <c r="T11" i="1"/>
  <c r="T7" i="1"/>
  <c r="S11" i="1"/>
  <c r="Q11" i="1"/>
  <c r="Q10" i="1"/>
  <c r="V10" i="1"/>
  <c r="U10" i="1"/>
  <c r="T10" i="1"/>
  <c r="S10" i="1"/>
  <c r="U9" i="1"/>
  <c r="T9" i="1"/>
  <c r="S9" i="1"/>
  <c r="Q9" i="1"/>
  <c r="U8" i="1"/>
  <c r="T8" i="1"/>
  <c r="Q8" i="1"/>
  <c r="Q7" i="1"/>
  <c r="U7" i="1"/>
  <c r="U6" i="1"/>
  <c r="S4" i="1"/>
  <c r="S5" i="1"/>
  <c r="S6" i="1"/>
  <c r="S8" i="1"/>
  <c r="S12" i="1"/>
  <c r="S14" i="1"/>
  <c r="S21" i="1"/>
  <c r="S22" i="1"/>
  <c r="S23" i="1"/>
  <c r="S24" i="1"/>
  <c r="X24" i="1" s="1"/>
  <c r="S25" i="1"/>
  <c r="S26" i="1"/>
  <c r="S27" i="1"/>
  <c r="X27" i="1" s="1"/>
  <c r="S28" i="1"/>
  <c r="S29" i="1"/>
  <c r="S30" i="1"/>
  <c r="S31" i="1"/>
  <c r="S32" i="1"/>
  <c r="X32" i="1" s="1"/>
  <c r="S33" i="1"/>
  <c r="S34" i="1"/>
  <c r="S35" i="1"/>
  <c r="S36" i="1"/>
  <c r="S37" i="1"/>
  <c r="S38" i="1"/>
  <c r="S39" i="1"/>
  <c r="X39" i="1" s="1"/>
  <c r="S40" i="1"/>
  <c r="X40" i="1" s="1"/>
  <c r="S41" i="1"/>
  <c r="S42" i="1"/>
  <c r="X42" i="1" s="1"/>
  <c r="S43" i="1"/>
  <c r="X43" i="1" s="1"/>
  <c r="S44" i="1"/>
  <c r="S45" i="1"/>
  <c r="S46" i="1"/>
  <c r="S47" i="1"/>
  <c r="X47" i="1" s="1"/>
  <c r="S48" i="1"/>
  <c r="S49" i="1"/>
  <c r="S50" i="1"/>
  <c r="S51" i="1"/>
  <c r="X51" i="1" s="1"/>
  <c r="S52" i="1"/>
  <c r="S53" i="1"/>
  <c r="S54" i="1"/>
  <c r="S55" i="1"/>
  <c r="S56" i="1"/>
  <c r="X56" i="1" s="1"/>
  <c r="S57" i="1"/>
  <c r="S58" i="1"/>
  <c r="X58" i="1" s="1"/>
  <c r="S59" i="1"/>
  <c r="S60" i="1"/>
  <c r="S61" i="1"/>
  <c r="S62" i="1"/>
  <c r="S63" i="1"/>
  <c r="S64" i="1"/>
  <c r="X64" i="1" s="1"/>
  <c r="S65" i="1"/>
  <c r="S66" i="1"/>
  <c r="S67" i="1"/>
  <c r="X67" i="1" s="1"/>
  <c r="S68" i="1"/>
  <c r="S69" i="1"/>
  <c r="S70" i="1"/>
  <c r="S71" i="1"/>
  <c r="X71" i="1" s="1"/>
  <c r="S72" i="1"/>
  <c r="X72" i="1" s="1"/>
  <c r="S73" i="1"/>
  <c r="S74" i="1"/>
  <c r="X74" i="1" s="1"/>
  <c r="S75" i="1"/>
  <c r="X75" i="1" s="1"/>
  <c r="S76" i="1"/>
  <c r="S77" i="1"/>
  <c r="S78" i="1"/>
  <c r="S79" i="1"/>
  <c r="X79" i="1" s="1"/>
  <c r="S80" i="1"/>
  <c r="S81" i="1"/>
  <c r="S82" i="1"/>
  <c r="X82" i="1" s="1"/>
  <c r="S83" i="1"/>
  <c r="X83" i="1" s="1"/>
  <c r="X23" i="1"/>
  <c r="X25" i="1"/>
  <c r="X33" i="1"/>
  <c r="X41" i="1"/>
  <c r="X49" i="1"/>
  <c r="X57" i="1"/>
  <c r="X63" i="1"/>
  <c r="X65" i="1"/>
  <c r="X73" i="1"/>
  <c r="X80" i="1"/>
  <c r="X81" i="1"/>
  <c r="R6" i="1"/>
  <c r="U5" i="1"/>
  <c r="T5" i="1"/>
  <c r="V4" i="1"/>
  <c r="U4" i="1"/>
  <c r="D8" i="5"/>
  <c r="T6" i="1"/>
  <c r="T16" i="1"/>
  <c r="T82" i="4"/>
  <c r="S82" i="4"/>
  <c r="Y82" i="4" s="1"/>
  <c r="Q82" i="4"/>
  <c r="P82" i="4"/>
  <c r="T81" i="4"/>
  <c r="S81" i="4"/>
  <c r="Y81" i="4" s="1"/>
  <c r="Q81" i="4"/>
  <c r="P81" i="4"/>
  <c r="T80" i="4"/>
  <c r="S80" i="4"/>
  <c r="Y80" i="4" s="1"/>
  <c r="Q80" i="4"/>
  <c r="P80" i="4"/>
  <c r="T79" i="4"/>
  <c r="S79" i="4"/>
  <c r="Y79" i="4" s="1"/>
  <c r="Q79" i="4"/>
  <c r="P79" i="4"/>
  <c r="T78" i="4"/>
  <c r="S78" i="4"/>
  <c r="Y78" i="4" s="1"/>
  <c r="Q78" i="4"/>
  <c r="P78" i="4"/>
  <c r="R81" i="4" s="1"/>
  <c r="T77" i="4"/>
  <c r="S77" i="4"/>
  <c r="Y77" i="4" s="1"/>
  <c r="Q77" i="4"/>
  <c r="P77" i="4"/>
  <c r="T76" i="4"/>
  <c r="S76" i="4"/>
  <c r="Y76" i="4" s="1"/>
  <c r="Q76" i="4"/>
  <c r="P76" i="4"/>
  <c r="T75" i="4"/>
  <c r="S75" i="4"/>
  <c r="Y75" i="4" s="1"/>
  <c r="Q75" i="4"/>
  <c r="P75" i="4"/>
  <c r="T74" i="4"/>
  <c r="S74" i="4"/>
  <c r="Y74" i="4" s="1"/>
  <c r="Q74" i="4"/>
  <c r="P74" i="4"/>
  <c r="R73" i="4" s="1"/>
  <c r="T73" i="4"/>
  <c r="S73" i="4"/>
  <c r="Y73" i="4" s="1"/>
  <c r="Q73" i="4"/>
  <c r="P73" i="4"/>
  <c r="T72" i="4"/>
  <c r="S72" i="4"/>
  <c r="Y72" i="4" s="1"/>
  <c r="Q72" i="4"/>
  <c r="P72" i="4"/>
  <c r="T71" i="4"/>
  <c r="S71" i="4"/>
  <c r="Y71" i="4" s="1"/>
  <c r="Q71" i="4"/>
  <c r="P71" i="4"/>
  <c r="R66" i="4" s="1"/>
  <c r="T70" i="4"/>
  <c r="S70" i="4"/>
  <c r="Y70" i="4" s="1"/>
  <c r="Q70" i="4"/>
  <c r="P70" i="4"/>
  <c r="T69" i="4"/>
  <c r="S69" i="4"/>
  <c r="Y69" i="4" s="1"/>
  <c r="Q69" i="4"/>
  <c r="P69" i="4"/>
  <c r="T68" i="4"/>
  <c r="S68" i="4"/>
  <c r="Y68" i="4" s="1"/>
  <c r="Q68" i="4"/>
  <c r="P68" i="4"/>
  <c r="R72" i="4" s="1"/>
  <c r="T67" i="4"/>
  <c r="S67" i="4"/>
  <c r="Y67" i="4" s="1"/>
  <c r="Q67" i="4"/>
  <c r="P67" i="4"/>
  <c r="R63" i="4" s="1"/>
  <c r="T66" i="4"/>
  <c r="S66" i="4"/>
  <c r="Y66" i="4" s="1"/>
  <c r="Q66" i="4"/>
  <c r="P66" i="4"/>
  <c r="T65" i="4"/>
  <c r="S65" i="4"/>
  <c r="Y65" i="4" s="1"/>
  <c r="Q65" i="4"/>
  <c r="P65" i="4"/>
  <c r="T64" i="4"/>
  <c r="S64" i="4"/>
  <c r="Y64" i="4" s="1"/>
  <c r="Q64" i="4"/>
  <c r="P64" i="4"/>
  <c r="R65" i="4" s="1"/>
  <c r="T63" i="4"/>
  <c r="S63" i="4"/>
  <c r="Y63" i="4" s="1"/>
  <c r="Q63" i="4"/>
  <c r="P63" i="4"/>
  <c r="T62" i="4"/>
  <c r="S62" i="4"/>
  <c r="Y62" i="4" s="1"/>
  <c r="Q62" i="4"/>
  <c r="P62" i="4"/>
  <c r="T61" i="4"/>
  <c r="S61" i="4"/>
  <c r="Y61" i="4" s="1"/>
  <c r="Q61" i="4"/>
  <c r="P61" i="4"/>
  <c r="T60" i="4"/>
  <c r="S60" i="4"/>
  <c r="Y60" i="4" s="1"/>
  <c r="Q60" i="4"/>
  <c r="P60" i="4"/>
  <c r="R61" i="4" s="1"/>
  <c r="T59" i="4"/>
  <c r="S59" i="4"/>
  <c r="Y59" i="4" s="1"/>
  <c r="Q59" i="4"/>
  <c r="P59" i="4"/>
  <c r="T58" i="4"/>
  <c r="S58" i="4"/>
  <c r="Y58" i="4" s="1"/>
  <c r="Q58" i="4"/>
  <c r="P58" i="4"/>
  <c r="T57" i="4"/>
  <c r="S57" i="4"/>
  <c r="Y57" i="4" s="1"/>
  <c r="Q57" i="4"/>
  <c r="P57" i="4"/>
  <c r="T56" i="4"/>
  <c r="S56" i="4"/>
  <c r="Y56" i="4" s="1"/>
  <c r="Q56" i="4"/>
  <c r="P56" i="4"/>
  <c r="T55" i="4"/>
  <c r="S55" i="4"/>
  <c r="Y55" i="4" s="1"/>
  <c r="Q55" i="4"/>
  <c r="P55" i="4"/>
  <c r="R58" i="4" s="1"/>
  <c r="T54" i="4"/>
  <c r="S54" i="4"/>
  <c r="Y54" i="4" s="1"/>
  <c r="Q54" i="4"/>
  <c r="P54" i="4"/>
  <c r="T53" i="4"/>
  <c r="S53" i="4"/>
  <c r="Y53" i="4" s="1"/>
  <c r="Q53" i="4"/>
  <c r="P53" i="4"/>
  <c r="T52" i="4"/>
  <c r="S52" i="4"/>
  <c r="Y52" i="4" s="1"/>
  <c r="Q52" i="4"/>
  <c r="P52" i="4"/>
  <c r="T51" i="4"/>
  <c r="S51" i="4"/>
  <c r="Y51" i="4" s="1"/>
  <c r="Q51" i="4"/>
  <c r="P51" i="4"/>
  <c r="T50" i="4"/>
  <c r="S50" i="4"/>
  <c r="Y50" i="4" s="1"/>
  <c r="Q50" i="4"/>
  <c r="P50" i="4"/>
  <c r="T49" i="4"/>
  <c r="S49" i="4"/>
  <c r="Y49" i="4" s="1"/>
  <c r="Q49" i="4"/>
  <c r="P49" i="4"/>
  <c r="T48" i="4"/>
  <c r="S48" i="4"/>
  <c r="Y48" i="4" s="1"/>
  <c r="Q48" i="4"/>
  <c r="P48" i="4"/>
  <c r="R52" i="4" s="1"/>
  <c r="T47" i="4"/>
  <c r="S47" i="4"/>
  <c r="Y47" i="4" s="1"/>
  <c r="Q47" i="4"/>
  <c r="P47" i="4"/>
  <c r="R49" i="4" s="1"/>
  <c r="T46" i="4"/>
  <c r="S46" i="4"/>
  <c r="Y46" i="4" s="1"/>
  <c r="Q46" i="4"/>
  <c r="P46" i="4"/>
  <c r="R51" i="4" s="1"/>
  <c r="T45" i="4"/>
  <c r="S45" i="4"/>
  <c r="Y45" i="4" s="1"/>
  <c r="Q45" i="4"/>
  <c r="P45" i="4"/>
  <c r="T44" i="4"/>
  <c r="S44" i="4"/>
  <c r="Y44" i="4" s="1"/>
  <c r="Q44" i="4"/>
  <c r="P44" i="4"/>
  <c r="R43" i="4" s="1"/>
  <c r="T43" i="4"/>
  <c r="S43" i="4"/>
  <c r="Y43" i="4" s="1"/>
  <c r="Q43" i="4"/>
  <c r="P43" i="4"/>
  <c r="T42" i="4"/>
  <c r="S42" i="4"/>
  <c r="Y42" i="4" s="1"/>
  <c r="Q42" i="4"/>
  <c r="P42" i="4"/>
  <c r="T41" i="4"/>
  <c r="S41" i="4"/>
  <c r="Y41" i="4" s="1"/>
  <c r="Q41" i="4"/>
  <c r="P41" i="4"/>
  <c r="T40" i="4"/>
  <c r="S40" i="4"/>
  <c r="Y40" i="4" s="1"/>
  <c r="Q40" i="4"/>
  <c r="P40" i="4"/>
  <c r="R34" i="4" s="1"/>
  <c r="T39" i="4"/>
  <c r="S39" i="4"/>
  <c r="Y39" i="4" s="1"/>
  <c r="Q39" i="4"/>
  <c r="P39" i="4"/>
  <c r="T38" i="4"/>
  <c r="S38" i="4"/>
  <c r="Y38" i="4" s="1"/>
  <c r="Q38" i="4"/>
  <c r="P38" i="4"/>
  <c r="T37" i="4"/>
  <c r="S37" i="4"/>
  <c r="Y37" i="4" s="1"/>
  <c r="Q37" i="4"/>
  <c r="P37" i="4"/>
  <c r="R33" i="4" s="1"/>
  <c r="T36" i="4"/>
  <c r="S36" i="4"/>
  <c r="Y36" i="4" s="1"/>
  <c r="Q36" i="4"/>
  <c r="P36" i="4"/>
  <c r="R41" i="4" s="1"/>
  <c r="T35" i="4"/>
  <c r="S35" i="4"/>
  <c r="Y35" i="4" s="1"/>
  <c r="Q35" i="4"/>
  <c r="P35" i="4"/>
  <c r="T34" i="4"/>
  <c r="S34" i="4"/>
  <c r="Y34" i="4" s="1"/>
  <c r="Q34" i="4"/>
  <c r="P34" i="4"/>
  <c r="T33" i="4"/>
  <c r="S33" i="4"/>
  <c r="Y33" i="4" s="1"/>
  <c r="Q33" i="4"/>
  <c r="P33" i="4"/>
  <c r="T32" i="4"/>
  <c r="S32" i="4"/>
  <c r="Y32" i="4" s="1"/>
  <c r="Q32" i="4"/>
  <c r="P32" i="4"/>
  <c r="T31" i="4"/>
  <c r="S31" i="4"/>
  <c r="Y31" i="4" s="1"/>
  <c r="Q31" i="4"/>
  <c r="P31" i="4"/>
  <c r="T30" i="4"/>
  <c r="S30" i="4"/>
  <c r="Y30" i="4" s="1"/>
  <c r="Q30" i="4"/>
  <c r="P30" i="4"/>
  <c r="T29" i="4"/>
  <c r="S29" i="4"/>
  <c r="Y29" i="4" s="1"/>
  <c r="Q29" i="4"/>
  <c r="P29" i="4"/>
  <c r="R27" i="4" s="1"/>
  <c r="T28" i="4"/>
  <c r="S28" i="4"/>
  <c r="Y28" i="4" s="1"/>
  <c r="Q28" i="4"/>
  <c r="P28" i="4"/>
  <c r="T27" i="4"/>
  <c r="S27" i="4"/>
  <c r="Y27" i="4" s="1"/>
  <c r="Q27" i="4"/>
  <c r="P27" i="4"/>
  <c r="T26" i="4"/>
  <c r="S26" i="4"/>
  <c r="Y26" i="4" s="1"/>
  <c r="Q26" i="4"/>
  <c r="P26" i="4"/>
  <c r="T25" i="4"/>
  <c r="S25" i="4"/>
  <c r="Y25" i="4" s="1"/>
  <c r="Q25" i="4"/>
  <c r="P25" i="4"/>
  <c r="E25" i="4"/>
  <c r="T24" i="4"/>
  <c r="S24" i="4"/>
  <c r="Y24" i="4" s="1"/>
  <c r="Q24" i="4"/>
  <c r="P24" i="4"/>
  <c r="R23" i="4" s="1"/>
  <c r="E24" i="4"/>
  <c r="T23" i="4"/>
  <c r="S23" i="4"/>
  <c r="Y23" i="4" s="1"/>
  <c r="Q23" i="4"/>
  <c r="P23" i="4"/>
  <c r="E23" i="4"/>
  <c r="T22" i="4"/>
  <c r="S22" i="4"/>
  <c r="Y22" i="4" s="1"/>
  <c r="Q22" i="4"/>
  <c r="P22" i="4"/>
  <c r="E22" i="4"/>
  <c r="T21" i="4"/>
  <c r="S21" i="4"/>
  <c r="Y21" i="4" s="1"/>
  <c r="Q21" i="4"/>
  <c r="P21" i="4"/>
  <c r="E21" i="4"/>
  <c r="T20" i="4"/>
  <c r="S20" i="4"/>
  <c r="Y20" i="4" s="1"/>
  <c r="Q20" i="4"/>
  <c r="P20" i="4"/>
  <c r="E20" i="4"/>
  <c r="T19" i="4"/>
  <c r="S19" i="4"/>
  <c r="Y19" i="4" s="1"/>
  <c r="Q19" i="4"/>
  <c r="P19" i="4"/>
  <c r="R14" i="4" s="1"/>
  <c r="E19" i="4"/>
  <c r="T18" i="4"/>
  <c r="S18" i="4"/>
  <c r="Y18" i="4" s="1"/>
  <c r="Q18" i="4"/>
  <c r="P18" i="4"/>
  <c r="E18" i="4"/>
  <c r="T17" i="4"/>
  <c r="S17" i="4"/>
  <c r="Y17" i="4" s="1"/>
  <c r="Q17" i="4"/>
  <c r="P17" i="4"/>
  <c r="R13" i="4" s="1"/>
  <c r="E17" i="4"/>
  <c r="T16" i="4"/>
  <c r="S16" i="4"/>
  <c r="Y16" i="4" s="1"/>
  <c r="Q16" i="4"/>
  <c r="P16" i="4"/>
  <c r="E16" i="4"/>
  <c r="T15" i="4"/>
  <c r="S15" i="4"/>
  <c r="Y15" i="4" s="1"/>
  <c r="Q15" i="4"/>
  <c r="P15" i="4"/>
  <c r="E15" i="4"/>
  <c r="T14" i="4"/>
  <c r="S14" i="4"/>
  <c r="Y14" i="4" s="1"/>
  <c r="Q14" i="4"/>
  <c r="P14" i="4"/>
  <c r="E14" i="4"/>
  <c r="T13" i="4"/>
  <c r="S13" i="4"/>
  <c r="Y13" i="4" s="1"/>
  <c r="Q13" i="4"/>
  <c r="P13" i="4"/>
  <c r="E13" i="4"/>
  <c r="A13" i="4"/>
  <c r="A15" i="4" s="1"/>
  <c r="A17" i="4" s="1"/>
  <c r="T12" i="4"/>
  <c r="S12" i="4"/>
  <c r="Y12" i="4" s="1"/>
  <c r="Q12" i="4"/>
  <c r="P12" i="4"/>
  <c r="E12" i="4"/>
  <c r="T11" i="4"/>
  <c r="S11" i="4"/>
  <c r="Y11" i="4" s="1"/>
  <c r="Q11" i="4"/>
  <c r="P11" i="4"/>
  <c r="E11" i="4"/>
  <c r="T10" i="4"/>
  <c r="S10" i="4"/>
  <c r="Y10" i="4" s="1"/>
  <c r="Q10" i="4"/>
  <c r="P10" i="4"/>
  <c r="E10" i="4"/>
  <c r="T9" i="4"/>
  <c r="S9" i="4"/>
  <c r="Y9" i="4" s="1"/>
  <c r="Q9" i="4"/>
  <c r="P9" i="4"/>
  <c r="E9" i="4"/>
  <c r="T8" i="4"/>
  <c r="S8" i="4"/>
  <c r="Y8" i="4" s="1"/>
  <c r="Q8" i="4"/>
  <c r="P8" i="4"/>
  <c r="R11" i="4" s="1"/>
  <c r="E8" i="4"/>
  <c r="T7" i="4"/>
  <c r="S7" i="4"/>
  <c r="Y7" i="4" s="1"/>
  <c r="Q7" i="4"/>
  <c r="P7" i="4"/>
  <c r="E7" i="4"/>
  <c r="T6" i="4"/>
  <c r="S6" i="4"/>
  <c r="Y6" i="4" s="1"/>
  <c r="Q6" i="4"/>
  <c r="P6" i="4"/>
  <c r="E6" i="4"/>
  <c r="T5" i="4"/>
  <c r="S5" i="4"/>
  <c r="Y5" i="4" s="1"/>
  <c r="Q5" i="4"/>
  <c r="P5" i="4"/>
  <c r="E5" i="4"/>
  <c r="T4" i="4"/>
  <c r="S4" i="4"/>
  <c r="Y4" i="4" s="1"/>
  <c r="Q4" i="4"/>
  <c r="P4" i="4"/>
  <c r="R9" i="4" s="1"/>
  <c r="E4" i="4"/>
  <c r="W3" i="4" a="1"/>
  <c r="W3" i="4" s="1"/>
  <c r="T3" i="4"/>
  <c r="S3" i="4"/>
  <c r="Y3" i="4" s="1"/>
  <c r="Q3" i="4"/>
  <c r="P3" i="4"/>
  <c r="E3" i="4"/>
  <c r="X66" i="1"/>
  <c r="X62" i="1"/>
  <c r="X61" i="1"/>
  <c r="X55" i="1"/>
  <c r="X53" i="1"/>
  <c r="X46" i="1"/>
  <c r="X52" i="1"/>
  <c r="X26" i="1"/>
  <c r="X35" i="1"/>
  <c r="X78" i="1"/>
  <c r="X77" i="1"/>
  <c r="X76" i="1"/>
  <c r="X70" i="1"/>
  <c r="X69" i="1"/>
  <c r="X68" i="1"/>
  <c r="X60" i="1"/>
  <c r="X59" i="1"/>
  <c r="X54" i="1"/>
  <c r="X50" i="1"/>
  <c r="X48" i="1"/>
  <c r="X45" i="1"/>
  <c r="X44" i="1"/>
  <c r="X38" i="1"/>
  <c r="X37" i="1"/>
  <c r="X36" i="1"/>
  <c r="X34" i="1"/>
  <c r="X31" i="1"/>
  <c r="X30" i="1"/>
  <c r="X29" i="1"/>
  <c r="X28" i="1"/>
  <c r="P83" i="1"/>
  <c r="P82" i="1"/>
  <c r="P81" i="1"/>
  <c r="P80" i="1"/>
  <c r="P79" i="1"/>
  <c r="R82" i="1" s="1"/>
  <c r="P78" i="1"/>
  <c r="P77" i="1"/>
  <c r="P76" i="1"/>
  <c r="P75" i="1"/>
  <c r="R74" i="1" s="1"/>
  <c r="P74" i="1"/>
  <c r="P64" i="1"/>
  <c r="P73" i="1"/>
  <c r="P72" i="1"/>
  <c r="R67" i="1" s="1"/>
  <c r="P71" i="1"/>
  <c r="P70" i="1"/>
  <c r="P69" i="1"/>
  <c r="R73" i="1" s="1"/>
  <c r="P68" i="1"/>
  <c r="R64" i="1" s="1"/>
  <c r="P67" i="1"/>
  <c r="P66" i="1"/>
  <c r="P65" i="1"/>
  <c r="R66" i="1" s="1"/>
  <c r="P54" i="1"/>
  <c r="P63" i="1"/>
  <c r="P62" i="1"/>
  <c r="P61" i="1"/>
  <c r="R62" i="1" s="1"/>
  <c r="P60" i="1"/>
  <c r="P59" i="1"/>
  <c r="P58" i="1"/>
  <c r="P57" i="1"/>
  <c r="P56" i="1"/>
  <c r="R59" i="1" s="1"/>
  <c r="P55" i="1"/>
  <c r="P44" i="1"/>
  <c r="P53" i="1"/>
  <c r="P52" i="1"/>
  <c r="P51" i="1"/>
  <c r="P50" i="1"/>
  <c r="P49" i="1"/>
  <c r="R53" i="1" s="1"/>
  <c r="P48" i="1"/>
  <c r="R50" i="1" s="1"/>
  <c r="P47" i="1"/>
  <c r="R52" i="1" s="1"/>
  <c r="P46" i="1"/>
  <c r="P45" i="1"/>
  <c r="R44" i="1" s="1"/>
  <c r="P34" i="1"/>
  <c r="P43" i="1"/>
  <c r="P42" i="1"/>
  <c r="P41" i="1"/>
  <c r="P40" i="1"/>
  <c r="P39" i="1"/>
  <c r="P38" i="1"/>
  <c r="P37" i="1"/>
  <c r="R42" i="1" s="1"/>
  <c r="P36" i="1"/>
  <c r="P35" i="1"/>
  <c r="P24" i="1"/>
  <c r="P33" i="1"/>
  <c r="P32" i="1"/>
  <c r="P31" i="1"/>
  <c r="P30" i="1"/>
  <c r="P29" i="1"/>
  <c r="P28" i="1"/>
  <c r="P27" i="1"/>
  <c r="P26" i="1"/>
  <c r="P25" i="1"/>
  <c r="P4" i="1"/>
  <c r="P23" i="1"/>
  <c r="P22" i="1"/>
  <c r="P21" i="1"/>
  <c r="P20" i="1"/>
  <c r="P19" i="1"/>
  <c r="P17" i="1"/>
  <c r="P18" i="1"/>
  <c r="P7" i="1"/>
  <c r="P16" i="1"/>
  <c r="P6" i="1"/>
  <c r="P15" i="1"/>
  <c r="P5" i="1"/>
  <c r="P14" i="1"/>
  <c r="P13" i="1"/>
  <c r="P12" i="1"/>
  <c r="P11" i="1"/>
  <c r="P10" i="1"/>
  <c r="P9" i="1"/>
  <c r="P8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E14" i="1"/>
  <c r="E20" i="1"/>
  <c r="E9" i="1"/>
  <c r="E8" i="1"/>
  <c r="E25" i="1"/>
  <c r="E19" i="1"/>
  <c r="E26" i="1"/>
  <c r="E24" i="1"/>
  <c r="E11" i="1"/>
  <c r="E13" i="1"/>
  <c r="E5" i="1"/>
  <c r="E22" i="1"/>
  <c r="E15" i="1"/>
  <c r="E12" i="1"/>
  <c r="E21" i="1"/>
  <c r="E18" i="1"/>
  <c r="E6" i="1"/>
  <c r="E10" i="1"/>
  <c r="E16" i="1"/>
  <c r="E4" i="1"/>
  <c r="E17" i="1"/>
  <c r="E7" i="1"/>
  <c r="E23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X22" i="1"/>
  <c r="Q23" i="1"/>
  <c r="Q22" i="1"/>
  <c r="Q21" i="1"/>
  <c r="Q20" i="1"/>
  <c r="Q19" i="1"/>
  <c r="Q18" i="1"/>
  <c r="Q17" i="1"/>
  <c r="Q16" i="1"/>
  <c r="Q15" i="1"/>
  <c r="Q13" i="1"/>
  <c r="Q5" i="1"/>
  <c r="Q6" i="1"/>
  <c r="Q4" i="1"/>
  <c r="A14" i="1"/>
  <c r="A16" i="1" s="1"/>
  <c r="M14" i="5" l="1" a="1"/>
  <c r="M14" i="5" s="1"/>
  <c r="M7" i="5" a="1"/>
  <c r="M7" i="5" s="1"/>
  <c r="M21" i="5" a="1"/>
  <c r="J10" i="5" s="1"/>
  <c r="M28" i="5" a="1"/>
  <c r="E11" i="5" s="1"/>
  <c r="M35" i="5" a="1"/>
  <c r="M35" i="5" s="1"/>
  <c r="AB7" i="5"/>
  <c r="R21" i="4"/>
  <c r="A19" i="4"/>
  <c r="A20" i="1"/>
  <c r="A18" i="1"/>
  <c r="E9" i="5" l="1"/>
  <c r="E8" i="5"/>
  <c r="C9" i="5" s="1"/>
  <c r="J9" i="5"/>
  <c r="Z14" i="5" a="1"/>
  <c r="Z14" i="5" s="1"/>
  <c r="M28" i="5"/>
  <c r="J11" i="5"/>
  <c r="J8" i="5"/>
  <c r="Z28" i="5" a="1"/>
  <c r="Z28" i="5" s="1"/>
  <c r="Z35" i="5" a="1"/>
  <c r="Z35" i="5" s="1"/>
  <c r="E10" i="5"/>
  <c r="E12" i="5"/>
  <c r="Z21" i="5" a="1"/>
  <c r="Z21" i="5" s="1"/>
  <c r="J12" i="5"/>
  <c r="Z7" i="5" a="1"/>
  <c r="Z7" i="5" s="1"/>
  <c r="M21" i="5"/>
  <c r="C10" i="5" l="1"/>
  <c r="D10" i="5" s="1"/>
  <c r="D9" i="5"/>
  <c r="C11" i="5" l="1"/>
  <c r="D11" i="5" s="1"/>
  <c r="C12" i="5" l="1"/>
  <c r="D1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<sst xmlns="http://schemas.openxmlformats.org/spreadsheetml/2006/main" count="1052" uniqueCount="223">
  <si>
    <t>Time Slots</t>
    <phoneticPr fontId="2" type="noConversion"/>
  </si>
  <si>
    <t>PC</t>
    <phoneticPr fontId="2" type="noConversion"/>
  </si>
  <si>
    <t>NPC</t>
    <phoneticPr fontId="2" type="noConversion"/>
  </si>
  <si>
    <t>Item</t>
    <phoneticPr fontId="2" type="noConversion"/>
  </si>
  <si>
    <t>Location</t>
    <phoneticPr fontId="2" type="noConversion"/>
  </si>
  <si>
    <t>Interaction</t>
    <phoneticPr fontId="2" type="noConversion"/>
  </si>
  <si>
    <t>Prerequisites</t>
    <phoneticPr fontId="2" type="noConversion"/>
  </si>
  <si>
    <t>Key/Side</t>
    <phoneticPr fontId="2" type="noConversion"/>
  </si>
  <si>
    <t>Which Kid's</t>
    <phoneticPr fontId="2" type="noConversion"/>
  </si>
  <si>
    <t>Locations</t>
    <phoneticPr fontId="2" type="noConversion"/>
  </si>
  <si>
    <t>NPCs</t>
    <phoneticPr fontId="2" type="noConversion"/>
  </si>
  <si>
    <t>PCs</t>
    <phoneticPr fontId="2" type="noConversion"/>
  </si>
  <si>
    <t>Items</t>
    <phoneticPr fontId="2" type="noConversion"/>
  </si>
  <si>
    <t>PC1</t>
    <phoneticPr fontId="2" type="noConversion"/>
  </si>
  <si>
    <t>PC2</t>
    <phoneticPr fontId="2" type="noConversion"/>
  </si>
  <si>
    <t>Kids</t>
    <phoneticPr fontId="2" type="noConversion"/>
  </si>
  <si>
    <t>K1</t>
    <phoneticPr fontId="2" type="noConversion"/>
  </si>
  <si>
    <t>K2</t>
  </si>
  <si>
    <t>K2</t>
    <phoneticPr fontId="2" type="noConversion"/>
  </si>
  <si>
    <t>K3</t>
  </si>
  <si>
    <t>K4</t>
  </si>
  <si>
    <t>K5</t>
  </si>
  <si>
    <t>K6</t>
  </si>
  <si>
    <t>K7</t>
  </si>
  <si>
    <t>K8</t>
  </si>
  <si>
    <t>P1</t>
    <phoneticPr fontId="2" type="noConversion"/>
  </si>
  <si>
    <t>P2</t>
    <phoneticPr fontId="2" type="noConversion"/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</si>
  <si>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</si>
  <si>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</si>
  <si>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</si>
  <si>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</si>
  <si>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</si>
  <si>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</si>
  <si>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</si>
  <si>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</si>
  <si>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</si>
  <si>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</si>
  <si>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F1</t>
    <phoneticPr fontId="2" type="noConversion"/>
  </si>
  <si>
    <t>F2</t>
  </si>
  <si>
    <t>F3</t>
  </si>
  <si>
    <t>Classroom</t>
    <phoneticPr fontId="2" type="noConversion"/>
  </si>
  <si>
    <t>Hallway1</t>
    <phoneticPr fontId="2" type="noConversion"/>
  </si>
  <si>
    <t>Hallway2</t>
  </si>
  <si>
    <t>Hallway2</t>
    <phoneticPr fontId="2" type="noConversion"/>
  </si>
  <si>
    <t>Restroom</t>
  </si>
  <si>
    <t>Restroom</t>
    <phoneticPr fontId="2" type="noConversion"/>
  </si>
  <si>
    <t>Playground</t>
    <phoneticPr fontId="2" type="noConversion"/>
  </si>
  <si>
    <t>Naproom</t>
    <phoneticPr fontId="2" type="noConversion"/>
  </si>
  <si>
    <t>Office</t>
    <phoneticPr fontId="2" type="noConversion"/>
  </si>
  <si>
    <t>Storage</t>
  </si>
  <si>
    <t>Storage</t>
    <phoneticPr fontId="2" type="noConversion"/>
  </si>
  <si>
    <t>Side</t>
    <phoneticPr fontId="2" type="noConversion"/>
  </si>
  <si>
    <t>Key</t>
    <phoneticPr fontId="2" type="noConversion"/>
  </si>
  <si>
    <t>4:00-4:10</t>
    <phoneticPr fontId="2" type="noConversion"/>
  </si>
  <si>
    <t>4:10-4:20</t>
    <phoneticPr fontId="2" type="noConversion"/>
  </si>
  <si>
    <t>4:20-4:30</t>
    <phoneticPr fontId="2" type="noConversion"/>
  </si>
  <si>
    <t>4:30-4:40</t>
    <phoneticPr fontId="2" type="noConversion"/>
  </si>
  <si>
    <t>4:40-4:50</t>
    <phoneticPr fontId="2" type="noConversion"/>
  </si>
  <si>
    <t>4:50-5:00</t>
    <phoneticPr fontId="2" type="noConversion"/>
  </si>
  <si>
    <t>Item1</t>
    <phoneticPr fontId="2" type="noConversion"/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</si>
  <si>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</si>
  <si>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</si>
  <si>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</si>
  <si>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</si>
  <si>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</si>
  <si>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</si>
  <si>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</si>
  <si>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</si>
  <si>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</si>
  <si>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</si>
  <si>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</si>
  <si>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</si>
  <si>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</si>
  <si>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</si>
  <si>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</si>
  <si>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</si>
  <si>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</si>
  <si>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</si>
  <si>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</si>
  <si>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</si>
  <si>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</si>
  <si>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</si>
  <si>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</si>
  <si>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</si>
  <si>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</si>
  <si>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</si>
  <si>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</si>
  <si>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</si>
  <si>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</si>
  <si>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</si>
  <si>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</si>
  <si>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</si>
  <si>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</si>
  <si>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</si>
  <si>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</si>
  <si>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</si>
  <si>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</si>
  <si>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</si>
  <si>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</si>
  <si>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Total Hints</t>
    <phoneticPr fontId="2" type="noConversion"/>
  </si>
  <si>
    <t>Key Hints per Kid</t>
    <phoneticPr fontId="2" type="noConversion"/>
  </si>
  <si>
    <t>Hints per Kid</t>
    <phoneticPr fontId="2" type="noConversion"/>
  </si>
  <si>
    <t>Side Hints per Kid</t>
    <phoneticPr fontId="2" type="noConversion"/>
  </si>
  <si>
    <t>Loop Count</t>
    <phoneticPr fontId="2" type="noConversion"/>
  </si>
  <si>
    <t>Kids Count</t>
    <phoneticPr fontId="2" type="noConversion"/>
  </si>
  <si>
    <t>Perfect per Loop</t>
    <phoneticPr fontId="2" type="noConversion"/>
  </si>
  <si>
    <t>Good per Loop</t>
    <phoneticPr fontId="2" type="noConversion"/>
  </si>
  <si>
    <t>Pass/Fail per Loop</t>
    <phoneticPr fontId="2" type="noConversion"/>
  </si>
  <si>
    <t>Description</t>
    <phoneticPr fontId="2" type="noConversion"/>
  </si>
  <si>
    <t>PC3</t>
    <phoneticPr fontId="2" type="noConversion"/>
  </si>
  <si>
    <t>Randomizer</t>
    <phoneticPr fontId="2" type="noConversion"/>
  </si>
  <si>
    <t>K3</t>
    <phoneticPr fontId="2" type="noConversion"/>
  </si>
  <si>
    <t>Interactions</t>
    <phoneticPr fontId="2" type="noConversion"/>
  </si>
  <si>
    <t>Conversation</t>
  </si>
  <si>
    <t>Conversation</t>
    <phoneticPr fontId="2" type="noConversion"/>
  </si>
  <si>
    <t>Observation</t>
  </si>
  <si>
    <t>Observation</t>
    <phoneticPr fontId="2" type="noConversion"/>
  </si>
  <si>
    <t>Query</t>
  </si>
  <si>
    <t>Query</t>
    <phoneticPr fontId="2" type="noConversion"/>
  </si>
  <si>
    <t>Index</t>
    <phoneticPr fontId="2" type="noConversion"/>
  </si>
  <si>
    <t>1,2</t>
    <phoneticPr fontId="2" type="noConversion"/>
  </si>
  <si>
    <t>1,2,3,4,5,6</t>
    <phoneticPr fontId="2" type="noConversion"/>
  </si>
  <si>
    <t>1,2,3,4,5</t>
    <phoneticPr fontId="2" type="noConversion"/>
  </si>
  <si>
    <t>1,2,3,4</t>
    <phoneticPr fontId="2" type="noConversion"/>
  </si>
  <si>
    <t>1,2,3</t>
    <phoneticPr fontId="2" type="noConversion"/>
  </si>
  <si>
    <t>TBD</t>
    <phoneticPr fontId="2" type="noConversion"/>
  </si>
  <si>
    <t>Time Slot Index</t>
    <phoneticPr fontId="2" type="noConversion"/>
  </si>
  <si>
    <t>Time Spent</t>
    <phoneticPr fontId="2" type="noConversion"/>
  </si>
  <si>
    <t>Location Distance</t>
    <phoneticPr fontId="2" type="noConversion"/>
  </si>
  <si>
    <t>Collect Time per Hint</t>
    <phoneticPr fontId="2" type="noConversion"/>
  </si>
  <si>
    <t>Relative to Mystery?</t>
    <phoneticPr fontId="2" type="noConversion"/>
  </si>
  <si>
    <t>Y</t>
    <phoneticPr fontId="2" type="noConversion"/>
  </si>
  <si>
    <t>Hint No.</t>
    <phoneticPr fontId="2" type="noConversion"/>
  </si>
  <si>
    <t>P3</t>
    <phoneticPr fontId="2" type="noConversion"/>
  </si>
  <si>
    <t>F2</t>
    <phoneticPr fontId="2" type="noConversion"/>
  </si>
  <si>
    <t>F3</t>
    <phoneticPr fontId="2" type="noConversion"/>
  </si>
  <si>
    <t>Remained Time</t>
    <phoneticPr fontId="2" type="noConversion"/>
  </si>
  <si>
    <t>Loop 1</t>
    <phoneticPr fontId="2" type="noConversion"/>
  </si>
  <si>
    <t>NPC/Item</t>
    <phoneticPr fontId="2" type="noConversion"/>
  </si>
  <si>
    <t>RestroomPC1</t>
    <phoneticPr fontId="2" type="noConversion"/>
  </si>
  <si>
    <t>RestroomPC2</t>
    <phoneticPr fontId="2" type="noConversion"/>
  </si>
  <si>
    <t>RestroomPC3</t>
    <phoneticPr fontId="2" type="noConversion"/>
  </si>
  <si>
    <t>PlaygroundPC1</t>
    <phoneticPr fontId="2" type="noConversion"/>
  </si>
  <si>
    <t>PlaygroundPC2</t>
    <phoneticPr fontId="2" type="noConversion"/>
  </si>
  <si>
    <t>PlaygroundPC3</t>
    <phoneticPr fontId="2" type="noConversion"/>
  </si>
  <si>
    <t>NaproomPC1</t>
    <phoneticPr fontId="2" type="noConversion"/>
  </si>
  <si>
    <t>NaproomPC2</t>
    <phoneticPr fontId="2" type="noConversion"/>
  </si>
  <si>
    <t>NaproomPC3</t>
    <phoneticPr fontId="2" type="noConversion"/>
  </si>
  <si>
    <t>OfficePC1</t>
    <phoneticPr fontId="2" type="noConversion"/>
  </si>
  <si>
    <t>OfficePC2</t>
    <phoneticPr fontId="2" type="noConversion"/>
  </si>
  <si>
    <t>OfficePC3</t>
    <phoneticPr fontId="2" type="noConversion"/>
  </si>
  <si>
    <t>StoragePC1</t>
    <phoneticPr fontId="2" type="noConversion"/>
  </si>
  <si>
    <t>StoragePC2</t>
    <phoneticPr fontId="2" type="noConversion"/>
  </si>
  <si>
    <t>StoragePC3</t>
    <phoneticPr fontId="2" type="noConversion"/>
  </si>
  <si>
    <t>ClassroomPC1</t>
    <phoneticPr fontId="2" type="noConversion"/>
  </si>
  <si>
    <t>ClassroomPC2</t>
    <phoneticPr fontId="2" type="noConversion"/>
  </si>
  <si>
    <t>ClassroomPC3</t>
    <phoneticPr fontId="2" type="noConversion"/>
  </si>
  <si>
    <t>Hallway1PC1</t>
    <phoneticPr fontId="2" type="noConversion"/>
  </si>
  <si>
    <t>Hallway1PC2</t>
    <phoneticPr fontId="2" type="noConversion"/>
  </si>
  <si>
    <t>Hallway1PC3</t>
    <phoneticPr fontId="2" type="noConversion"/>
  </si>
  <si>
    <t>Hallway2PC1</t>
    <phoneticPr fontId="2" type="noConversion"/>
  </si>
  <si>
    <t>Hallway2PC2</t>
    <phoneticPr fontId="2" type="noConversion"/>
  </si>
  <si>
    <t>Hallway2PC3</t>
    <phoneticPr fontId="2" type="noConversion"/>
  </si>
  <si>
    <t>Loop1-1</t>
    <phoneticPr fontId="2" type="noConversion"/>
  </si>
  <si>
    <t>Loop1-2</t>
    <phoneticPr fontId="2" type="noConversion"/>
  </si>
  <si>
    <t>Loop1-3</t>
    <phoneticPr fontId="2" type="noConversion"/>
  </si>
  <si>
    <t>Loop1-4</t>
    <phoneticPr fontId="2" type="noConversion"/>
  </si>
  <si>
    <t>Time Slot</t>
    <phoneticPr fontId="2" type="noConversion"/>
  </si>
  <si>
    <t>InteractionAvaliable</t>
    <phoneticPr fontId="2" type="noConversion"/>
  </si>
  <si>
    <t>Loop1-5</t>
    <phoneticPr fontId="2" type="noConversion"/>
  </si>
  <si>
    <t>s</t>
    <phoneticPr fontId="2" type="noConversion"/>
  </si>
  <si>
    <t xml:space="preserve">             </t>
    <phoneticPr fontId="2" type="noConversion"/>
  </si>
  <si>
    <r>
      <t xml:space="preserve">The whole game has total 5 time loops, each time loop has 60 minutes (6 time slots, 10 minutes/slot).
There are 8 kids, only one of them is </t>
    </r>
    <r>
      <rPr>
        <b/>
        <sz val="11"/>
        <color rgb="FFFF0000"/>
        <rFont val="Calibri"/>
        <family val="3"/>
        <charset val="134"/>
        <scheme val="minor"/>
      </rPr>
      <t>the victim kid</t>
    </r>
    <r>
      <rPr>
        <sz val="11"/>
        <color theme="1"/>
        <rFont val="Calibri"/>
        <family val="2"/>
        <charset val="134"/>
        <scheme val="minor"/>
      </rPr>
      <t xml:space="preserve">.
</t>
    </r>
    <r>
      <rPr>
        <b/>
        <sz val="11"/>
        <color theme="1"/>
        <rFont val="Calibri"/>
        <family val="3"/>
        <charset val="134"/>
        <scheme val="minor"/>
      </rPr>
      <t xml:space="preserve">Game goal: within 5 loops, collect as many hints about </t>
    </r>
    <r>
      <rPr>
        <b/>
        <sz val="11"/>
        <color rgb="FFFF0000"/>
        <rFont val="Calibri"/>
        <family val="3"/>
        <charset val="134"/>
        <scheme val="minor"/>
      </rPr>
      <t>the victim kid</t>
    </r>
    <r>
      <rPr>
        <b/>
        <sz val="11"/>
        <color theme="1"/>
        <rFont val="Calibri"/>
        <family val="3"/>
        <charset val="134"/>
        <scheme val="minor"/>
      </rPr>
      <t xml:space="preserve"> as possible. 
</t>
    </r>
    <r>
      <rPr>
        <sz val="11"/>
        <color theme="1"/>
        <rFont val="Calibri"/>
        <family val="2"/>
        <charset val="134"/>
        <scheme val="minor"/>
      </rPr>
      <t xml:space="preserve">
To collect a hint: </t>
    </r>
    <r>
      <rPr>
        <b/>
        <sz val="11"/>
        <color theme="1"/>
        <rFont val="Calibri"/>
        <family val="3"/>
        <charset val="134"/>
        <scheme val="minor"/>
      </rPr>
      <t>in the pink area</t>
    </r>
    <r>
      <rPr>
        <sz val="11"/>
        <color theme="1"/>
        <rFont val="Calibri"/>
        <family val="2"/>
        <charset val="134"/>
        <scheme val="minor"/>
      </rPr>
      <t xml:space="preserve">, choose 1) Location - where you want to go; 2) PC -
among 3 PCs (playable main characters), which PC you want to control; 3) NPC/Item -
which NPC or Item you want to interact with; 4) Interaction - how you want to interact
with the target chosen;
Enters next time loop when you use up 60 minutes (use up 'Remained Time'). </t>
    </r>
    <phoneticPr fontId="2" type="noConversion"/>
  </si>
  <si>
    <t>General</t>
    <phoneticPr fontId="2" type="noConversion"/>
  </si>
  <si>
    <t>Elements</t>
    <phoneticPr fontId="2" type="noConversion"/>
  </si>
  <si>
    <t>Hints</t>
    <phoneticPr fontId="2" type="noConversion"/>
  </si>
  <si>
    <t>Gameplay Prototype</t>
    <phoneticPr fontId="2" type="noConversion"/>
  </si>
  <si>
    <t>Vick</t>
  </si>
  <si>
    <t>Flora</t>
  </si>
  <si>
    <t>Chuck</t>
  </si>
  <si>
    <t>Plum</t>
  </si>
  <si>
    <t>Jamie</t>
  </si>
  <si>
    <t>Emi</t>
  </si>
  <si>
    <t>Cole</t>
  </si>
  <si>
    <t>Lyric</t>
  </si>
  <si>
    <t>Teacher</t>
  </si>
  <si>
    <t>Janitor</t>
  </si>
  <si>
    <t>Administrator</t>
  </si>
  <si>
    <t>Toy Room</t>
  </si>
  <si>
    <t>Hallway1</t>
  </si>
  <si>
    <t>Recall</t>
  </si>
  <si>
    <t>Eavesdrop</t>
  </si>
  <si>
    <t>Y</t>
  </si>
  <si>
    <t>1,2,3,4,5,6</t>
  </si>
  <si>
    <t>Flora's barbie</t>
  </si>
  <si>
    <t>1,2,3,4</t>
  </si>
  <si>
    <t>Vick's snacks</t>
  </si>
  <si>
    <t>1,2,3,4,</t>
  </si>
  <si>
    <t>A bag of hair</t>
  </si>
  <si>
    <t>1,2,3</t>
  </si>
  <si>
    <t>Flora is a secret bully.</t>
  </si>
  <si>
    <t>Fruit puree, rice craker, dried mango</t>
  </si>
  <si>
    <t>Flora's barbie bought by Vick's mom</t>
  </si>
  <si>
    <t>Vick and Flora</t>
  </si>
  <si>
    <t>Vick loves his mom and Flora</t>
  </si>
  <si>
    <t>Vick's painting</t>
  </si>
  <si>
    <t>Vick's dream is being smart so his mom loves him</t>
  </si>
  <si>
    <t>2,3,4</t>
  </si>
  <si>
    <t>Vick's mom emotionally abuses Vick a lot.</t>
  </si>
  <si>
    <t>Recent kidnapping incidents in the neighborhood</t>
  </si>
  <si>
    <t>Announcement board</t>
  </si>
  <si>
    <t>Vick is happy about his mom picking him up today.</t>
  </si>
  <si>
    <t>Vick is sad b/c his mom may not picks him up today.</t>
  </si>
  <si>
    <t>Vick mom's note for the teacher</t>
  </si>
  <si>
    <t>Vick mom's note for Vick</t>
  </si>
  <si>
    <t>Vick's mom makes a 'note strategy' for Vick</t>
  </si>
  <si>
    <t>A bar of chocolate</t>
  </si>
  <si>
    <t>Vick has something in his pocket</t>
  </si>
  <si>
    <t>Vick looks guilty about having a bar of chocolate</t>
  </si>
  <si>
    <t>Vick's pocket</t>
  </si>
  <si>
    <t>Snacks</t>
  </si>
  <si>
    <t>Janitor has many children snacks in his storage room.</t>
  </si>
  <si>
    <t>Dinning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</si>
</sst>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9" tint="-0.24997711111789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4"/>
      <color theme="0"/>
      <name val="Calibri"/>
      <family val="3"/>
      <charset val="134"/>
      <scheme val="minor"/>
    </font>
    <font>
      <b/>
      <sz val="12"/>
      <color theme="2" tint="-0.749992370372631"/>
      <name val="Calibri"/>
      <family val="3"/>
      <charset val="134"/>
      <scheme val="minor"/>
    </font>
    <font>
      <b/>
      <sz val="11"/>
      <color theme="2" tint="-0.74999237037263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6"/>
      <color theme="0"/>
      <name val="Calibri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FFC81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3"/>
      </right>
      <top/>
      <bottom style="thin">
        <color theme="2" tint="-0.499984740745262"/>
      </bottom>
      <diagonal/>
    </border>
    <border>
      <left style="medium">
        <color theme="3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3"/>
      </top>
      <bottom style="medium">
        <color theme="3"/>
      </bottom>
      <diagonal/>
    </border>
    <border>
      <left style="thin">
        <color theme="2" tint="-0.499984740745262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3"/>
      </left>
      <right style="medium">
        <color theme="3"/>
      </right>
      <top style="thin">
        <color theme="2" tint="-0.499984740745262"/>
      </top>
      <bottom style="medium">
        <color theme="3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medium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 style="medium">
        <color theme="3"/>
      </top>
      <bottom style="medium">
        <color theme="3"/>
      </bottom>
      <diagonal/>
    </border>
    <border>
      <left style="thin">
        <color theme="3"/>
      </left>
      <right style="medium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 style="medium">
        <color theme="3"/>
      </top>
      <bottom style="medium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 style="medium">
        <color theme="3"/>
      </left>
      <right style="medium">
        <color theme="3"/>
      </right>
      <top style="thin">
        <color theme="3"/>
      </top>
      <bottom style="medium">
        <color theme="3"/>
      </bottom>
      <diagonal/>
    </border>
    <border>
      <left style="medium">
        <color theme="3"/>
      </left>
      <right style="medium">
        <color theme="3"/>
      </right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2" borderId="1" xfId="1" applyFont="1" applyBorder="1">
      <alignment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21" xfId="0" applyFont="1" applyFill="1" applyBorder="1" applyAlignment="1">
      <alignment horizontal="center" vertical="center"/>
    </xf>
    <xf numFmtId="0" fontId="1" fillId="14" borderId="31" xfId="0" applyFont="1" applyFill="1" applyBorder="1">
      <alignment vertical="center"/>
    </xf>
    <xf numFmtId="0" fontId="0" fillId="13" borderId="31" xfId="0" applyFont="1" applyFill="1" applyBorder="1">
      <alignment vertical="center"/>
    </xf>
    <xf numFmtId="0" fontId="6" fillId="13" borderId="31" xfId="0" applyFont="1" applyFill="1" applyBorder="1">
      <alignment vertical="center"/>
    </xf>
    <xf numFmtId="0" fontId="0" fillId="7" borderId="31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1" xfId="0" applyFill="1" applyBorder="1" applyAlignment="1">
      <alignment vertical="center"/>
    </xf>
    <xf numFmtId="0" fontId="0" fillId="7" borderId="32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9" fillId="7" borderId="39" xfId="0" applyFont="1" applyFill="1" applyBorder="1" applyAlignment="1">
      <alignment horizontal="center" vertical="center"/>
    </xf>
    <xf numFmtId="0" fontId="0" fillId="7" borderId="40" xfId="0" applyFill="1" applyBorder="1" applyAlignment="1">
      <alignment horizontal="center" vertical="center"/>
    </xf>
    <xf numFmtId="0" fontId="0" fillId="7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 vertical="center"/>
    </xf>
    <xf numFmtId="0" fontId="3" fillId="7" borderId="7" xfId="0" applyFont="1" applyFill="1" applyBorder="1">
      <alignment vertical="center"/>
    </xf>
    <xf numFmtId="0" fontId="0" fillId="7" borderId="46" xfId="0" applyFill="1" applyBorder="1">
      <alignment vertical="center"/>
    </xf>
    <xf numFmtId="0" fontId="0" fillId="7" borderId="47" xfId="0" applyFill="1" applyBorder="1">
      <alignment vertical="center"/>
    </xf>
    <xf numFmtId="0" fontId="0" fillId="5" borderId="0" xfId="0" applyFill="1" applyAlignment="1">
      <alignment horizontal="center" vertical="center" wrapText="1"/>
    </xf>
    <xf numFmtId="0" fontId="8" fillId="10" borderId="2" xfId="1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4" fillId="8" borderId="48" xfId="0" applyFont="1" applyFill="1" applyBorder="1">
      <alignment vertical="center"/>
    </xf>
    <xf numFmtId="0" fontId="4" fillId="8" borderId="6" xfId="0" applyFont="1" applyFill="1" applyBorder="1">
      <alignment vertical="center"/>
    </xf>
    <xf numFmtId="0" fontId="4" fillId="8" borderId="4" xfId="0" applyFont="1" applyFill="1" applyBorder="1">
      <alignment vertical="center"/>
    </xf>
    <xf numFmtId="0" fontId="0" fillId="9" borderId="4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4" fillId="11" borderId="24" xfId="0" applyFont="1" applyFill="1" applyBorder="1" applyAlignment="1">
      <alignment horizontal="center" vertical="center"/>
    </xf>
    <xf numFmtId="0" fontId="4" fillId="11" borderId="25" xfId="0" applyFont="1" applyFill="1" applyBorder="1" applyAlignment="1">
      <alignment horizontal="center" vertical="center"/>
    </xf>
    <xf numFmtId="0" fontId="4" fillId="11" borderId="26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left" vertical="center" wrapText="1" indent="1"/>
    </xf>
    <xf numFmtId="0" fontId="0" fillId="5" borderId="12" xfId="0" applyFill="1" applyBorder="1" applyAlignment="1">
      <alignment horizontal="left" vertical="center" wrapText="1" indent="1"/>
    </xf>
    <xf numFmtId="0" fontId="0" fillId="5" borderId="13" xfId="0" applyFill="1" applyBorder="1" applyAlignment="1">
      <alignment horizontal="left" vertical="center" wrapText="1" indent="1"/>
    </xf>
    <xf numFmtId="0" fontId="7" fillId="12" borderId="11" xfId="0" applyFont="1" applyFill="1" applyBorder="1" applyAlignment="1">
      <alignment horizontal="center" vertical="center"/>
    </xf>
    <xf numFmtId="0" fontId="7" fillId="12" borderId="12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11" borderId="9" xfId="0" applyFont="1" applyFill="1" applyBorder="1" applyAlignment="1">
      <alignment horizontal="center" vertical="center"/>
    </xf>
    <xf numFmtId="0" fontId="11" fillId="11" borderId="10" xfId="0" applyFont="1" applyFill="1" applyBorder="1" applyAlignment="1">
      <alignment horizontal="center" vertical="center"/>
    </xf>
    <xf numFmtId="0" fontId="11" fillId="11" borderId="28" xfId="0" applyFont="1" applyFill="1" applyBorder="1" applyAlignment="1">
      <alignment horizontal="center" vertical="center"/>
    </xf>
    <xf numFmtId="0" fontId="11" fillId="11" borderId="29" xfId="0" applyFont="1" applyFill="1" applyBorder="1" applyAlignment="1">
      <alignment horizontal="center" vertical="center"/>
    </xf>
    <xf numFmtId="0" fontId="11" fillId="11" borderId="30" xfId="0" applyFont="1" applyFill="1" applyBorder="1" applyAlignment="1">
      <alignment horizontal="center" vertical="center"/>
    </xf>
    <xf numFmtId="0" fontId="7" fillId="15" borderId="2" xfId="0" applyFont="1" applyFill="1" applyBorder="1" applyAlignment="1">
      <alignment horizontal="center" vertical="center"/>
    </xf>
    <xf numFmtId="0" fontId="7" fillId="15" borderId="0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149"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top style="thin">
          <color indexed="64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/>
        <top style="thin">
          <color theme="3"/>
        </top>
        <bottom style="thin">
          <color theme="3"/>
        </bottom>
      </border>
    </dxf>
    <dxf>
      <border outline="0">
        <top style="thin">
          <color indexed="64"/>
        </top>
        <bottom style="thin">
          <color theme="9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等线"/>
        <charset val="134"/>
        <scheme val="minor"/>
      </font>
      <fill>
        <patternFill patternType="solid">
          <fgColor indexed="64"/>
          <bgColor theme="0" tint="-4.9989318521683403E-2"/>
        </patternFill>
      </fill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2" tint="-0.249977111117893"/>
        </patternFill>
      </fill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numFmt numFmtId="0" formatCode="General"/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E9EDF7"/>
        </patternFill>
      </fill>
      <alignment horizontal="center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等线"/>
        <charset val="134"/>
        <scheme val="minor"/>
      </font>
      <fill>
        <patternFill patternType="solid">
          <fgColor indexed="64"/>
          <bgColor theme="4" tint="0.39997558519241921"/>
        </patternFill>
      </fill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EFFF"/>
      <color rgb="FFE9EDF7"/>
      <color rgb="FFFFC819"/>
      <color rgb="FFFFCE33"/>
      <color rgb="FFFFD347"/>
      <color rgb="FFF6BB00"/>
      <color rgb="FFFFCC29"/>
      <color rgb="FFFFE79B"/>
      <color rgb="FFDDDEFF"/>
      <color rgb="FFD9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168717</xdr:colOff>
      <xdr:row>3</xdr:row>
      <xdr:rowOff>78158</xdr:rowOff>
    </xdr:from>
    <xdr:to>
      <xdr:col>15</xdr:col>
      <xdr:colOff>180957</xdr:colOff>
      <xdr:row>3</xdr:row>
      <xdr:rowOff>86798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14:cNvPr>
            <xdr14:cNvContentPartPr/>
          </xdr14:nvContentPartPr>
          <xdr14:nvPr macro=""/>
          <xdr14:xfrm>
            <a:off x="11589424" y="431280"/>
            <a:ext cx="12240" cy="86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C7E9D9FD-04F0-49A9-AD91-0E7B56C6D135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80424" y="422280"/>
              <a:ext cx="29880" cy="26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1-18T14:37:46.03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33 0 1440,'0'0'4281,"-4"0"-4105,4 3 200,-3-3-376,-23 21-928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DAA480-CAC8-4D7C-9BA6-D70E301DB889}" name="Table5" displayName="Table5" ref="O3:Z83" totalsRowShown="0" headerRowDxfId="138" dataDxfId="136" headerRowBorderDxfId="137" tableBorderDxfId="135" totalsRowBorderDxfId="134">
  <autoFilter ref="O3:Z83" xr:uid="{7BDAA480-CAC8-4D7C-9BA6-D70E301DB889}"/>
  <tableColumns count="12">
    <tableColumn id="13" xr3:uid="{60E23AB5-FCD1-498D-A088-46BDF50F325E}" name="Index" dataDxfId="133"/>
    <tableColumn id="2" xr3:uid="{ADE3A5CA-B542-4AE7-84CB-648020283118}" name="Which Kid's" dataDxfId="132"/>
    <tableColumn id="3" xr3:uid="{A240EACE-A921-4BA5-A00C-32328E89AEFD}" name="Key/Side" dataDxfId="131"/>
    <tableColumn id="4" xr3:uid="{56B7981A-0F84-4443-9AAA-207B806FE6E8}" name="Prerequisites" dataDxfId="130"/>
    <tableColumn id="5" xr3:uid="{15E60F86-BA07-4F66-87C4-DC4D75EAEA89}" name="Location" dataDxfId="129"/>
    <tableColumn id="6" xr3:uid="{87522596-0B7B-4FEE-80B3-6B69EE4ECF31}" name="PC" dataDxfId="128"/>
    <tableColumn id="7" xr3:uid="{B43A3976-EE85-406C-9C29-B045085070AC}" name="NPC/Item" dataDxfId="127"/>
    <tableColumn id="9" xr3:uid="{EFF16D01-B790-4382-A5EE-AD89B88F5361}" name="Interaction" dataDxfId="126">
      <calculatedColumnFormula array="1">IF(#REF!&lt;&gt;"", $M$6, INDEX($M$4:$M$5,ROUND((RANDBETWEEN(1,2)),0),1))</calculatedColumnFormula>
    </tableColumn>
    <tableColumn id="10" xr3:uid="{22E57BCB-BA3B-40BA-A192-B21604579ED8}" name="Time Slots" dataDxfId="125"/>
    <tableColumn id="11" xr3:uid="{2F7E5DCF-D9B1-462D-9A48-526D69AF5EE2}" name="Time Spent" dataDxfId="124"/>
    <tableColumn id="14" xr3:uid="{6A2E984E-2F4F-4E4B-B398-C917BF8D172B}" name="Relative to Mystery?" dataDxfId="123"/>
    <tableColumn id="12" xr3:uid="{1B362E47-583D-4487-90C3-F2B95277408B}" name="Description" dataDxfId="12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DAB9E2-FA2A-4709-9ADF-41ABA2AB5748}" name="Table58" displayName="Table58" ref="O2:AA82" totalsRowShown="0">
  <autoFilter ref="O2:AA82" xr:uid="{7BDAA480-CAC8-4D7C-9BA6-D70E301DB889}">
    <filterColumn colId="4">
      <filters>
        <filter val="Storage"/>
      </filters>
    </filterColumn>
    <filterColumn colId="5">
      <filters>
        <filter val="PC3"/>
      </filters>
    </filterColumn>
  </autoFilter>
  <tableColumns count="13">
    <tableColumn id="13" xr3:uid="{970FA76D-688B-4088-9014-D2D22E195FB9}" name="Index"/>
    <tableColumn id="2" xr3:uid="{39C7507E-EAB5-4FA2-A1B6-C8C58A4A9E14}" name="Which Kid's"/>
    <tableColumn id="3" xr3:uid="{E49EE906-4748-4B80-B9D2-3EFCF1EAF541}" name="Key/Side"/>
    <tableColumn id="4" xr3:uid="{1B2D3BA8-68E8-4CDF-8F22-FB3BB1FE214E}" name="Prerequisites"/>
    <tableColumn id="5" xr3:uid="{87E1F756-45FB-4E49-B14F-EC552F61C053}" name="Location"/>
    <tableColumn id="6" xr3:uid="{9E62DA4C-D2D4-40E2-B7C1-4D016B4A73AC}" name="PC"/>
    <tableColumn id="7" xr3:uid="{587A0815-A308-48BF-AE19-4091A5D1FDF1}" name="NPC"/>
    <tableColumn id="8" xr3:uid="{886B1F44-167E-41EC-8CCD-FAE7BAB1D87F}" name="Item"/>
    <tableColumn id="9" xr3:uid="{EE8CAC58-F808-464A-8AA3-011B63D249AF}" name="Interaction" dataDxfId="121">
      <calculatedColumnFormula array="1">IF(Table58[[#This Row],[Item]]&lt;&gt;"", $M$5, INDEX($M$3:$M$4,ROUND((RANDBETWEEN(1,2)),0),1))</calculatedColumnFormula>
    </tableColumn>
    <tableColumn id="10" xr3:uid="{1A578006-1482-4B1E-9173-0123FC61EBE9}" name="Time Slots" dataDxfId="120"/>
    <tableColumn id="11" xr3:uid="{1654DFC5-A768-4081-ADFE-510C74A4F1C6}" name="Time Spent">
      <calculatedColumnFormula>VLOOKUP(Table58[[#This Row],[Location]],$G$3:$H$10,2,FALSE)+4</calculatedColumnFormula>
    </tableColumn>
    <tableColumn id="14" xr3:uid="{A53998E2-6019-49BB-8BBE-CF7744120CF6}" name="Relative to Mystery?"/>
    <tableColumn id="12" xr3:uid="{29EAE035-5376-46A4-92AF-B3B61E4C02E2}" name="Description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9CE2E7-E008-4370-8AE0-B2625F8B2B1B}" name="Table8" displayName="Table8" ref="A1:A5" totalsRowShown="0" headerRowDxfId="119" dataDxfId="117" headerRowBorderDxfId="118" tableBorderDxfId="116">
  <autoFilter ref="A1:A5" xr:uid="{DF9CE2E7-E008-4370-8AE0-B2625F8B2B1B}"/>
  <tableColumns count="1">
    <tableColumn id="1" xr3:uid="{03A021E0-E977-4C27-B56C-D2901843F6CB}" name="ClassroomPC1" dataDxfId="1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7AF1E9-5C32-413E-BBFF-8FDD74D4D042}" name="Table9" displayName="Table9" ref="B1:B7" totalsRowShown="0" headerRowDxfId="114" dataDxfId="112" headerRowBorderDxfId="113" tableBorderDxfId="111">
  <autoFilter ref="B1:B7" xr:uid="{5B7AF1E9-5C32-413E-BBFF-8FDD74D4D042}"/>
  <tableColumns count="1">
    <tableColumn id="1" xr3:uid="{E376C058-1EF3-450D-AD46-F3E9214217FE}" name="ClassroomPC2" dataDxfId="11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901849-35DB-4727-8F96-B957A099D0BF}" name="Table10" displayName="Table10" ref="C1:C7" totalsRowShown="0" headerRowDxfId="109" dataDxfId="107" headerRowBorderDxfId="108" tableBorderDxfId="106">
  <autoFilter ref="C1:C7" xr:uid="{51901849-35DB-4727-8F96-B957A099D0BF}"/>
  <tableColumns count="1">
    <tableColumn id="1" xr3:uid="{E1051453-0424-44FA-A772-615370E7A68A}" name="ClassroomPC3" dataDxfId="10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311E107-B013-4A38-927F-E7559CF19FF9}" name="Table11" displayName="Table11" ref="D1:D3" totalsRowShown="0" headerRowDxfId="104" dataDxfId="102" headerRowBorderDxfId="103" tableBorderDxfId="101">
  <autoFilter ref="D1:D3" xr:uid="{B311E107-B013-4A38-927F-E7559CF19FF9}"/>
  <tableColumns count="1">
    <tableColumn id="1" xr3:uid="{350D5E76-CFE9-40A5-84F9-4F59D6603647}" name="Hallway1PC1" dataDxfId="100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F88888B-9CAC-49C9-8932-1849F08A98BB}" name="Table14" displayName="Table14" ref="E1:E2" insertRow="1" totalsRowShown="0" headerRowDxfId="99" dataDxfId="97" headerRowBorderDxfId="98" tableBorderDxfId="96">
  <autoFilter ref="E1:E2" xr:uid="{DF88888B-9CAC-49C9-8932-1849F08A98BB}"/>
  <tableColumns count="1">
    <tableColumn id="1" xr3:uid="{711B38FE-F141-426A-896F-67E086D26BC8}" name="Hallway1PC2" dataDxfId="95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7EB6A6F-C8B2-4675-8CBD-E4301B9E2AC8}" name="Table15" displayName="Table15" ref="F1:F5" totalsRowShown="0" headerRowDxfId="94" dataDxfId="92" headerRowBorderDxfId="93" tableBorderDxfId="91">
  <autoFilter ref="F1:F5" xr:uid="{47EB6A6F-C8B2-4675-8CBD-E4301B9E2AC8}"/>
  <tableColumns count="1">
    <tableColumn id="1" xr3:uid="{C552FD6F-2EC7-4D42-8AFC-626F32F81542}" name="Hallway1PC3" dataDxfId="9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5D4274E-13D4-4D67-9525-1CE0C361F7E3}" name="Table16" displayName="Table16" ref="G1:G2" totalsRowShown="0" headerRowDxfId="89" dataDxfId="87" headerRowBorderDxfId="88" tableBorderDxfId="86">
  <autoFilter ref="G1:G2" xr:uid="{25D4274E-13D4-4D67-9525-1CE0C361F7E3}"/>
  <tableColumns count="1">
    <tableColumn id="1" xr3:uid="{B7BB568B-A92F-4F83-9323-9FD376591A41}" name="Hallway2PC1" dataDxfId="85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D65D290-BD0E-4B24-A7EF-F1DE3257CF24}" name="Table17" displayName="Table17" ref="H1:H5" totalsRowShown="0" headerRowDxfId="84" dataDxfId="82" headerRowBorderDxfId="83" tableBorderDxfId="81">
  <autoFilter ref="H1:H5" xr:uid="{6D65D290-BD0E-4B24-A7EF-F1DE3257CF24}"/>
  <tableColumns count="1">
    <tableColumn id="1" xr3:uid="{44E80DA3-83BE-4CD1-8E84-1A91E4E85A53}" name="Hallway2PC2" dataDxfId="8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431843-F190-475F-900D-64F4DE1C5E1D}" name="Table18" displayName="Table18" ref="I1:I3" totalsRowShown="0" headerRowDxfId="79" dataDxfId="77" headerRowBorderDxfId="78" tableBorderDxfId="76">
  <autoFilter ref="I1:I3" xr:uid="{75431843-F190-475F-900D-64F4DE1C5E1D}"/>
  <tableColumns count="1">
    <tableColumn id="1" xr3:uid="{B0407D9C-BE7C-4643-8C2D-5D135365ACD8}" name="Hallway2PC3" dataDxfId="75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A5F78E5-E8E3-4BF3-8691-ACACC40DDF9E}" name="Table19" displayName="Table19" ref="J1:J6" totalsRowShown="0" headerRowDxfId="74" dataDxfId="72" headerRowBorderDxfId="73" tableBorderDxfId="71">
  <autoFilter ref="J1:J6" xr:uid="{BA5F78E5-E8E3-4BF3-8691-ACACC40DDF9E}"/>
  <tableColumns count="1">
    <tableColumn id="1" xr3:uid="{758386B9-DE28-4D19-9449-BC564833F3DF}" name="RestroomPC1" dataDxfId="70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6176E2-ED87-4A20-9229-69DC9B9FF8C9}" name="Table20" displayName="Table20" ref="K1:K2" totalsRowShown="0" headerRowDxfId="69" dataDxfId="67" headerRowBorderDxfId="68" tableBorderDxfId="66">
  <autoFilter ref="K1:K2" xr:uid="{636176E2-ED87-4A20-9229-69DC9B9FF8C9}"/>
  <tableColumns count="1">
    <tableColumn id="1" xr3:uid="{A967183E-DF68-4A7A-A3C2-FA9B982EDADB}" name="RestroomPC2" dataDxfId="65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BDD6358-1F13-425D-ABC4-459A05650662}" name="Table21" displayName="Table21" ref="L1:L4" totalsRowShown="0" headerRowDxfId="64" dataDxfId="62" headerRowBorderDxfId="63" tableBorderDxfId="61">
  <autoFilter ref="L1:L4" xr:uid="{FBDD6358-1F13-425D-ABC4-459A05650662}"/>
  <tableColumns count="1">
    <tableColumn id="1" xr3:uid="{09857D93-54FE-4D44-A40A-3A98E69188BC}" name="RestroomPC3" dataDxfId="60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3DEB54D-4003-429E-80E3-F38B5DC013EF}" name="Table22" displayName="Table22" ref="M1:M3" totalsRowShown="0" headerRowDxfId="59" dataDxfId="57" headerRowBorderDxfId="58" tableBorderDxfId="56">
  <autoFilter ref="M1:M3" xr:uid="{D3DEB54D-4003-429E-80E3-F38B5DC013EF}"/>
  <tableColumns count="1">
    <tableColumn id="1" xr3:uid="{810A2138-DFD2-4204-964A-DE3FB8D91FB8}" name="PlaygroundPC1" dataDxfId="55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DDA6AE7-1053-4359-9BA0-EF2AB25DCF8A}" name="Table23" displayName="Table23" ref="N1:N6" totalsRowShown="0" headerRowDxfId="54" dataDxfId="52" headerRowBorderDxfId="53" tableBorderDxfId="51">
  <autoFilter ref="N1:N6" xr:uid="{DDDA6AE7-1053-4359-9BA0-EF2AB25DCF8A}"/>
  <tableColumns count="1">
    <tableColumn id="1" xr3:uid="{48A8444C-C349-4E63-AAD9-28CFEB930A5F}" name="PlaygroundPC2" dataDxfId="5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13BA6A9-E7B6-454C-BCC4-00BFEB8BA6DD}" name="Table24" displayName="Table24" ref="O1:O3" totalsRowShown="0" headerRowDxfId="49" dataDxfId="47" headerRowBorderDxfId="48" tableBorderDxfId="46">
  <autoFilter ref="O1:O3" xr:uid="{B13BA6A9-E7B6-454C-BCC4-00BFEB8BA6DD}"/>
  <tableColumns count="1">
    <tableColumn id="1" xr3:uid="{716C7003-2153-4EA2-8350-960077BA0824}" name="PlaygroundPC3" dataDxfId="45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026CAB7-1666-4D6D-ACC6-328B5E02675C}" name="Table25" displayName="Table25" ref="P1:P5" totalsRowShown="0" headerRowDxfId="44" dataDxfId="42" headerRowBorderDxfId="43" tableBorderDxfId="41">
  <autoFilter ref="P1:P5" xr:uid="{1026CAB7-1666-4D6D-ACC6-328B5E02675C}"/>
  <tableColumns count="1">
    <tableColumn id="1" xr3:uid="{C0743689-404B-4CFB-9549-078F932960E2}" name="NaproomPC1" dataDxfId="40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08B1CEC-7D0F-46E7-A833-BF86649A9370}" name="Table26" displayName="Table26" ref="Q1:Q4" totalsRowShown="0" headerRowDxfId="39" dataDxfId="37" headerRowBorderDxfId="38" tableBorderDxfId="36">
  <autoFilter ref="Q1:Q4" xr:uid="{E08B1CEC-7D0F-46E7-A833-BF86649A9370}"/>
  <tableColumns count="1">
    <tableColumn id="1" xr3:uid="{D72FCECE-9F21-4D16-8EA2-CB21E96DF17B}" name="NaproomPC2" dataDxfId="35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0C15B83-8383-496B-AB85-47CB2C635E74}" name="Table27" displayName="Table27" ref="R1:R5" totalsRowShown="0" headerRowDxfId="34" dataDxfId="32" headerRowBorderDxfId="33" tableBorderDxfId="31">
  <autoFilter ref="R1:R5" xr:uid="{B0C15B83-8383-496B-AB85-47CB2C635E74}"/>
  <tableColumns count="1">
    <tableColumn id="1" xr3:uid="{7805099E-ADB3-41AD-87B1-06AFE80B3C2B}" name="NaproomPC3" dataDxfId="30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8E374A8-32F1-42DD-BFCB-69C70FC41E2B}" name="Table28" displayName="Table28" ref="S1:S5" totalsRowShown="0" headerRowDxfId="29" dataDxfId="27" headerRowBorderDxfId="28" tableBorderDxfId="26">
  <autoFilter ref="S1:S5" xr:uid="{08E374A8-32F1-42DD-BFCB-69C70FC41E2B}"/>
  <tableColumns count="1">
    <tableColumn id="1" xr3:uid="{14469011-831F-4F8A-8C6A-AC309448D087}" name="OfficePC1" dataDxfId="25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5C5B34C-2C54-4108-AEDB-2A0E0578F5CE}" name="Table29" displayName="Table29" ref="T1:T5" totalsRowShown="0" headerRowDxfId="24" dataDxfId="22" headerRowBorderDxfId="23" tableBorderDxfId="21">
  <autoFilter ref="T1:T5" xr:uid="{05C5B34C-2C54-4108-AEDB-2A0E0578F5CE}"/>
  <tableColumns count="1">
    <tableColumn id="1" xr3:uid="{83B3134F-7D12-401A-BD5D-A80E16C6BEF3}" name="OfficePC2" dataDxfId="20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EEBBF04-288D-414C-8B91-51AEEEB75026}" name="Table30" displayName="Table30" ref="U1:U3" totalsRowShown="0" headerRowDxfId="19" dataDxfId="17" headerRowBorderDxfId="18" tableBorderDxfId="16">
  <autoFilter ref="U1:U3" xr:uid="{2EEBBF04-288D-414C-8B91-51AEEEB75026}"/>
  <tableColumns count="1">
    <tableColumn id="1" xr3:uid="{3DE4BBA7-A67A-4165-8EC9-34E7FBFFC585}" name="OfficePC3" dataDxfId="15"/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3AC7B7B-80E2-4D54-9E2B-D9499EA76171}" name="Table31" displayName="Table31" ref="V1:V6" totalsRowShown="0" headerRowDxfId="14" dataDxfId="12" headerRowBorderDxfId="13" tableBorderDxfId="11">
  <autoFilter ref="V1:V6" xr:uid="{13AC7B7B-80E2-4D54-9E2B-D9499EA76171}"/>
  <tableColumns count="1">
    <tableColumn id="1" xr3:uid="{71ABCA0B-949E-4A6B-A290-891DF1E70FB6}" name="StoragePC1" dataDxfId="10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7B82760-3E5F-4277-B337-8D00A0184572}" name="Table32" displayName="Table32" ref="W1:W5" totalsRowShown="0" headerRowDxfId="9" dataDxfId="7" headerRowBorderDxfId="8" tableBorderDxfId="6">
  <autoFilter ref="W1:W5" xr:uid="{B7B82760-3E5F-4277-B337-8D00A0184572}"/>
  <tableColumns count="1">
    <tableColumn id="1" xr3:uid="{5EACBD9C-A73B-4BAA-ADBB-D1934D00B675}" name="StoragePC2" dataDxfId="5"/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E9244D3-863C-4E1E-BBF8-0E4C8A2E54FD}" name="Table33" displayName="Table33" ref="X1:X4" totalsRowShown="0" headerRowDxfId="4" dataDxfId="2" headerRowBorderDxfId="3" tableBorderDxfId="1">
  <autoFilter ref="X1:X4" xr:uid="{2E9244D3-863C-4E1E-BBF8-0E4C8A2E54FD}"/>
  <tableColumns count="1">
    <tableColumn id="1" xr3:uid="{45D6337C-77DA-427B-987B-77CC6ABE959B}" name="StoragePC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13" Type="http://schemas.openxmlformats.org/officeDocument/2006/relationships/table" Target="../tables/table15.xml"/><Relationship Id="rId18" Type="http://schemas.openxmlformats.org/officeDocument/2006/relationships/table" Target="../tables/table20.xml"/><Relationship Id="rId3" Type="http://schemas.openxmlformats.org/officeDocument/2006/relationships/table" Target="../tables/table5.xml"/><Relationship Id="rId21" Type="http://schemas.openxmlformats.org/officeDocument/2006/relationships/table" Target="../tables/table23.xml"/><Relationship Id="rId7" Type="http://schemas.openxmlformats.org/officeDocument/2006/relationships/table" Target="../tables/table9.xml"/><Relationship Id="rId12" Type="http://schemas.openxmlformats.org/officeDocument/2006/relationships/table" Target="../tables/table14.xml"/><Relationship Id="rId17" Type="http://schemas.openxmlformats.org/officeDocument/2006/relationships/table" Target="../tables/table19.xml"/><Relationship Id="rId2" Type="http://schemas.openxmlformats.org/officeDocument/2006/relationships/table" Target="../tables/table4.xml"/><Relationship Id="rId16" Type="http://schemas.openxmlformats.org/officeDocument/2006/relationships/table" Target="../tables/table18.xml"/><Relationship Id="rId20" Type="http://schemas.openxmlformats.org/officeDocument/2006/relationships/table" Target="../tables/table22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11" Type="http://schemas.openxmlformats.org/officeDocument/2006/relationships/table" Target="../tables/table13.xml"/><Relationship Id="rId24" Type="http://schemas.openxmlformats.org/officeDocument/2006/relationships/table" Target="../tables/table26.xml"/><Relationship Id="rId5" Type="http://schemas.openxmlformats.org/officeDocument/2006/relationships/table" Target="../tables/table7.xml"/><Relationship Id="rId15" Type="http://schemas.openxmlformats.org/officeDocument/2006/relationships/table" Target="../tables/table17.xml"/><Relationship Id="rId23" Type="http://schemas.openxmlformats.org/officeDocument/2006/relationships/table" Target="../tables/table25.xml"/><Relationship Id="rId10" Type="http://schemas.openxmlformats.org/officeDocument/2006/relationships/table" Target="../tables/table12.xml"/><Relationship Id="rId19" Type="http://schemas.openxmlformats.org/officeDocument/2006/relationships/table" Target="../tables/table21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Relationship Id="rId14" Type="http://schemas.openxmlformats.org/officeDocument/2006/relationships/table" Target="../tables/table16.xml"/><Relationship Id="rId22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5393-BDCF-4D93-ADA5-736F6205C477}">
  <dimension ref="A1:AB40"/>
  <sheetViews>
    <sheetView tabSelected="1" zoomScale="90" zoomScaleNormal="68" workbookViewId="0">
      <selection activeCell="H10" sqref="H10"/>
    </sheetView>
  </sheetViews>
  <sheetFormatPr baseColWidth="10" defaultColWidth="8.83203125" defaultRowHeight="15" x14ac:dyDescent="0.2"/>
  <cols>
    <col min="1" max="1" width="7.5" style="5" customWidth="1"/>
    <col min="2" max="2" width="8.83203125" style="5"/>
    <col min="3" max="3" width="16.5" style="5" bestFit="1" customWidth="1"/>
    <col min="4" max="4" width="10.33203125" style="5" bestFit="1" customWidth="1"/>
    <col min="5" max="5" width="8.83203125" style="5"/>
    <col min="6" max="6" width="10.33203125" style="5" bestFit="1" customWidth="1"/>
    <col min="7" max="7" width="8.83203125" style="5"/>
    <col min="8" max="8" width="16.83203125" style="5" customWidth="1"/>
    <col min="9" max="9" width="12.83203125" style="5" bestFit="1" customWidth="1"/>
    <col min="10" max="10" width="35.33203125" style="5" customWidth="1"/>
    <col min="11" max="11" width="5.83203125" style="5" customWidth="1"/>
    <col min="12" max="13" width="8.83203125" style="5"/>
    <col min="14" max="14" width="12.33203125" style="5" bestFit="1" customWidth="1"/>
    <col min="15" max="15" width="9.6640625" style="5" bestFit="1" customWidth="1"/>
    <col min="16" max="16" width="19" style="5" bestFit="1" customWidth="1"/>
    <col min="17" max="17" width="10.33203125" style="5" bestFit="1" customWidth="1"/>
    <col min="18" max="18" width="8.83203125" style="5"/>
    <col min="19" max="19" width="10.5" style="5" bestFit="1" customWidth="1"/>
    <col min="20" max="20" width="12.1640625" style="5" bestFit="1" customWidth="1"/>
    <col min="21" max="21" width="11.33203125" style="5" bestFit="1" customWidth="1"/>
    <col min="22" max="22" width="12.33203125" style="5" bestFit="1" customWidth="1"/>
    <col min="23" max="23" width="21.33203125" style="5" bestFit="1" customWidth="1"/>
    <col min="24" max="24" width="12.5" style="5" bestFit="1" customWidth="1"/>
    <col min="25" max="25" width="4.1640625" style="5" customWidth="1"/>
    <col min="26" max="26" width="21" style="5" bestFit="1" customWidth="1"/>
  </cols>
  <sheetData>
    <row r="1" spans="1:28" s="5" customFormat="1" ht="16" thickBot="1" x14ac:dyDescent="0.25"/>
    <row r="2" spans="1:28" s="5" customFormat="1" ht="20.5" customHeight="1" x14ac:dyDescent="0.2">
      <c r="A2" s="6"/>
      <c r="B2" s="73" t="s">
        <v>176</v>
      </c>
      <c r="C2" s="74"/>
      <c r="D2" s="74"/>
      <c r="E2" s="74"/>
      <c r="F2" s="74"/>
      <c r="G2" s="74"/>
      <c r="H2" s="74"/>
      <c r="I2" s="74"/>
      <c r="J2" s="75"/>
      <c r="L2" s="6"/>
      <c r="M2" s="6"/>
      <c r="N2" s="6"/>
      <c r="O2" s="6"/>
      <c r="P2" s="6"/>
      <c r="Q2" s="6"/>
      <c r="R2" s="6"/>
    </row>
    <row r="3" spans="1:28" s="5" customFormat="1" ht="16" thickBot="1" x14ac:dyDescent="0.25">
      <c r="A3" s="6"/>
      <c r="B3" s="76"/>
      <c r="C3" s="77"/>
      <c r="D3" s="77"/>
      <c r="E3" s="77"/>
      <c r="F3" s="77"/>
      <c r="G3" s="77"/>
      <c r="H3" s="77"/>
      <c r="I3" s="77"/>
      <c r="J3" s="78"/>
      <c r="L3" s="6"/>
      <c r="M3" s="6"/>
      <c r="N3" s="6"/>
      <c r="O3" s="6"/>
      <c r="P3" s="6"/>
      <c r="Q3" s="6"/>
      <c r="R3" s="6"/>
    </row>
    <row r="4" spans="1:28" s="5" customFormat="1" ht="171" customHeight="1" thickBot="1" x14ac:dyDescent="0.25">
      <c r="A4" s="6"/>
      <c r="B4" s="67" t="s">
        <v>172</v>
      </c>
      <c r="C4" s="68"/>
      <c r="D4" s="68"/>
      <c r="E4" s="68"/>
      <c r="F4" s="68"/>
      <c r="G4" s="68"/>
      <c r="H4" s="68"/>
      <c r="I4" s="68"/>
      <c r="J4" s="69"/>
      <c r="L4" s="6"/>
      <c r="M4" s="6"/>
      <c r="N4" s="6"/>
      <c r="O4" s="6"/>
      <c r="P4" s="6"/>
      <c r="Q4" s="6"/>
      <c r="R4" s="6"/>
    </row>
    <row r="5" spans="1:28" s="5" customFormat="1" ht="16" thickBot="1" x14ac:dyDescent="0.25">
      <c r="B5" s="51"/>
      <c r="C5" s="51"/>
      <c r="D5" s="51"/>
      <c r="E5" s="51"/>
      <c r="F5" s="51"/>
      <c r="G5" s="51"/>
      <c r="H5" s="51"/>
      <c r="I5" s="51"/>
      <c r="J5" s="51"/>
    </row>
    <row r="6" spans="1:28" ht="20" thickBot="1" x14ac:dyDescent="0.25">
      <c r="B6" s="70" t="s">
        <v>137</v>
      </c>
      <c r="C6" s="71"/>
      <c r="D6" s="71"/>
      <c r="E6" s="71"/>
      <c r="F6" s="71"/>
      <c r="G6" s="71"/>
      <c r="H6" s="71"/>
      <c r="I6" s="71"/>
      <c r="J6" s="72"/>
      <c r="L6" s="64" t="s">
        <v>163</v>
      </c>
      <c r="M6" s="21" t="s">
        <v>119</v>
      </c>
      <c r="N6" s="22" t="s">
        <v>8</v>
      </c>
      <c r="O6" s="22" t="s">
        <v>7</v>
      </c>
      <c r="P6" s="22" t="s">
        <v>6</v>
      </c>
      <c r="Q6" s="22" t="s">
        <v>4</v>
      </c>
      <c r="R6" s="22" t="s">
        <v>1</v>
      </c>
      <c r="S6" s="22" t="s">
        <v>138</v>
      </c>
      <c r="T6" s="22" t="s">
        <v>5</v>
      </c>
      <c r="U6" s="22" t="s">
        <v>0</v>
      </c>
      <c r="V6" s="22" t="s">
        <v>127</v>
      </c>
      <c r="W6" s="22" t="s">
        <v>130</v>
      </c>
      <c r="X6" s="23" t="s">
        <v>108</v>
      </c>
      <c r="Z6" s="48" t="s">
        <v>168</v>
      </c>
    </row>
    <row r="7" spans="1:28" ht="16" thickBot="1" x14ac:dyDescent="0.25">
      <c r="B7" s="44" t="s">
        <v>119</v>
      </c>
      <c r="C7" s="40" t="s">
        <v>136</v>
      </c>
      <c r="D7" s="37" t="s">
        <v>167</v>
      </c>
      <c r="E7" s="37" t="s">
        <v>132</v>
      </c>
      <c r="F7" s="38" t="s">
        <v>4</v>
      </c>
      <c r="G7" s="38" t="s">
        <v>1</v>
      </c>
      <c r="H7" s="38" t="s">
        <v>138</v>
      </c>
      <c r="I7" s="38" t="s">
        <v>5</v>
      </c>
      <c r="J7" s="39" t="s">
        <v>108</v>
      </c>
      <c r="L7" s="65"/>
      <c r="M7" s="18" t="str" cm="1">
        <f t="array" ref="M7">_xlfn._xlws.FILTER(Table5[],(Table5[Location]='Game-Prototype'!F8)*(Table5[PC]='Game-Prototype'!G8)*(ISNUMBER(SEARCH(1,Table5[Time Slots]))),"")</f>
        <v/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Z7" s="49" t="str" cm="1">
        <f t="array" ref="Z7">_xlfn._xlws.FILTER($T$7:$T$12,$S$7:$S$12=$H$8,"")</f>
        <v/>
      </c>
      <c r="AB7">
        <f>COUNTA(_xlfn.ANCHORARRAY(#REF!))</f>
        <v>1</v>
      </c>
    </row>
    <row r="8" spans="1:28" x14ac:dyDescent="0.2">
      <c r="B8" s="45">
        <v>1</v>
      </c>
      <c r="C8" s="41">
        <v>60</v>
      </c>
      <c r="D8" s="34" t="str">
        <f>IF(C8&gt;50,"1",IF(C8&gt;40,"2",IF(C8&gt;30,"3",IF(C8&gt;20,"4",IF(C8&gt;10,"5",IF(C8&gt;0,"6",""))))))</f>
        <v>1</v>
      </c>
      <c r="E8" s="34" t="e">
        <f>INDEX(M7:S12,MATCH(H8,S7:S12,0),2)</f>
        <v>#N/A</v>
      </c>
      <c r="F8" s="35" t="s">
        <v>189</v>
      </c>
      <c r="G8" s="35" t="s">
        <v>179</v>
      </c>
      <c r="H8" s="35" t="s">
        <v>194</v>
      </c>
      <c r="I8" s="35" t="s">
        <v>117</v>
      </c>
      <c r="J8" s="36" t="e">
        <f>VLOOKUP(H8,S7:X12,6,FALSE)</f>
        <v>#N/A</v>
      </c>
      <c r="L8" s="65"/>
      <c r="M8" s="16"/>
      <c r="N8" s="11"/>
      <c r="O8" s="11"/>
      <c r="P8" s="11"/>
      <c r="Q8" s="11"/>
      <c r="R8" s="11"/>
      <c r="S8" s="11"/>
      <c r="T8" s="11"/>
      <c r="U8" s="11"/>
      <c r="V8" s="11"/>
      <c r="W8" s="11"/>
      <c r="X8" s="13"/>
      <c r="Z8" s="49"/>
    </row>
    <row r="9" spans="1:28" x14ac:dyDescent="0.2">
      <c r="B9" s="46">
        <v>2</v>
      </c>
      <c r="C9" s="42" t="e">
        <f>$C$8-VLOOKUP($E$8,$N$7:$X$12,9,FALSE)</f>
        <v>#N/A</v>
      </c>
      <c r="D9" s="27" t="e">
        <f>IF(C9&gt;50,"1",IF(C9&gt;40,"2",IF(C9&gt;30,"3",IF(C9&gt;20,"4",IF(C9&gt;10,"5",IF(C9&gt;0,"6",""))))))</f>
        <v>#N/A</v>
      </c>
      <c r="E9" s="27" t="str">
        <f>INDEX($M$14:$S$19,MATCH($H$9,$S$14:$S$19,0),2)</f>
        <v>Cole-8</v>
      </c>
      <c r="F9" s="28" t="s">
        <v>49</v>
      </c>
      <c r="G9" s="28" t="s">
        <v>180</v>
      </c>
      <c r="H9" s="28" t="s">
        <v>92</v>
      </c>
      <c r="I9" s="28" t="s">
        <v>115</v>
      </c>
      <c r="J9" s="30" t="str">
        <f>VLOOKUP(H9,S14:X19,6,FALSE)</f>
        <v>TBD</v>
      </c>
      <c r="L9" s="65"/>
      <c r="M9" s="16"/>
      <c r="N9" s="11"/>
      <c r="O9" s="11"/>
      <c r="P9" s="11"/>
      <c r="Q9" s="11"/>
      <c r="R9" s="11"/>
      <c r="S9" s="11"/>
      <c r="T9" s="11"/>
      <c r="U9" s="11"/>
      <c r="V9" s="11"/>
      <c r="W9" s="11"/>
      <c r="X9" s="13"/>
      <c r="Z9" s="49"/>
    </row>
    <row r="10" spans="1:28" x14ac:dyDescent="0.2">
      <c r="B10" s="46">
        <v>3</v>
      </c>
      <c r="C10" s="42" t="e">
        <f>$C$9-VLOOKUP($E$9,$N$14:$X$19,9,FALSE)</f>
        <v>#N/A</v>
      </c>
      <c r="D10" s="27" t="e">
        <f>IF(C10&gt;50,"1",IF(C10&gt;40,"2",IF(C10&gt;30,"3",IF(C10&gt;20,"4",IF(C10&gt;10,"5",IF(C10&gt;0,"6",""))))))</f>
        <v>#N/A</v>
      </c>
      <c r="E10" s="27" t="e">
        <f>INDEX($M$21:$S$26,MATCH($H$10,$S$21:$S$26,0),2)</f>
        <v>#N/A</v>
      </c>
      <c r="F10" s="28" t="s">
        <v>189</v>
      </c>
      <c r="G10" s="28" t="s">
        <v>180</v>
      </c>
      <c r="H10" s="28" t="s">
        <v>60</v>
      </c>
      <c r="I10" s="28" t="s">
        <v>115</v>
      </c>
      <c r="J10" s="30" t="e">
        <f>VLOOKUP(H10,S21:X26,6,FALSE)</f>
        <v>#N/A</v>
      </c>
      <c r="L10" s="65"/>
      <c r="M10" s="16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3"/>
      <c r="Z10" s="49"/>
    </row>
    <row r="11" spans="1:28" x14ac:dyDescent="0.2">
      <c r="B11" s="46">
        <v>4</v>
      </c>
      <c r="C11" s="42" t="e">
        <f>$C$10-VLOOKUP($E$10,$N$21:$X$26,9,FALSE)</f>
        <v>#N/A</v>
      </c>
      <c r="D11" s="27" t="e">
        <f>IF(C11&gt;50,"1",IF(C11&gt;40,"2",IF(C11&gt;30,"3",IF(C11&gt;20,"4",IF(C11&gt;10,"5",IF(C11&gt;0,"6",""))))))</f>
        <v>#N/A</v>
      </c>
      <c r="E11" s="27" t="e">
        <f>INDEX($M$28:$S$33,MATCH($H$11,$S$28:$S$33,0),2)</f>
        <v>#N/A</v>
      </c>
      <c r="F11" s="28" t="s">
        <v>42</v>
      </c>
      <c r="G11" s="28" t="s">
        <v>181</v>
      </c>
      <c r="H11" s="28" t="s">
        <v>64</v>
      </c>
      <c r="I11" s="28" t="s">
        <v>115</v>
      </c>
      <c r="J11" s="30" t="e">
        <f>VLOOKUP(H11,S28:X33,6,FALSE)</f>
        <v>#N/A</v>
      </c>
      <c r="L11" s="65"/>
      <c r="M11" s="1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3"/>
      <c r="Z11" s="49"/>
    </row>
    <row r="12" spans="1:28" ht="16" thickBot="1" x14ac:dyDescent="0.25">
      <c r="B12" s="46">
        <v>5</v>
      </c>
      <c r="C12" s="42" t="e">
        <f>$C$11-VLOOKUP($E$11,$N$28:$X$33,9,FALSE)</f>
        <v>#N/A</v>
      </c>
      <c r="D12" s="27" t="e">
        <f>IF(C12&gt;50,"1",IF(C12&gt;40,"2",IF(C12&gt;30,"3",IF(C12&gt;20,"4",IF(C12&gt;10,"5",IF(C12&gt;0,"6",""))))))</f>
        <v>#N/A</v>
      </c>
      <c r="E12" s="27" t="e">
        <f>INDEX($M$35:$S$40,MATCH($H$12,$S$35:$S$40,0),2)</f>
        <v>#N/A</v>
      </c>
      <c r="F12" s="28" t="s">
        <v>44</v>
      </c>
      <c r="G12" s="28" t="s">
        <v>179</v>
      </c>
      <c r="H12" s="28" t="s">
        <v>65</v>
      </c>
      <c r="I12" s="28" t="s">
        <v>115</v>
      </c>
      <c r="J12" s="30" t="e">
        <f>VLOOKUP(H12,S35:X40,6,FALSE)</f>
        <v>#N/A</v>
      </c>
      <c r="L12" s="66"/>
      <c r="M12" s="17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Z12" s="50"/>
    </row>
    <row r="13" spans="1:28" ht="16" thickBot="1" x14ac:dyDescent="0.25">
      <c r="B13" s="46">
        <v>6</v>
      </c>
      <c r="C13" s="42"/>
      <c r="D13" s="27"/>
      <c r="E13" s="27"/>
      <c r="F13" s="29" t="s">
        <v>171</v>
      </c>
      <c r="G13" s="29"/>
      <c r="H13" s="29"/>
      <c r="I13" s="29"/>
      <c r="J13" s="30"/>
      <c r="L13" s="64" t="s">
        <v>164</v>
      </c>
      <c r="M13" s="21" t="s">
        <v>119</v>
      </c>
      <c r="N13" s="22" t="s">
        <v>8</v>
      </c>
      <c r="O13" s="22" t="s">
        <v>7</v>
      </c>
      <c r="P13" s="22" t="s">
        <v>6</v>
      </c>
      <c r="Q13" s="22" t="s">
        <v>4</v>
      </c>
      <c r="R13" s="22" t="s">
        <v>1</v>
      </c>
      <c r="S13" s="22" t="s">
        <v>138</v>
      </c>
      <c r="T13" s="22" t="s">
        <v>5</v>
      </c>
      <c r="U13" s="22" t="s">
        <v>0</v>
      </c>
      <c r="V13" s="22" t="s">
        <v>127</v>
      </c>
      <c r="W13" s="22" t="s">
        <v>130</v>
      </c>
      <c r="X13" s="23" t="s">
        <v>108</v>
      </c>
      <c r="Z13" s="48" t="s">
        <v>168</v>
      </c>
    </row>
    <row r="14" spans="1:28" x14ac:dyDescent="0.2">
      <c r="B14" s="46">
        <v>7</v>
      </c>
      <c r="C14" s="42"/>
      <c r="D14" s="27"/>
      <c r="E14" s="27"/>
      <c r="F14" s="28"/>
      <c r="G14" s="28"/>
      <c r="H14" s="28"/>
      <c r="I14" s="28"/>
      <c r="J14" s="30"/>
      <c r="L14" s="65"/>
      <c r="M14" s="18" cm="1">
        <f t="array" ref="M14:X16">_xlfn._xlws.FILTER(Table5[],(Table5[Location]='Game-Prototype'!F9)*(Table5[PC]='Game-Prototype'!G9)*(ISNUMBER(SEARCH(1,Table5[Time Slots]))),"")</f>
        <v>32</v>
      </c>
      <c r="N14" s="19" t="str">
        <v>Plum-2</v>
      </c>
      <c r="O14" s="19" t="str">
        <v>Key</v>
      </c>
      <c r="P14" s="19">
        <v>0</v>
      </c>
      <c r="Q14" s="19" t="str">
        <v>Storage</v>
      </c>
      <c r="R14" s="19" t="str">
        <v>Plum</v>
      </c>
      <c r="S14" s="19" t="str">
        <v>P9</v>
      </c>
      <c r="T14" s="19" t="str">
        <v>Query</v>
      </c>
      <c r="U14" s="19" t="str">
        <v>1,2,3,4</v>
      </c>
      <c r="V14" s="19">
        <v>7</v>
      </c>
      <c r="W14" s="19">
        <v>0</v>
      </c>
      <c r="X14" s="20" t="str">
        <v>TBD</v>
      </c>
      <c r="Z14" s="49" t="str" cm="1">
        <f t="array" ref="Z14">_xlfn.UNIQUE(_xlfn._xlws.FILTER($T$14:$T$19,$S$14:$S$19=$H$9,""))</f>
        <v>Observation</v>
      </c>
    </row>
    <row r="15" spans="1:28" x14ac:dyDescent="0.2">
      <c r="B15" s="46">
        <v>8</v>
      </c>
      <c r="C15" s="42"/>
      <c r="D15" s="27"/>
      <c r="E15" s="27"/>
      <c r="F15" s="28"/>
      <c r="G15" s="28"/>
      <c r="H15" s="28"/>
      <c r="I15" s="28"/>
      <c r="J15" s="30"/>
      <c r="L15" s="65"/>
      <c r="M15" s="16">
        <v>63</v>
      </c>
      <c r="N15" s="11" t="str">
        <v>Cole-3</v>
      </c>
      <c r="O15" s="11" t="str">
        <v>Key</v>
      </c>
      <c r="P15" s="11" t="str">
        <v>Cole-2</v>
      </c>
      <c r="Q15" s="11" t="str">
        <v>Storage</v>
      </c>
      <c r="R15" s="11" t="str">
        <v>Plum</v>
      </c>
      <c r="S15" s="11" t="str">
        <v>F2</v>
      </c>
      <c r="T15" s="11" t="str">
        <v>Query</v>
      </c>
      <c r="U15" s="11" t="str">
        <v>1,2,3</v>
      </c>
      <c r="V15" s="11">
        <v>7</v>
      </c>
      <c r="W15" s="11" t="str">
        <v>Y</v>
      </c>
      <c r="X15" s="13" t="str">
        <v>TBD</v>
      </c>
      <c r="Z15" s="49"/>
    </row>
    <row r="16" spans="1:28" x14ac:dyDescent="0.2">
      <c r="B16" s="46">
        <v>9</v>
      </c>
      <c r="C16" s="42"/>
      <c r="D16" s="27"/>
      <c r="E16" s="27"/>
      <c r="F16" s="28"/>
      <c r="G16" s="28"/>
      <c r="H16" s="28"/>
      <c r="I16" s="28"/>
      <c r="J16" s="30"/>
      <c r="L16" s="65"/>
      <c r="M16" s="16">
        <v>68</v>
      </c>
      <c r="N16" s="11" t="str">
        <v>Cole-8</v>
      </c>
      <c r="O16" s="11" t="str">
        <v>Side</v>
      </c>
      <c r="P16" s="11">
        <v>0</v>
      </c>
      <c r="Q16" s="11" t="str">
        <v>Storage</v>
      </c>
      <c r="R16" s="11" t="str">
        <v>Plum</v>
      </c>
      <c r="S16" s="11" t="str">
        <v>Item34</v>
      </c>
      <c r="T16" s="11" t="str">
        <v>Observation</v>
      </c>
      <c r="U16" s="11" t="str">
        <v>1,2,3,4,5,6</v>
      </c>
      <c r="V16" s="11">
        <v>7</v>
      </c>
      <c r="W16" s="11" t="str">
        <v>Y</v>
      </c>
      <c r="X16" s="13" t="str">
        <v>TBD</v>
      </c>
      <c r="Z16" s="49"/>
    </row>
    <row r="17" spans="2:26" x14ac:dyDescent="0.2">
      <c r="B17" s="46">
        <v>10</v>
      </c>
      <c r="C17" s="42"/>
      <c r="D17" s="27"/>
      <c r="E17" s="27"/>
      <c r="F17" s="28"/>
      <c r="G17" s="28"/>
      <c r="H17" s="28"/>
      <c r="I17" s="28"/>
      <c r="J17" s="30"/>
      <c r="L17" s="65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3"/>
      <c r="Z17" s="49"/>
    </row>
    <row r="18" spans="2:26" x14ac:dyDescent="0.2">
      <c r="B18" s="46">
        <v>11</v>
      </c>
      <c r="C18" s="42"/>
      <c r="D18" s="27"/>
      <c r="E18" s="27"/>
      <c r="F18" s="28"/>
      <c r="G18" s="28"/>
      <c r="H18" s="28"/>
      <c r="I18" s="28"/>
      <c r="J18" s="30"/>
      <c r="L18" s="65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3"/>
      <c r="Z18" s="49"/>
    </row>
    <row r="19" spans="2:26" ht="16" thickBot="1" x14ac:dyDescent="0.25">
      <c r="B19" s="46">
        <v>12</v>
      </c>
      <c r="C19" s="42"/>
      <c r="D19" s="27"/>
      <c r="E19" s="27"/>
      <c r="F19" s="28"/>
      <c r="G19" s="28"/>
      <c r="H19" s="28"/>
      <c r="I19" s="28"/>
      <c r="J19" s="30"/>
      <c r="L19" s="66"/>
      <c r="M19" s="17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  <c r="Z19" s="50"/>
    </row>
    <row r="20" spans="2:26" ht="16" thickBot="1" x14ac:dyDescent="0.25">
      <c r="B20" s="46">
        <v>13</v>
      </c>
      <c r="C20" s="42"/>
      <c r="D20" s="27"/>
      <c r="E20" s="27"/>
      <c r="F20" s="28"/>
      <c r="G20" s="28"/>
      <c r="H20" s="28"/>
      <c r="I20" s="28"/>
      <c r="J20" s="30"/>
      <c r="L20" s="64" t="s">
        <v>165</v>
      </c>
      <c r="M20" s="21" t="s">
        <v>119</v>
      </c>
      <c r="N20" s="22" t="s">
        <v>8</v>
      </c>
      <c r="O20" s="22" t="s">
        <v>7</v>
      </c>
      <c r="P20" s="22" t="s">
        <v>6</v>
      </c>
      <c r="Q20" s="22" t="s">
        <v>4</v>
      </c>
      <c r="R20" s="22" t="s">
        <v>1</v>
      </c>
      <c r="S20" s="22" t="s">
        <v>138</v>
      </c>
      <c r="T20" s="22" t="s">
        <v>5</v>
      </c>
      <c r="U20" s="22" t="s">
        <v>0</v>
      </c>
      <c r="V20" s="22" t="s">
        <v>127</v>
      </c>
      <c r="W20" s="22" t="s">
        <v>130</v>
      </c>
      <c r="X20" s="23" t="s">
        <v>108</v>
      </c>
      <c r="Z20" s="48" t="s">
        <v>168</v>
      </c>
    </row>
    <row r="21" spans="2:26" x14ac:dyDescent="0.2">
      <c r="B21" s="46">
        <v>14</v>
      </c>
      <c r="C21" s="42"/>
      <c r="D21" s="27"/>
      <c r="E21" s="27"/>
      <c r="F21" s="28"/>
      <c r="G21" s="28"/>
      <c r="H21" s="28"/>
      <c r="I21" s="28"/>
      <c r="J21" s="30"/>
      <c r="L21" s="65"/>
      <c r="M21" s="18" t="str" cm="1">
        <f t="array" ref="M21">_xlfn._xlws.FILTER(Table5[],(Table5[Location]='Game-Prototype'!F10)*(Table5[PC]='Game-Prototype'!G10)*(ISNUMBER(SEARCH(1,Table5[Time Slots]))),"")</f>
        <v/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Z21" s="49" t="str" cm="1">
        <f t="array" ref="Z21">_xlfn.UNIQUE(_xlfn._xlws.FILTER($T$21:$T$26,$S$21:$S$26=$H$10,""))</f>
        <v/>
      </c>
    </row>
    <row r="22" spans="2:26" x14ac:dyDescent="0.2">
      <c r="B22" s="46">
        <v>15</v>
      </c>
      <c r="C22" s="42"/>
      <c r="D22" s="27"/>
      <c r="E22" s="27"/>
      <c r="F22" s="28"/>
      <c r="G22" s="28"/>
      <c r="H22" s="28"/>
      <c r="I22" s="28"/>
      <c r="J22" s="30"/>
      <c r="L22" s="65"/>
      <c r="M22" s="16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3"/>
      <c r="Z22" s="49"/>
    </row>
    <row r="23" spans="2:26" ht="16" thickBot="1" x14ac:dyDescent="0.25">
      <c r="B23" s="47">
        <v>16</v>
      </c>
      <c r="C23" s="43"/>
      <c r="D23" s="31"/>
      <c r="E23" s="31"/>
      <c r="F23" s="32"/>
      <c r="G23" s="32"/>
      <c r="H23" s="32"/>
      <c r="I23" s="32"/>
      <c r="J23" s="33"/>
      <c r="L23" s="65"/>
      <c r="M23" s="16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3"/>
      <c r="Z23" s="49"/>
    </row>
    <row r="24" spans="2:26" x14ac:dyDescent="0.2">
      <c r="L24" s="65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3"/>
      <c r="Z24" s="49"/>
    </row>
    <row r="25" spans="2:26" x14ac:dyDescent="0.2">
      <c r="L25" s="65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3"/>
      <c r="Z25" s="49"/>
    </row>
    <row r="26" spans="2:26" ht="16" thickBot="1" x14ac:dyDescent="0.25">
      <c r="L26" s="66"/>
      <c r="M26" s="17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  <c r="Z26" s="50"/>
    </row>
    <row r="27" spans="2:26" ht="16" thickBot="1" x14ac:dyDescent="0.25">
      <c r="L27" s="64" t="s">
        <v>166</v>
      </c>
      <c r="M27" s="21" t="s">
        <v>119</v>
      </c>
      <c r="N27" s="22" t="s">
        <v>8</v>
      </c>
      <c r="O27" s="22" t="s">
        <v>7</v>
      </c>
      <c r="P27" s="22" t="s">
        <v>6</v>
      </c>
      <c r="Q27" s="22" t="s">
        <v>4</v>
      </c>
      <c r="R27" s="22" t="s">
        <v>1</v>
      </c>
      <c r="S27" s="22" t="s">
        <v>138</v>
      </c>
      <c r="T27" s="22" t="s">
        <v>5</v>
      </c>
      <c r="U27" s="22" t="s">
        <v>0</v>
      </c>
      <c r="V27" s="22" t="s">
        <v>127</v>
      </c>
      <c r="W27" s="22" t="s">
        <v>130</v>
      </c>
      <c r="X27" s="23" t="s">
        <v>108</v>
      </c>
      <c r="Z27" s="48" t="s">
        <v>168</v>
      </c>
    </row>
    <row r="28" spans="2:26" x14ac:dyDescent="0.2">
      <c r="L28" s="65"/>
      <c r="M28" s="18" t="str" cm="1">
        <f t="array" ref="M28">_xlfn._xlws.FILTER(Table5[],(Table5[Location]='Game-Prototype'!F11)*(Table5[PC]='Game-Prototype'!G11)*(ISNUMBER(SEARCH(1,Table5[Time Slots]))),"")</f>
        <v/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0"/>
      <c r="Z28" s="49" t="str" cm="1">
        <f t="array" ref="Z28">_xlfn.UNIQUE(_xlfn._xlws.FILTER($T$28:$T$33,$S$28:$S$33=$H$11,""))</f>
        <v/>
      </c>
    </row>
    <row r="29" spans="2:26" x14ac:dyDescent="0.2">
      <c r="L29" s="65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3"/>
      <c r="Z29" s="49"/>
    </row>
    <row r="30" spans="2:26" x14ac:dyDescent="0.2">
      <c r="L30" s="65"/>
      <c r="M30" s="16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3"/>
      <c r="Z30" s="49"/>
    </row>
    <row r="31" spans="2:26" x14ac:dyDescent="0.2">
      <c r="L31" s="65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3"/>
      <c r="Z31" s="49"/>
    </row>
    <row r="32" spans="2:26" x14ac:dyDescent="0.2">
      <c r="L32" s="65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3"/>
      <c r="Z32" s="49"/>
    </row>
    <row r="33" spans="12:26" ht="16" thickBot="1" x14ac:dyDescent="0.25">
      <c r="L33" s="66"/>
      <c r="M33" s="17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  <c r="Z33" s="50"/>
    </row>
    <row r="34" spans="12:26" ht="16" thickBot="1" x14ac:dyDescent="0.25">
      <c r="L34" s="64" t="s">
        <v>169</v>
      </c>
      <c r="M34" s="21" t="s">
        <v>119</v>
      </c>
      <c r="N34" s="22" t="s">
        <v>8</v>
      </c>
      <c r="O34" s="22" t="s">
        <v>7</v>
      </c>
      <c r="P34" s="22" t="s">
        <v>6</v>
      </c>
      <c r="Q34" s="22" t="s">
        <v>4</v>
      </c>
      <c r="R34" s="22" t="s">
        <v>1</v>
      </c>
      <c r="S34" s="22" t="s">
        <v>138</v>
      </c>
      <c r="T34" s="22" t="s">
        <v>5</v>
      </c>
      <c r="U34" s="22" t="s">
        <v>0</v>
      </c>
      <c r="V34" s="22" t="s">
        <v>127</v>
      </c>
      <c r="W34" s="22" t="s">
        <v>130</v>
      </c>
      <c r="X34" s="23" t="s">
        <v>108</v>
      </c>
      <c r="Z34" s="48" t="s">
        <v>168</v>
      </c>
    </row>
    <row r="35" spans="12:26" x14ac:dyDescent="0.2">
      <c r="L35" s="65"/>
      <c r="M35" s="18" cm="1">
        <f t="array" ref="M35:X37">_xlfn._xlws.FILTER(Table5[],(Table5[Location]='Game-Prototype'!F12)*(Table5[PC]='Game-Prototype'!G12)*(ISNUMBER(SEARCH(1,Table5[Time Slots]))),"")</f>
        <v>64</v>
      </c>
      <c r="N35" s="19" t="str">
        <v>Cole-4</v>
      </c>
      <c r="O35" s="19" t="str">
        <v>Key</v>
      </c>
      <c r="P35" s="19" t="str">
        <v>Cole-9</v>
      </c>
      <c r="Q35" s="19" t="str">
        <v>Restroom</v>
      </c>
      <c r="R35" s="19" t="str">
        <v>Chuck</v>
      </c>
      <c r="S35" s="19" t="str">
        <v>P7</v>
      </c>
      <c r="T35" s="19" t="str">
        <v>Query</v>
      </c>
      <c r="U35" s="19" t="str">
        <v>1,2,3,4,5,6</v>
      </c>
      <c r="V35" s="19">
        <v>5</v>
      </c>
      <c r="W35" s="19" t="str">
        <v>Y</v>
      </c>
      <c r="X35" s="20" t="str">
        <v>TBD</v>
      </c>
      <c r="Z35" s="49" t="str" cm="1">
        <f t="array" ref="Z35">_xlfn.UNIQUE(_xlfn._xlws.FILTER($T$35:$T$40,$S$35:$S$40=$H$12,""))</f>
        <v/>
      </c>
    </row>
    <row r="36" spans="12:26" x14ac:dyDescent="0.2">
      <c r="L36" s="65"/>
      <c r="M36" s="16">
        <v>74</v>
      </c>
      <c r="N36" s="11" t="str">
        <v>Lyric-4</v>
      </c>
      <c r="O36" s="11" t="str">
        <v>Key</v>
      </c>
      <c r="P36" s="11">
        <v>0</v>
      </c>
      <c r="Q36" s="11" t="str">
        <v>Restroom</v>
      </c>
      <c r="R36" s="11" t="str">
        <v>Chuck</v>
      </c>
      <c r="S36" s="11" t="str">
        <v>Item36</v>
      </c>
      <c r="T36" s="11" t="str">
        <v>Observation</v>
      </c>
      <c r="U36" s="11" t="str">
        <v>1,2,3,4,5</v>
      </c>
      <c r="V36" s="11">
        <v>5</v>
      </c>
      <c r="W36" s="11">
        <v>0</v>
      </c>
      <c r="X36" s="13" t="str">
        <v>TBD</v>
      </c>
      <c r="Z36" s="49"/>
    </row>
    <row r="37" spans="12:26" x14ac:dyDescent="0.2">
      <c r="L37" s="65"/>
      <c r="M37" s="16">
        <v>79</v>
      </c>
      <c r="N37" s="11" t="str">
        <v>Lyric-9</v>
      </c>
      <c r="O37" s="11" t="str">
        <v>Side</v>
      </c>
      <c r="P37" s="11" t="str">
        <v>Lyric-6</v>
      </c>
      <c r="Q37" s="11" t="str">
        <v>Restroom</v>
      </c>
      <c r="R37" s="11" t="str">
        <v>Chuck</v>
      </c>
      <c r="S37" s="11" t="str">
        <v>P3</v>
      </c>
      <c r="T37" s="11" t="str">
        <v>Query</v>
      </c>
      <c r="U37" s="11" t="str">
        <v>1,2,3,4,5</v>
      </c>
      <c r="V37" s="11">
        <v>5</v>
      </c>
      <c r="W37" s="11">
        <v>0</v>
      </c>
      <c r="X37" s="13" t="str">
        <v>TBD</v>
      </c>
      <c r="Z37" s="49"/>
    </row>
    <row r="38" spans="12:26" x14ac:dyDescent="0.2">
      <c r="L38" s="65"/>
      <c r="M38" s="16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3"/>
      <c r="Z38" s="49"/>
    </row>
    <row r="39" spans="12:26" x14ac:dyDescent="0.2">
      <c r="L39" s="65"/>
      <c r="M39" s="16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3"/>
      <c r="Z39" s="49"/>
    </row>
    <row r="40" spans="12:26" ht="16" thickBot="1" x14ac:dyDescent="0.25">
      <c r="L40" s="66"/>
      <c r="M40" s="17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5"/>
      <c r="Z40" s="50"/>
    </row>
  </sheetData>
  <mergeCells count="8">
    <mergeCell ref="L34:L40"/>
    <mergeCell ref="B4:J4"/>
    <mergeCell ref="B6:J6"/>
    <mergeCell ref="B2:J3"/>
    <mergeCell ref="L6:L12"/>
    <mergeCell ref="L13:L19"/>
    <mergeCell ref="L20:L26"/>
    <mergeCell ref="L27:L33"/>
  </mergeCells>
  <phoneticPr fontId="2" type="noConversion"/>
  <conditionalFormatting sqref="H8">
    <cfRule type="expression" dxfId="148" priority="13">
      <formula>IF(ISNUMBER(MATCH($H$8,$S$7:$S$12,0))=FALSE,TRUE,FALSE)</formula>
    </cfRule>
  </conditionalFormatting>
  <conditionalFormatting sqref="I8">
    <cfRule type="expression" dxfId="147" priority="14">
      <formula>IF(VLOOKUP($H$8,$S$7:$T$12,2,FALSE)=$I$8,FALSE,TRUE)</formula>
    </cfRule>
  </conditionalFormatting>
  <conditionalFormatting sqref="I9">
    <cfRule type="expression" dxfId="146" priority="17">
      <formula>IF(VLOOKUP($H$9,$S$14:$T$19,2,FALSE)=$I$9,FALSE,TRUE)</formula>
    </cfRule>
  </conditionalFormatting>
  <conditionalFormatting sqref="H9">
    <cfRule type="expression" dxfId="145" priority="18">
      <formula>IF(ISNUMBER(MATCH($H$9,$S$14:$S$19,0))=FALSE,TRUE,FALSE)</formula>
    </cfRule>
  </conditionalFormatting>
  <conditionalFormatting sqref="H10">
    <cfRule type="expression" dxfId="144" priority="6">
      <formula>IF(ISNUMBER(MATCH($H$10,$S$21:$S$26,0))=FALSE,TRUE,FALSE)</formula>
    </cfRule>
  </conditionalFormatting>
  <conditionalFormatting sqref="I10">
    <cfRule type="expression" dxfId="143" priority="5">
      <formula>IF(VLOOKUP($H$10,$S$21:$T$26,2,FALSE)=$I$10,FALSE,TRUE)</formula>
    </cfRule>
  </conditionalFormatting>
  <conditionalFormatting sqref="H11">
    <cfRule type="expression" dxfId="142" priority="4">
      <formula>IF(ISNUMBER(MATCH($H$11,$S$28:$S$33,0))=FALSE,TRUE,FALSE)</formula>
    </cfRule>
  </conditionalFormatting>
  <conditionalFormatting sqref="I11">
    <cfRule type="expression" dxfId="141" priority="3">
      <formula>IF(VLOOKUP($H$11,$S$28:$T$33,2,FALSE)=$I$11,FALSE,TRUE)</formula>
    </cfRule>
  </conditionalFormatting>
  <conditionalFormatting sqref="H12">
    <cfRule type="expression" dxfId="140" priority="2">
      <formula>IF(ISNUMBER(MATCH($H$12,$S$35:$S$40,0))=FALSE,TRUE,FALSE)</formula>
    </cfRule>
  </conditionalFormatting>
  <conditionalFormatting sqref="I12">
    <cfRule type="expression" dxfId="139" priority="1">
      <formula>IF(VLOOKUP($H$12,$S$35:$T$40,2,FALSE)=$I$12,FALSE,TRUE)</formula>
    </cfRule>
  </conditionalFormatting>
  <dataValidations count="10">
    <dataValidation type="list" allowBlank="1" showInputMessage="1" showErrorMessage="1" errorTitle="Choose..." error="Choose Again" sqref="I8" xr:uid="{ABE61BAD-3B3A-4D9C-9FA5-7AE267F4A82A}">
      <formula1>_xlfn.ANCHORARRAY($Z$7)</formula1>
    </dataValidation>
    <dataValidation type="list" allowBlank="1" showInputMessage="1" showErrorMessage="1" sqref="H8" xr:uid="{BF4C6C9F-0B97-4B12-A638-121C84B10093}">
      <formula1>$S$7:$S$12</formula1>
    </dataValidation>
    <dataValidation type="list" allowBlank="1" showInputMessage="1" showErrorMessage="1" sqref="H9" xr:uid="{2CEC9C7C-D31F-4CA6-A131-9F02816CF395}">
      <formula1>$S$14:$S$19</formula1>
    </dataValidation>
    <dataValidation type="list" allowBlank="1" showInputMessage="1" showErrorMessage="1" sqref="H10" xr:uid="{9CC4A0D6-1DB4-4A1D-AF63-02240A71FC8D}">
      <formula1>$S$21:$S$26</formula1>
    </dataValidation>
    <dataValidation type="list" allowBlank="1" showInputMessage="1" showErrorMessage="1" errorTitle="Choose..." error="Choose Again" sqref="I9" xr:uid="{8B21C655-1F0E-4E74-9058-A38D97DAC1DA}">
      <formula1>_xlfn.ANCHORARRAY($Z$14)</formula1>
    </dataValidation>
    <dataValidation type="list" allowBlank="1" showInputMessage="1" showErrorMessage="1" errorTitle="Choose..." error="Choose Again" sqref="I10" xr:uid="{19A27B85-4696-4C03-AB65-1630CFB74D33}">
      <formula1>_xlfn.ANCHORARRAY($Z$21)</formula1>
    </dataValidation>
    <dataValidation type="list" allowBlank="1" showInputMessage="1" showErrorMessage="1" sqref="H11" xr:uid="{CCE7CE3B-9A1E-478B-B453-689A0E2FA989}">
      <formula1>$S$28:$S$33</formula1>
    </dataValidation>
    <dataValidation type="list" allowBlank="1" showInputMessage="1" showErrorMessage="1" errorTitle="Choose..." error="Choose Again" sqref="I11" xr:uid="{B16841E8-EDF5-4540-ACEE-05676D0F38CF}">
      <formula1>_xlfn.ANCHORARRAY($Z$28)</formula1>
    </dataValidation>
    <dataValidation type="list" allowBlank="1" showInputMessage="1" showErrorMessage="1" sqref="H12" xr:uid="{3D112022-0DF9-44E6-B256-0BAE6162D00E}">
      <formula1>$S$35:$S$40</formula1>
    </dataValidation>
    <dataValidation type="list" allowBlank="1" showInputMessage="1" showErrorMessage="1" errorTitle="Choose..." error="Choose Again" sqref="I12" xr:uid="{7745478E-3D9E-4A38-96ED-C72A27204A22}">
      <formula1>_xlfn.ANCHORARRAY($Z$35)</formula1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4324467-0C7E-49CE-B6B3-BDA24DFA525A}">
          <x14:formula1>
            <xm:f>Database!$C$4:$C$6</xm:f>
          </x14:formula1>
          <xm:sqref>G8:G12</xm:sqref>
        </x14:dataValidation>
        <x14:dataValidation type="list" allowBlank="1" showInputMessage="1" showErrorMessage="1" promptTitle="Choose..." xr:uid="{3E8EC3E7-6769-4F25-BDF3-A3DDDD61BBC6}">
          <x14:formula1>
            <xm:f>Database!$G$4:$G$12</xm:f>
          </x14:formula1>
          <xm:sqref>F8:F12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E27C-D592-4D33-B54D-A4B5AA0FA990}">
  <dimension ref="A2:BM124"/>
  <sheetViews>
    <sheetView topLeftCell="I1" zoomScale="90" zoomScaleNormal="88" workbookViewId="0">
      <selection activeCell="Z21" sqref="Z21"/>
    </sheetView>
  </sheetViews>
  <sheetFormatPr baseColWidth="10" defaultColWidth="8.83203125" defaultRowHeight="15" x14ac:dyDescent="0.2"/>
  <cols>
    <col min="1" max="1" width="21" bestFit="1" customWidth="1"/>
    <col min="2" max="2" width="8.1640625" customWidth="1"/>
    <col min="3" max="3" width="5.83203125" bestFit="1" customWidth="1"/>
    <col min="4" max="4" width="11.83203125" bestFit="1" customWidth="1"/>
    <col min="5" max="5" width="13.83203125" bestFit="1" customWidth="1"/>
    <col min="6" max="6" width="6.1640625" bestFit="1" customWidth="1"/>
    <col min="7" max="7" width="11.83203125" bestFit="1" customWidth="1"/>
    <col min="8" max="8" width="20.33203125" bestFit="1" customWidth="1"/>
    <col min="9" max="9" width="18.1640625" bestFit="1" customWidth="1"/>
    <col min="10" max="10" width="12.33203125" bestFit="1" customWidth="1"/>
    <col min="11" max="11" width="25.1640625" bestFit="1" customWidth="1"/>
    <col min="12" max="12" width="10.83203125" bestFit="1" customWidth="1"/>
    <col min="13" max="13" width="13.83203125" bestFit="1" customWidth="1"/>
    <col min="14" max="14" width="5.33203125" customWidth="1"/>
    <col min="15" max="15" width="9.1640625" bestFit="1" customWidth="1"/>
    <col min="16" max="16" width="14.5" bestFit="1" customWidth="1"/>
    <col min="17" max="17" width="11.83203125" bestFit="1" customWidth="1"/>
    <col min="18" max="18" width="16.33203125" bestFit="1" customWidth="1"/>
    <col min="19" max="19" width="11.6640625" bestFit="1" customWidth="1"/>
    <col min="20" max="20" width="15.6640625" bestFit="1" customWidth="1"/>
    <col min="21" max="21" width="25.1640625" bestFit="1" customWidth="1"/>
    <col min="22" max="22" width="14.5" bestFit="1" customWidth="1"/>
    <col min="23" max="23" width="14" bestFit="1" customWidth="1"/>
    <col min="24" max="24" width="16.5" bestFit="1" customWidth="1"/>
    <col min="25" max="25" width="23.1640625" bestFit="1" customWidth="1"/>
    <col min="26" max="26" width="39.1640625" bestFit="1" customWidth="1"/>
    <col min="27" max="27" width="14.6640625" bestFit="1" customWidth="1"/>
  </cols>
  <sheetData>
    <row r="2" spans="1:26" ht="19" x14ac:dyDescent="0.2">
      <c r="A2" s="63" t="s">
        <v>173</v>
      </c>
      <c r="C2" s="79" t="s">
        <v>174</v>
      </c>
      <c r="D2" s="79"/>
      <c r="E2" s="79"/>
      <c r="F2" s="79"/>
      <c r="G2" s="79"/>
      <c r="H2" s="79"/>
      <c r="I2" s="79"/>
      <c r="J2" s="79"/>
      <c r="K2" s="79"/>
      <c r="L2" s="79"/>
      <c r="M2" s="79"/>
      <c r="O2" s="80" t="s">
        <v>175</v>
      </c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</row>
    <row r="3" spans="1:26" ht="16" x14ac:dyDescent="0.2">
      <c r="A3" s="12" t="s">
        <v>104</v>
      </c>
      <c r="C3" s="52" t="s">
        <v>11</v>
      </c>
      <c r="D3" s="52" t="s">
        <v>10</v>
      </c>
      <c r="E3" s="52" t="s">
        <v>110</v>
      </c>
      <c r="F3" s="52" t="s">
        <v>15</v>
      </c>
      <c r="G3" s="52" t="s">
        <v>9</v>
      </c>
      <c r="H3" s="52" t="s">
        <v>128</v>
      </c>
      <c r="I3" s="52" t="s">
        <v>126</v>
      </c>
      <c r="J3" s="52" t="s">
        <v>0</v>
      </c>
      <c r="K3" s="52" t="s">
        <v>12</v>
      </c>
      <c r="L3" s="52" t="s">
        <v>7</v>
      </c>
      <c r="M3" s="52" t="s">
        <v>112</v>
      </c>
      <c r="O3" s="54" t="s">
        <v>119</v>
      </c>
      <c r="P3" s="55" t="s">
        <v>8</v>
      </c>
      <c r="Q3" s="55" t="s">
        <v>7</v>
      </c>
      <c r="R3" s="55" t="s">
        <v>6</v>
      </c>
      <c r="S3" s="55" t="s">
        <v>4</v>
      </c>
      <c r="T3" s="55" t="s">
        <v>1</v>
      </c>
      <c r="U3" s="55" t="s">
        <v>138</v>
      </c>
      <c r="V3" s="55" t="s">
        <v>5</v>
      </c>
      <c r="W3" s="55" t="s">
        <v>0</v>
      </c>
      <c r="X3" s="55" t="s">
        <v>127</v>
      </c>
      <c r="Y3" s="55" t="s">
        <v>130</v>
      </c>
      <c r="Z3" s="56" t="s">
        <v>108</v>
      </c>
    </row>
    <row r="4" spans="1:26" x14ac:dyDescent="0.2">
      <c r="A4" s="12">
        <v>8</v>
      </c>
      <c r="C4" s="53" t="s">
        <v>179</v>
      </c>
      <c r="D4" s="53" t="s">
        <v>177</v>
      </c>
      <c r="E4" s="53">
        <f t="shared" ref="E4:E26" ca="1" si="0">RAND()</f>
        <v>0.91242881869360659</v>
      </c>
      <c r="F4" s="53" t="s">
        <v>177</v>
      </c>
      <c r="G4" s="53" t="s">
        <v>40</v>
      </c>
      <c r="H4" s="53">
        <v>0</v>
      </c>
      <c r="I4" s="53">
        <v>1</v>
      </c>
      <c r="J4" s="53" t="s">
        <v>53</v>
      </c>
      <c r="K4" s="53" t="s">
        <v>194</v>
      </c>
      <c r="L4" s="53" t="s">
        <v>52</v>
      </c>
      <c r="M4" s="53" t="s">
        <v>114</v>
      </c>
      <c r="O4" s="57">
        <v>1</v>
      </c>
      <c r="P4" s="58" t="str">
        <f>$F$4&amp;-1</f>
        <v>Vick-1</v>
      </c>
      <c r="Q4" s="58" t="str">
        <f t="shared" ref="Q4:Q14" si="1">$L$4</f>
        <v>Key</v>
      </c>
      <c r="R4" s="58"/>
      <c r="S4" s="58" t="str">
        <f>$G$4</f>
        <v>Classroom</v>
      </c>
      <c r="T4" s="58" t="str">
        <f>$C$4</f>
        <v>Chuck</v>
      </c>
      <c r="U4" s="58" t="str">
        <f>D6</f>
        <v>Chuck</v>
      </c>
      <c r="V4" s="58" t="str">
        <f>M7</f>
        <v>Recall</v>
      </c>
      <c r="W4" s="58" t="s">
        <v>193</v>
      </c>
      <c r="X4" s="58">
        <v>1</v>
      </c>
      <c r="Y4" s="58" t="s">
        <v>192</v>
      </c>
      <c r="Z4" s="59" t="s">
        <v>203</v>
      </c>
    </row>
    <row r="5" spans="1:26" x14ac:dyDescent="0.2">
      <c r="A5" s="12" t="s">
        <v>103</v>
      </c>
      <c r="C5" s="53" t="s">
        <v>180</v>
      </c>
      <c r="D5" s="53" t="s">
        <v>178</v>
      </c>
      <c r="E5" s="53">
        <f t="shared" ca="1" si="0"/>
        <v>0.37244011094244989</v>
      </c>
      <c r="F5" s="53" t="s">
        <v>178</v>
      </c>
      <c r="G5" s="53" t="s">
        <v>41</v>
      </c>
      <c r="H5" s="53">
        <v>1</v>
      </c>
      <c r="I5" s="53">
        <v>2</v>
      </c>
      <c r="J5" s="53" t="s">
        <v>54</v>
      </c>
      <c r="K5" s="53" t="s">
        <v>196</v>
      </c>
      <c r="L5" s="53" t="s">
        <v>51</v>
      </c>
      <c r="M5" s="53" t="s">
        <v>118</v>
      </c>
      <c r="O5" s="57">
        <v>2</v>
      </c>
      <c r="P5" s="58" t="str">
        <f>$F$4&amp;-2</f>
        <v>Vick-2</v>
      </c>
      <c r="Q5" s="58" t="str">
        <f t="shared" si="1"/>
        <v>Key</v>
      </c>
      <c r="R5" s="58"/>
      <c r="S5" s="58" t="str">
        <f>G12</f>
        <v>Toy Room</v>
      </c>
      <c r="T5" s="58" t="str">
        <f>C6</f>
        <v>Jamie</v>
      </c>
      <c r="U5" s="58" t="str">
        <f>K4</f>
        <v>Flora's barbie</v>
      </c>
      <c r="V5" s="58" t="str">
        <f>$M$6</f>
        <v>Observation</v>
      </c>
      <c r="W5" s="58" t="s">
        <v>193</v>
      </c>
      <c r="X5" s="58">
        <v>4</v>
      </c>
      <c r="Y5" s="58" t="s">
        <v>192</v>
      </c>
      <c r="Z5" s="59" t="s">
        <v>194</v>
      </c>
    </row>
    <row r="6" spans="1:26" x14ac:dyDescent="0.2">
      <c r="A6" s="12">
        <v>5</v>
      </c>
      <c r="C6" s="53" t="s">
        <v>181</v>
      </c>
      <c r="D6" s="53" t="s">
        <v>179</v>
      </c>
      <c r="E6" s="53">
        <f t="shared" ca="1" si="0"/>
        <v>3.9329634303582273E-2</v>
      </c>
      <c r="F6" s="53" t="s">
        <v>179</v>
      </c>
      <c r="G6" s="53" t="s">
        <v>43</v>
      </c>
      <c r="H6" s="53">
        <v>1</v>
      </c>
      <c r="I6" s="53">
        <v>3</v>
      </c>
      <c r="J6" s="53" t="s">
        <v>55</v>
      </c>
      <c r="K6" s="53" t="s">
        <v>198</v>
      </c>
      <c r="L6" s="53"/>
      <c r="M6" s="53" t="s">
        <v>116</v>
      </c>
      <c r="O6" s="57">
        <v>3</v>
      </c>
      <c r="P6" s="58" t="str">
        <f>$F$4&amp;-3</f>
        <v>Vick-3</v>
      </c>
      <c r="Q6" s="58" t="str">
        <f t="shared" si="1"/>
        <v>Key</v>
      </c>
      <c r="R6" s="58" t="str">
        <f>P5</f>
        <v>Vick-2</v>
      </c>
      <c r="S6" s="58" t="str">
        <f>G4</f>
        <v>Classroom</v>
      </c>
      <c r="T6" s="58" t="str">
        <f>$C$5</f>
        <v>Plum</v>
      </c>
      <c r="U6" s="58" t="str">
        <f>K4</f>
        <v>Flora's barbie</v>
      </c>
      <c r="V6" s="58" t="str">
        <f>$M$5</f>
        <v>Query</v>
      </c>
      <c r="W6" s="58" t="s">
        <v>195</v>
      </c>
      <c r="X6" s="58">
        <v>2</v>
      </c>
      <c r="Y6" s="58" t="s">
        <v>192</v>
      </c>
      <c r="Z6" s="59" t="s">
        <v>202</v>
      </c>
    </row>
    <row r="7" spans="1:26" x14ac:dyDescent="0.2">
      <c r="A7" s="12" t="s">
        <v>101</v>
      </c>
      <c r="C7" s="53"/>
      <c r="D7" s="53" t="s">
        <v>180</v>
      </c>
      <c r="E7" s="53">
        <f t="shared" ca="1" si="0"/>
        <v>0.78620764816285094</v>
      </c>
      <c r="F7" s="53" t="s">
        <v>180</v>
      </c>
      <c r="G7" s="53" t="s">
        <v>45</v>
      </c>
      <c r="H7" s="53">
        <v>1</v>
      </c>
      <c r="I7" s="53">
        <v>4</v>
      </c>
      <c r="J7" s="53" t="s">
        <v>56</v>
      </c>
      <c r="K7" s="53" t="s">
        <v>205</v>
      </c>
      <c r="L7" s="53"/>
      <c r="M7" s="53" t="s">
        <v>190</v>
      </c>
      <c r="O7" s="57">
        <v>4</v>
      </c>
      <c r="P7" s="58" t="str">
        <f>$F$4&amp;-4</f>
        <v>Vick-4</v>
      </c>
      <c r="Q7" s="58" t="str">
        <f>$L$5</f>
        <v>Side</v>
      </c>
      <c r="R7" s="58"/>
      <c r="S7" s="58" t="str">
        <f>$G$6</f>
        <v>Hallway2</v>
      </c>
      <c r="T7" s="58" t="str">
        <f>$C$4&amp;"/"&amp;$C$5&amp;"/"&amp;$C$6</f>
        <v>Chuck/Plum/Jamie</v>
      </c>
      <c r="U7" s="58" t="str">
        <f>K5</f>
        <v>Vick's snacks</v>
      </c>
      <c r="V7" s="58" t="str">
        <f>$M$6</f>
        <v>Observation</v>
      </c>
      <c r="W7" s="58" t="s">
        <v>197</v>
      </c>
      <c r="X7" s="58">
        <v>3</v>
      </c>
      <c r="Y7" s="58" t="s">
        <v>192</v>
      </c>
      <c r="Z7" s="59" t="s">
        <v>201</v>
      </c>
    </row>
    <row r="8" spans="1:26" x14ac:dyDescent="0.2">
      <c r="A8" s="12">
        <v>10</v>
      </c>
      <c r="C8" s="53"/>
      <c r="D8" s="53" t="s">
        <v>181</v>
      </c>
      <c r="E8" s="53">
        <f t="shared" ca="1" si="0"/>
        <v>0.67689676215918282</v>
      </c>
      <c r="F8" s="53" t="s">
        <v>181</v>
      </c>
      <c r="G8" s="53" t="s">
        <v>46</v>
      </c>
      <c r="H8" s="53">
        <v>2</v>
      </c>
      <c r="I8" s="53">
        <v>5</v>
      </c>
      <c r="J8" s="53" t="s">
        <v>57</v>
      </c>
      <c r="K8" s="53" t="s">
        <v>210</v>
      </c>
      <c r="L8" s="53"/>
      <c r="M8" s="53" t="s">
        <v>191</v>
      </c>
      <c r="O8" s="57">
        <v>5</v>
      </c>
      <c r="P8" s="58" t="str">
        <f>$F$4&amp;-5</f>
        <v>Vick-5</v>
      </c>
      <c r="Q8" s="58" t="str">
        <f>$L$5</f>
        <v>Side</v>
      </c>
      <c r="R8" s="58"/>
      <c r="S8" s="58" t="str">
        <f>$G$8</f>
        <v>Playground</v>
      </c>
      <c r="T8" s="58" t="str">
        <f>$C$5&amp;"/"&amp;C6</f>
        <v>Plum/Jamie</v>
      </c>
      <c r="U8" s="58" t="str">
        <f>K6</f>
        <v>A bag of hair</v>
      </c>
      <c r="V8" s="58" t="str">
        <f>$M$6</f>
        <v>Observation</v>
      </c>
      <c r="W8" s="58" t="s">
        <v>121</v>
      </c>
      <c r="X8" s="58">
        <v>5</v>
      </c>
      <c r="Y8" s="58" t="s">
        <v>192</v>
      </c>
      <c r="Z8" s="59" t="s">
        <v>198</v>
      </c>
    </row>
    <row r="9" spans="1:26" x14ac:dyDescent="0.2">
      <c r="A9" s="12" t="s">
        <v>100</v>
      </c>
      <c r="C9" s="53"/>
      <c r="D9" s="53" t="s">
        <v>182</v>
      </c>
      <c r="E9" s="53">
        <f t="shared" ca="1" si="0"/>
        <v>0.28264912971593326</v>
      </c>
      <c r="F9" s="53" t="s">
        <v>182</v>
      </c>
      <c r="G9" s="53" t="s">
        <v>47</v>
      </c>
      <c r="H9" s="53">
        <v>2</v>
      </c>
      <c r="I9" s="53">
        <v>6</v>
      </c>
      <c r="J9" s="53" t="s">
        <v>58</v>
      </c>
      <c r="K9" s="53" t="s">
        <v>213</v>
      </c>
      <c r="L9" s="53"/>
      <c r="M9" s="53"/>
      <c r="O9" s="57">
        <v>6</v>
      </c>
      <c r="P9" s="58" t="str">
        <f>$F$4&amp;-6</f>
        <v>Vick-6</v>
      </c>
      <c r="Q9" s="58" t="str">
        <f>$L$5</f>
        <v>Side</v>
      </c>
      <c r="R9" s="58"/>
      <c r="S9" s="58" t="str">
        <f>G4</f>
        <v>Classroom</v>
      </c>
      <c r="T9" s="58" t="str">
        <f>C5</f>
        <v>Plum</v>
      </c>
      <c r="U9" s="58" t="str">
        <f>D9</f>
        <v>Emi</v>
      </c>
      <c r="V9" s="58" t="str">
        <f>$M$4</f>
        <v>Conversation</v>
      </c>
      <c r="W9" s="58" t="s">
        <v>199</v>
      </c>
      <c r="X9" s="58">
        <v>2</v>
      </c>
      <c r="Y9" s="58" t="s">
        <v>192</v>
      </c>
      <c r="Z9" s="59" t="s">
        <v>200</v>
      </c>
    </row>
    <row r="10" spans="1:26" x14ac:dyDescent="0.2">
      <c r="A10" s="12">
        <v>7</v>
      </c>
      <c r="C10" s="53"/>
      <c r="D10" s="53" t="s">
        <v>183</v>
      </c>
      <c r="E10" s="53">
        <f t="shared" ca="1" si="0"/>
        <v>0.21842937030364773</v>
      </c>
      <c r="F10" s="53" t="s">
        <v>183</v>
      </c>
      <c r="G10" s="53" t="s">
        <v>48</v>
      </c>
      <c r="H10" s="53">
        <v>3</v>
      </c>
      <c r="I10" s="53"/>
      <c r="J10" s="53"/>
      <c r="K10" s="53" t="s">
        <v>214</v>
      </c>
      <c r="L10" s="53"/>
      <c r="M10" s="53"/>
      <c r="O10" s="57">
        <v>7</v>
      </c>
      <c r="P10" s="58" t="str">
        <f>$F$4&amp;-7</f>
        <v>Vick-7</v>
      </c>
      <c r="Q10" s="58" t="str">
        <f>$L$5</f>
        <v>Side</v>
      </c>
      <c r="R10" s="58"/>
      <c r="S10" s="58" t="str">
        <f>G4</f>
        <v>Classroom</v>
      </c>
      <c r="T10" s="58" t="str">
        <f>$C$4</f>
        <v>Chuck</v>
      </c>
      <c r="U10" s="58" t="str">
        <f>D4</f>
        <v>Vick</v>
      </c>
      <c r="V10" s="58" t="str">
        <f>M4</f>
        <v>Conversation</v>
      </c>
      <c r="W10" s="58" t="s">
        <v>195</v>
      </c>
      <c r="X10" s="58">
        <v>2</v>
      </c>
      <c r="Y10" s="58" t="s">
        <v>192</v>
      </c>
      <c r="Z10" s="59" t="s">
        <v>204</v>
      </c>
    </row>
    <row r="11" spans="1:26" x14ac:dyDescent="0.2">
      <c r="A11" s="12" t="s">
        <v>102</v>
      </c>
      <c r="C11" s="53"/>
      <c r="D11" s="53" t="s">
        <v>184</v>
      </c>
      <c r="E11" s="53">
        <f t="shared" ca="1" si="0"/>
        <v>0.30819897204378832</v>
      </c>
      <c r="F11" s="53" t="s">
        <v>184</v>
      </c>
      <c r="G11" s="53" t="s">
        <v>50</v>
      </c>
      <c r="H11" s="53">
        <v>3</v>
      </c>
      <c r="I11" s="53"/>
      <c r="J11" s="53"/>
      <c r="K11" s="53" t="s">
        <v>219</v>
      </c>
      <c r="L11" s="53"/>
      <c r="M11" s="53"/>
      <c r="O11" s="57">
        <v>8</v>
      </c>
      <c r="P11" s="58" t="str">
        <f>$F$4&amp;-8</f>
        <v>Vick-8</v>
      </c>
      <c r="Q11" s="58" t="str">
        <f t="shared" si="1"/>
        <v>Key</v>
      </c>
      <c r="R11" s="58"/>
      <c r="S11" s="58" t="str">
        <f>G5</f>
        <v>Hallway1</v>
      </c>
      <c r="T11" s="58" t="str">
        <f>$C$4&amp;"/"&amp;$C$5&amp;"/"&amp;$C$6</f>
        <v>Chuck/Plum/Jamie</v>
      </c>
      <c r="U11" s="58" t="str">
        <f>K7</f>
        <v>Vick's painting</v>
      </c>
      <c r="V11" s="58" t="str">
        <f>$M$6</f>
        <v>Observation</v>
      </c>
      <c r="W11" s="58" t="s">
        <v>193</v>
      </c>
      <c r="X11" s="58">
        <v>3</v>
      </c>
      <c r="Y11" s="58" t="s">
        <v>192</v>
      </c>
      <c r="Z11" s="59" t="s">
        <v>206</v>
      </c>
    </row>
    <row r="12" spans="1:26" x14ac:dyDescent="0.2">
      <c r="A12" s="12">
        <v>3</v>
      </c>
      <c r="C12" s="53"/>
      <c r="D12" s="53" t="s">
        <v>25</v>
      </c>
      <c r="E12" s="53">
        <f t="shared" ca="1" si="0"/>
        <v>0.54248393754009527</v>
      </c>
      <c r="F12" s="53"/>
      <c r="G12" s="53" t="s">
        <v>188</v>
      </c>
      <c r="H12" s="53"/>
      <c r="I12" s="53"/>
      <c r="J12" s="53"/>
      <c r="K12" s="53" t="s">
        <v>216</v>
      </c>
      <c r="L12" s="53"/>
      <c r="M12" s="53"/>
      <c r="O12" s="57">
        <v>9</v>
      </c>
      <c r="P12" s="58" t="str">
        <f>$F$4&amp;-9</f>
        <v>Vick-9</v>
      </c>
      <c r="Q12" s="58" t="str">
        <f t="shared" si="1"/>
        <v>Key</v>
      </c>
      <c r="R12" s="58"/>
      <c r="S12" s="58" t="str">
        <f>$G$4</f>
        <v>Classroom</v>
      </c>
      <c r="T12" s="58" t="str">
        <f>$C$5&amp;"/"&amp;$C$6</f>
        <v>Plum/Jamie</v>
      </c>
      <c r="U12" s="58" t="str">
        <f>$D$4</f>
        <v>Vick</v>
      </c>
      <c r="V12" s="58" t="str">
        <f>M8</f>
        <v>Eavesdrop</v>
      </c>
      <c r="W12" s="58" t="s">
        <v>207</v>
      </c>
      <c r="X12" s="58">
        <v>2</v>
      </c>
      <c r="Y12" s="58" t="s">
        <v>192</v>
      </c>
      <c r="Z12" s="59" t="s">
        <v>208</v>
      </c>
    </row>
    <row r="13" spans="1:26" x14ac:dyDescent="0.2">
      <c r="A13" s="12" t="s">
        <v>99</v>
      </c>
      <c r="C13" s="53"/>
      <c r="D13" s="53" t="s">
        <v>26</v>
      </c>
      <c r="E13" s="53">
        <f t="shared" ca="1" si="0"/>
        <v>0.19158867960176307</v>
      </c>
      <c r="F13" s="53"/>
      <c r="G13" s="53" t="s">
        <v>222</v>
      </c>
      <c r="H13" s="53"/>
      <c r="I13" s="53"/>
      <c r="J13" s="53"/>
      <c r="K13" s="53" t="s">
        <v>220</v>
      </c>
      <c r="L13" s="53"/>
      <c r="M13" s="53"/>
      <c r="O13" s="57">
        <v>10</v>
      </c>
      <c r="P13" s="58" t="str">
        <f>$F$4&amp;-10</f>
        <v>Vick-10</v>
      </c>
      <c r="Q13" s="58" t="str">
        <f>$L$5</f>
        <v>Side</v>
      </c>
      <c r="R13" s="58"/>
      <c r="S13" s="58" t="str">
        <f>G5</f>
        <v>Hallway1</v>
      </c>
      <c r="T13" s="58" t="str">
        <f>$C$5&amp;"/"&amp;$C$6</f>
        <v>Plum/Jamie</v>
      </c>
      <c r="U13" s="58" t="str">
        <f>K8</f>
        <v>Announcement board</v>
      </c>
      <c r="V13" s="58" t="str">
        <f>$M$6</f>
        <v>Observation</v>
      </c>
      <c r="W13" s="58" t="s">
        <v>193</v>
      </c>
      <c r="X13" s="58">
        <v>3</v>
      </c>
      <c r="Y13" s="58"/>
      <c r="Z13" s="59" t="s">
        <v>209</v>
      </c>
    </row>
    <row r="14" spans="1:26" x14ac:dyDescent="0.2">
      <c r="A14" s="12">
        <f>$A$4*$A$8</f>
        <v>80</v>
      </c>
      <c r="C14" s="53"/>
      <c r="D14" s="53" t="s">
        <v>133</v>
      </c>
      <c r="E14" s="53">
        <f t="shared" ca="1" si="0"/>
        <v>0.39404890484304778</v>
      </c>
      <c r="F14" s="53"/>
      <c r="G14" s="53"/>
      <c r="H14" s="53"/>
      <c r="I14" s="53"/>
      <c r="J14" s="53"/>
      <c r="K14" s="53" t="s">
        <v>69</v>
      </c>
      <c r="L14" s="53"/>
      <c r="M14" s="53"/>
      <c r="O14" s="57">
        <v>11</v>
      </c>
      <c r="P14" s="58" t="str">
        <f>$F$5&amp;-1</f>
        <v>Flora-1</v>
      </c>
      <c r="Q14" s="58" t="str">
        <f t="shared" si="1"/>
        <v>Key</v>
      </c>
      <c r="R14" s="58"/>
      <c r="S14" s="58" t="str">
        <f>$G$4</f>
        <v>Classroom</v>
      </c>
      <c r="T14" s="58" t="str">
        <f>$C$4&amp;"/"&amp;$C$5&amp;"/"&amp;$C$6</f>
        <v>Chuck/Plum/Jamie</v>
      </c>
      <c r="U14" s="58" t="str">
        <f>$D$4</f>
        <v>Vick</v>
      </c>
      <c r="V14" s="58" t="str">
        <f>$M$4</f>
        <v>Conversation</v>
      </c>
      <c r="W14" s="58">
        <v>1</v>
      </c>
      <c r="X14" s="58">
        <v>1</v>
      </c>
      <c r="Y14" s="58" t="s">
        <v>192</v>
      </c>
      <c r="Z14" s="59" t="s">
        <v>211</v>
      </c>
    </row>
    <row r="15" spans="1:26" x14ac:dyDescent="0.2">
      <c r="A15" s="12" t="s">
        <v>105</v>
      </c>
      <c r="C15" s="53"/>
      <c r="D15" s="53" t="s">
        <v>28</v>
      </c>
      <c r="E15" s="53">
        <f t="shared" ca="1" si="0"/>
        <v>0.5272207042992485</v>
      </c>
      <c r="F15" s="53"/>
      <c r="G15" s="53"/>
      <c r="H15" s="53"/>
      <c r="I15" s="53"/>
      <c r="J15" s="53"/>
      <c r="K15" s="53" t="s">
        <v>70</v>
      </c>
      <c r="L15" s="53"/>
      <c r="M15" s="53"/>
      <c r="O15" s="57">
        <v>12</v>
      </c>
      <c r="P15" s="58" t="str">
        <f>$F$5&amp;-2</f>
        <v>Flora-2</v>
      </c>
      <c r="Q15" s="58" t="str">
        <f t="shared" ref="Q15:Q20" si="2">$L$4</f>
        <v>Key</v>
      </c>
      <c r="R15" s="58"/>
      <c r="S15" s="58" t="str">
        <f>$G$4</f>
        <v>Classroom</v>
      </c>
      <c r="T15" s="58" t="str">
        <f>$C$4</f>
        <v>Chuck</v>
      </c>
      <c r="U15" s="58" t="str">
        <f>$D$4</f>
        <v>Vick</v>
      </c>
      <c r="V15" s="58" t="str">
        <f>$M$4</f>
        <v>Conversation</v>
      </c>
      <c r="W15" s="58">
        <v>1</v>
      </c>
      <c r="X15" s="58">
        <v>1</v>
      </c>
      <c r="Y15" s="58" t="s">
        <v>192</v>
      </c>
      <c r="Z15" s="59" t="s">
        <v>212</v>
      </c>
    </row>
    <row r="16" spans="1:26" x14ac:dyDescent="0.2">
      <c r="A16" s="12">
        <f>$A$14/$A$6</f>
        <v>16</v>
      </c>
      <c r="C16" s="53"/>
      <c r="D16" s="53" t="s">
        <v>29</v>
      </c>
      <c r="E16" s="53">
        <f t="shared" ca="1" si="0"/>
        <v>0.72564258725048281</v>
      </c>
      <c r="F16" s="53"/>
      <c r="G16" s="53"/>
      <c r="H16" s="53"/>
      <c r="I16" s="53"/>
      <c r="J16" s="53"/>
      <c r="K16" s="53" t="s">
        <v>71</v>
      </c>
      <c r="L16" s="53"/>
      <c r="M16" s="53"/>
      <c r="O16" s="57">
        <v>13</v>
      </c>
      <c r="P16" s="58" t="str">
        <f>$F$5&amp;-3</f>
        <v>Flora-3</v>
      </c>
      <c r="Q16" s="58" t="str">
        <f t="shared" si="2"/>
        <v>Key</v>
      </c>
      <c r="R16" s="58"/>
      <c r="S16" s="58" t="str">
        <f>$G$9</f>
        <v>Naproom</v>
      </c>
      <c r="T16" s="58" t="str">
        <f>$C$6</f>
        <v>Jamie</v>
      </c>
      <c r="U16" s="58" t="str">
        <f>K9</f>
        <v>Vick mom's note for the teacher</v>
      </c>
      <c r="V16" s="58" t="str">
        <f>$M$6</f>
        <v>Observation</v>
      </c>
      <c r="W16" s="58" t="s">
        <v>193</v>
      </c>
      <c r="X16" s="58">
        <v>4</v>
      </c>
      <c r="Y16" s="58" t="s">
        <v>192</v>
      </c>
      <c r="Z16" s="59" t="s">
        <v>213</v>
      </c>
    </row>
    <row r="17" spans="1:26" x14ac:dyDescent="0.2">
      <c r="A17" s="12" t="s">
        <v>106</v>
      </c>
      <c r="C17" s="53"/>
      <c r="D17" s="53" t="s">
        <v>30</v>
      </c>
      <c r="E17" s="53">
        <f t="shared" ca="1" si="0"/>
        <v>0.67557893933371427</v>
      </c>
      <c r="F17" s="53"/>
      <c r="G17" s="53"/>
      <c r="H17" s="53"/>
      <c r="I17" s="53"/>
      <c r="J17" s="53"/>
      <c r="K17" s="53" t="s">
        <v>72</v>
      </c>
      <c r="L17" s="53"/>
      <c r="M17" s="53"/>
      <c r="O17" s="57">
        <v>14</v>
      </c>
      <c r="P17" s="58" t="str">
        <f>$F$5&amp;-4</f>
        <v>Flora-4</v>
      </c>
      <c r="Q17" s="58" t="str">
        <f t="shared" si="2"/>
        <v>Key</v>
      </c>
      <c r="R17" s="58"/>
      <c r="S17" s="58" t="str">
        <f>$G$9</f>
        <v>Naproom</v>
      </c>
      <c r="T17" s="58" t="str">
        <f>$C$6</f>
        <v>Jamie</v>
      </c>
      <c r="U17" s="58" t="str">
        <f>K10</f>
        <v>Vick mom's note for Vick</v>
      </c>
      <c r="V17" s="58" t="str">
        <f>$M$6</f>
        <v>Observation</v>
      </c>
      <c r="W17" s="58" t="s">
        <v>121</v>
      </c>
      <c r="X17" s="58">
        <v>4</v>
      </c>
      <c r="Y17" s="58" t="s">
        <v>192</v>
      </c>
      <c r="Z17" s="59" t="s">
        <v>214</v>
      </c>
    </row>
    <row r="18" spans="1:26" x14ac:dyDescent="0.2">
      <c r="A18" s="12">
        <f>ROUND(0.75*$A$16,0)</f>
        <v>12</v>
      </c>
      <c r="C18" s="53"/>
      <c r="D18" s="53" t="s">
        <v>31</v>
      </c>
      <c r="E18" s="53">
        <f t="shared" ca="1" si="0"/>
        <v>0.47956327981900659</v>
      </c>
      <c r="F18" s="53"/>
      <c r="G18" s="53"/>
      <c r="H18" s="53"/>
      <c r="I18" s="53"/>
      <c r="J18" s="53"/>
      <c r="K18" s="53" t="s">
        <v>73</v>
      </c>
      <c r="L18" s="53"/>
      <c r="M18" s="53"/>
      <c r="O18" s="57">
        <v>15</v>
      </c>
      <c r="P18" s="58" t="str">
        <f>$F$5&amp;-5</f>
        <v>Flora-5</v>
      </c>
      <c r="Q18" s="58" t="str">
        <f t="shared" si="2"/>
        <v>Key</v>
      </c>
      <c r="R18" s="58"/>
      <c r="S18" s="58" t="str">
        <f>$G$4</f>
        <v>Classroom</v>
      </c>
      <c r="T18" s="58" t="str">
        <f>$C$4&amp;"/"&amp;$C$5</f>
        <v>Chuck/Plum</v>
      </c>
      <c r="U18" s="58" t="str">
        <f>$D$4</f>
        <v>Vick</v>
      </c>
      <c r="V18" s="58" t="str">
        <f>$M$4</f>
        <v>Conversation</v>
      </c>
      <c r="W18" s="58">
        <v>1</v>
      </c>
      <c r="X18" s="58">
        <v>2</v>
      </c>
      <c r="Y18" s="58" t="s">
        <v>192</v>
      </c>
      <c r="Z18" s="59" t="s">
        <v>215</v>
      </c>
    </row>
    <row r="19" spans="1:26" x14ac:dyDescent="0.2">
      <c r="A19" s="12" t="s">
        <v>107</v>
      </c>
      <c r="C19" s="53"/>
      <c r="D19" s="53" t="s">
        <v>32</v>
      </c>
      <c r="E19" s="53">
        <f t="shared" ca="1" si="0"/>
        <v>0.45113703475612277</v>
      </c>
      <c r="F19" s="53"/>
      <c r="G19" s="53"/>
      <c r="H19" s="53"/>
      <c r="I19" s="53"/>
      <c r="J19" s="53"/>
      <c r="K19" s="53" t="s">
        <v>74</v>
      </c>
      <c r="L19" s="53"/>
      <c r="M19" s="53"/>
      <c r="O19" s="57">
        <v>16</v>
      </c>
      <c r="P19" s="58" t="str">
        <f>$F$5&amp;-6</f>
        <v>Flora-6</v>
      </c>
      <c r="Q19" s="58" t="str">
        <f t="shared" si="2"/>
        <v>Key</v>
      </c>
      <c r="R19" s="58"/>
      <c r="S19" s="58" t="str">
        <f>$G$6</f>
        <v>Hallway2</v>
      </c>
      <c r="T19" s="58" t="str">
        <f>$C$6</f>
        <v>Jamie</v>
      </c>
      <c r="U19" s="58" t="str">
        <f>K11</f>
        <v>Vick's pocket</v>
      </c>
      <c r="V19" s="58" t="str">
        <f>$M$6</f>
        <v>Observation</v>
      </c>
      <c r="W19" s="58">
        <v>5</v>
      </c>
      <c r="X19" s="58">
        <v>3</v>
      </c>
      <c r="Y19" s="58" t="s">
        <v>192</v>
      </c>
      <c r="Z19" s="59" t="s">
        <v>217</v>
      </c>
    </row>
    <row r="20" spans="1:26" x14ac:dyDescent="0.2">
      <c r="A20" s="12">
        <f>ROUND(0.6*$A$16,0)</f>
        <v>10</v>
      </c>
      <c r="C20" s="53"/>
      <c r="D20" s="53" t="s">
        <v>33</v>
      </c>
      <c r="E20" s="53">
        <f t="shared" ca="1" si="0"/>
        <v>6.0701234744733323E-2</v>
      </c>
      <c r="F20" s="53"/>
      <c r="G20" s="53"/>
      <c r="H20" s="53"/>
      <c r="I20" s="53"/>
      <c r="J20" s="53"/>
      <c r="K20" s="53" t="s">
        <v>75</v>
      </c>
      <c r="L20" s="53"/>
      <c r="M20" s="53"/>
      <c r="O20" s="57">
        <v>17</v>
      </c>
      <c r="P20" s="58" t="str">
        <f>$F$5&amp;-7</f>
        <v>Flora-7</v>
      </c>
      <c r="Q20" s="58" t="str">
        <f t="shared" si="2"/>
        <v>Key</v>
      </c>
      <c r="R20" s="58" t="str">
        <f>$F$5&amp;-6</f>
        <v>Flora-6</v>
      </c>
      <c r="S20" s="58" t="str">
        <f>$G$6</f>
        <v>Hallway2</v>
      </c>
      <c r="T20" s="58" t="str">
        <f>$C$4</f>
        <v>Chuck</v>
      </c>
      <c r="U20" s="58" t="str">
        <f>K12</f>
        <v>A bar of chocolate</v>
      </c>
      <c r="V20" s="58" t="str">
        <f>$M$5</f>
        <v>Query</v>
      </c>
      <c r="W20" s="58">
        <v>5</v>
      </c>
      <c r="X20" s="58">
        <v>3</v>
      </c>
      <c r="Y20" s="58" t="s">
        <v>192</v>
      </c>
      <c r="Z20" s="59" t="s">
        <v>218</v>
      </c>
    </row>
    <row r="21" spans="1:26" x14ac:dyDescent="0.2">
      <c r="A21" s="12" t="s">
        <v>129</v>
      </c>
      <c r="C21" s="53"/>
      <c r="D21" s="53" t="s">
        <v>34</v>
      </c>
      <c r="E21" s="53">
        <f t="shared" ca="1" si="0"/>
        <v>0.18601991181140465</v>
      </c>
      <c r="F21" s="53"/>
      <c r="G21" s="53"/>
      <c r="H21" s="53"/>
      <c r="I21" s="53"/>
      <c r="J21" s="53"/>
      <c r="K21" s="53" t="s">
        <v>76</v>
      </c>
      <c r="L21" s="53"/>
      <c r="M21" s="53"/>
      <c r="O21" s="57">
        <v>18</v>
      </c>
      <c r="P21" s="58" t="str">
        <f>$F$5&amp;-8</f>
        <v>Flora-8</v>
      </c>
      <c r="Q21" s="58" t="str">
        <f>$L$5</f>
        <v>Side</v>
      </c>
      <c r="R21" s="58"/>
      <c r="S21" s="58" t="str">
        <f>$G$11</f>
        <v>Storage</v>
      </c>
      <c r="T21" s="58" t="str">
        <f>$C$4&amp;"/"&amp;$C$5&amp;"/"&amp;$C$6</f>
        <v>Chuck/Plum/Jamie</v>
      </c>
      <c r="U21" s="58" t="str">
        <f>K13</f>
        <v>Snacks</v>
      </c>
      <c r="V21" s="58" t="str">
        <f>$M$6</f>
        <v>Observation</v>
      </c>
      <c r="W21" s="58" t="s">
        <v>121</v>
      </c>
      <c r="X21" s="58">
        <v>5</v>
      </c>
      <c r="Y21" s="58" t="s">
        <v>192</v>
      </c>
      <c r="Z21" s="59" t="s">
        <v>221</v>
      </c>
    </row>
    <row r="22" spans="1:26" x14ac:dyDescent="0.2">
      <c r="A22" s="12">
        <v>4</v>
      </c>
      <c r="C22" s="53"/>
      <c r="D22" s="53" t="s">
        <v>35</v>
      </c>
      <c r="E22" s="53">
        <f t="shared" ca="1" si="0"/>
        <v>0.28443812265386381</v>
      </c>
      <c r="F22" s="53"/>
      <c r="G22" s="53"/>
      <c r="H22" s="53"/>
      <c r="I22" s="53"/>
      <c r="J22" s="53"/>
      <c r="K22" s="53" t="s">
        <v>77</v>
      </c>
      <c r="L22" s="53"/>
      <c r="M22" s="53"/>
      <c r="O22" s="57">
        <v>19</v>
      </c>
      <c r="P22" s="58" t="str">
        <f>$F$5&amp;-9</f>
        <v>Flora-9</v>
      </c>
      <c r="Q22" s="58" t="str">
        <f>$L$5</f>
        <v>Side</v>
      </c>
      <c r="R22" s="58"/>
      <c r="S22" s="58" t="str">
        <f>$G$9</f>
        <v>Naproom</v>
      </c>
      <c r="T22" s="58" t="str">
        <f>$C$4</f>
        <v>Chuck</v>
      </c>
      <c r="U22" s="58" t="s">
        <v>30</v>
      </c>
      <c r="V22" s="58" t="s">
        <v>117</v>
      </c>
      <c r="W22" s="58" t="s">
        <v>121</v>
      </c>
      <c r="X22" s="58">
        <f>VLOOKUP(Table5[[#This Row],[Location]],$G$4:$H$11,2,FALSE)+4</f>
        <v>6</v>
      </c>
      <c r="Y22" s="58"/>
      <c r="Z22" s="59" t="s">
        <v>125</v>
      </c>
    </row>
    <row r="23" spans="1:26" x14ac:dyDescent="0.2">
      <c r="C23" s="53"/>
      <c r="D23" s="53" t="s">
        <v>36</v>
      </c>
      <c r="E23" s="53">
        <f t="shared" ca="1" si="0"/>
        <v>0.54677404628467463</v>
      </c>
      <c r="F23" s="53"/>
      <c r="G23" s="53"/>
      <c r="H23" s="53"/>
      <c r="I23" s="53"/>
      <c r="J23" s="53"/>
      <c r="K23" s="53" t="s">
        <v>78</v>
      </c>
      <c r="L23" s="53"/>
      <c r="M23" s="53"/>
      <c r="O23" s="57">
        <v>20</v>
      </c>
      <c r="P23" s="58" t="str">
        <f>$F$5&amp;-10</f>
        <v>Flora-10</v>
      </c>
      <c r="Q23" s="58" t="str">
        <f>$L$5</f>
        <v>Side</v>
      </c>
      <c r="R23" s="58"/>
      <c r="S23" s="58" t="str">
        <f>$G$4</f>
        <v>Classroom</v>
      </c>
      <c r="T23" s="58" t="str">
        <f>$C$5</f>
        <v>Plum</v>
      </c>
      <c r="U23" s="58" t="s">
        <v>37</v>
      </c>
      <c r="V23" s="58" t="s">
        <v>113</v>
      </c>
      <c r="W23" s="58" t="s">
        <v>124</v>
      </c>
      <c r="X23" s="58">
        <f>VLOOKUP(Table5[[#This Row],[Location]],$G$4:$H$11,2,FALSE)+4</f>
        <v>4</v>
      </c>
      <c r="Y23" s="58"/>
      <c r="Z23" s="59" t="s">
        <v>125</v>
      </c>
    </row>
    <row r="24" spans="1:26" x14ac:dyDescent="0.2">
      <c r="C24" s="53"/>
      <c r="D24" s="53" t="s">
        <v>185</v>
      </c>
      <c r="E24" s="53">
        <f t="shared" ca="1" si="0"/>
        <v>0.14867786214073053</v>
      </c>
      <c r="F24" s="53"/>
      <c r="G24" s="53"/>
      <c r="H24" s="53"/>
      <c r="I24" s="53"/>
      <c r="J24" s="53"/>
      <c r="K24" s="53" t="s">
        <v>79</v>
      </c>
      <c r="L24" s="53"/>
      <c r="M24" s="53"/>
      <c r="O24" s="57">
        <v>21</v>
      </c>
      <c r="P24" s="58" t="str">
        <f>$F$6&amp;-1</f>
        <v>Chuck-1</v>
      </c>
      <c r="Q24" s="58" t="str">
        <f t="shared" ref="Q24:Q30" si="3">$L$4</f>
        <v>Key</v>
      </c>
      <c r="R24" s="58"/>
      <c r="S24" s="58" t="str">
        <f>$G$4</f>
        <v>Classroom</v>
      </c>
      <c r="T24" s="58" t="str">
        <f>$C$5</f>
        <v>Plum</v>
      </c>
      <c r="U24" s="58" t="s">
        <v>20</v>
      </c>
      <c r="V24" s="58" t="s">
        <v>117</v>
      </c>
      <c r="W24" s="58">
        <v>3</v>
      </c>
      <c r="X24" s="58">
        <f>VLOOKUP(Table5[[#This Row],[Location]],$G$4:$H$11,2,FALSE)+4</f>
        <v>4</v>
      </c>
      <c r="Y24" s="58"/>
      <c r="Z24" s="59" t="s">
        <v>125</v>
      </c>
    </row>
    <row r="25" spans="1:26" x14ac:dyDescent="0.2">
      <c r="C25" s="53"/>
      <c r="D25" s="53" t="s">
        <v>186</v>
      </c>
      <c r="E25" s="53">
        <f t="shared" ca="1" si="0"/>
        <v>0.810525054435839</v>
      </c>
      <c r="F25" s="53"/>
      <c r="G25" s="53"/>
      <c r="H25" s="53"/>
      <c r="I25" s="53"/>
      <c r="J25" s="53"/>
      <c r="K25" s="53" t="s">
        <v>80</v>
      </c>
      <c r="L25" s="53"/>
      <c r="M25" s="53"/>
      <c r="O25" s="57">
        <v>22</v>
      </c>
      <c r="P25" s="58" t="str">
        <f>$F$6&amp;-2</f>
        <v>Chuck-2</v>
      </c>
      <c r="Q25" s="58" t="str">
        <f t="shared" si="3"/>
        <v>Key</v>
      </c>
      <c r="R25" s="58"/>
      <c r="S25" s="58" t="str">
        <f>$G$5</f>
        <v>Hallway1</v>
      </c>
      <c r="T25" s="58" t="str">
        <f>$C$6</f>
        <v>Jamie</v>
      </c>
      <c r="U25" s="58" t="s">
        <v>21</v>
      </c>
      <c r="V25" s="58" t="s">
        <v>113</v>
      </c>
      <c r="W25" s="58" t="s">
        <v>124</v>
      </c>
      <c r="X25" s="58">
        <f>VLOOKUP(Table5[[#This Row],[Location]],$G$4:$H$11,2,FALSE)+4</f>
        <v>5</v>
      </c>
      <c r="Y25" s="58"/>
      <c r="Z25" s="59" t="s">
        <v>125</v>
      </c>
    </row>
    <row r="26" spans="1:26" x14ac:dyDescent="0.2">
      <c r="C26" s="53"/>
      <c r="D26" s="53" t="s">
        <v>187</v>
      </c>
      <c r="E26" s="53">
        <f t="shared" ca="1" si="0"/>
        <v>0.69696029067162935</v>
      </c>
      <c r="F26" s="53"/>
      <c r="G26" s="53"/>
      <c r="H26" s="53"/>
      <c r="I26" s="53"/>
      <c r="J26" s="53"/>
      <c r="K26" s="53" t="s">
        <v>81</v>
      </c>
      <c r="L26" s="53"/>
      <c r="M26" s="53"/>
      <c r="O26" s="57">
        <v>23</v>
      </c>
      <c r="P26" s="58" t="str">
        <f>$F$6&amp;-3</f>
        <v>Chuck-3</v>
      </c>
      <c r="Q26" s="58" t="str">
        <f t="shared" si="3"/>
        <v>Key</v>
      </c>
      <c r="R26" s="58"/>
      <c r="S26" s="58" t="str">
        <f>$G$11</f>
        <v>Storage</v>
      </c>
      <c r="T26" s="58" t="str">
        <f>$C$4</f>
        <v>Chuck</v>
      </c>
      <c r="U26" s="58" t="s">
        <v>19</v>
      </c>
      <c r="V26" s="58" t="s">
        <v>113</v>
      </c>
      <c r="W26" s="58">
        <v>3</v>
      </c>
      <c r="X26" s="58">
        <f>VLOOKUP(Table5[[#This Row],[Location]],$G$4:$H$11,2,FALSE)+4</f>
        <v>7</v>
      </c>
      <c r="Y26" s="58"/>
      <c r="Z26" s="59" t="s">
        <v>125</v>
      </c>
    </row>
    <row r="27" spans="1:26" x14ac:dyDescent="0.2">
      <c r="C27" s="53"/>
      <c r="D27" s="53"/>
      <c r="E27" s="53"/>
      <c r="F27" s="53"/>
      <c r="G27" s="53"/>
      <c r="H27" s="53"/>
      <c r="I27" s="53"/>
      <c r="J27" s="53"/>
      <c r="K27" s="53" t="s">
        <v>82</v>
      </c>
      <c r="L27" s="53"/>
      <c r="M27" s="53"/>
      <c r="O27" s="57">
        <v>24</v>
      </c>
      <c r="P27" s="58" t="str">
        <f>$F$6&amp;-4</f>
        <v>Chuck-4</v>
      </c>
      <c r="Q27" s="58" t="str">
        <f t="shared" si="3"/>
        <v>Key</v>
      </c>
      <c r="R27" s="58"/>
      <c r="S27" s="58" t="str">
        <f>$G$7</f>
        <v>Restroom</v>
      </c>
      <c r="T27" s="58" t="str">
        <f>$C$6</f>
        <v>Jamie</v>
      </c>
      <c r="U27" s="58" t="s">
        <v>39</v>
      </c>
      <c r="V27" s="58" t="s">
        <v>113</v>
      </c>
      <c r="W27" s="58" t="s">
        <v>121</v>
      </c>
      <c r="X27" s="58">
        <f>VLOOKUP(Table5[[#This Row],[Location]],$G$4:$H$11,2,FALSE)+4</f>
        <v>5</v>
      </c>
      <c r="Y27" s="58"/>
      <c r="Z27" s="59" t="s">
        <v>125</v>
      </c>
    </row>
    <row r="28" spans="1:26" x14ac:dyDescent="0.2">
      <c r="C28" s="53"/>
      <c r="D28" s="53"/>
      <c r="E28" s="53"/>
      <c r="F28" s="53"/>
      <c r="G28" s="53"/>
      <c r="H28" s="53"/>
      <c r="I28" s="53"/>
      <c r="J28" s="53"/>
      <c r="K28" s="53" t="s">
        <v>83</v>
      </c>
      <c r="L28" s="53"/>
      <c r="M28" s="53"/>
      <c r="O28" s="57">
        <v>25</v>
      </c>
      <c r="P28" s="58" t="str">
        <f>$F$6&amp;-5</f>
        <v>Chuck-5</v>
      </c>
      <c r="Q28" s="58" t="str">
        <f t="shared" si="3"/>
        <v>Key</v>
      </c>
      <c r="R28" s="58"/>
      <c r="S28" s="58" t="str">
        <f>$G$8</f>
        <v>Playground</v>
      </c>
      <c r="T28" s="58" t="str">
        <f>$C$6</f>
        <v>Jamie</v>
      </c>
      <c r="U28" s="58" t="s">
        <v>26</v>
      </c>
      <c r="V28" s="58" t="s">
        <v>117</v>
      </c>
      <c r="W28" s="58" t="s">
        <v>122</v>
      </c>
      <c r="X28" s="58">
        <f>VLOOKUP(Table5[[#This Row],[Location]],$G$4:$H$11,2,FALSE)+4</f>
        <v>6</v>
      </c>
      <c r="Y28" s="58"/>
      <c r="Z28" s="59" t="s">
        <v>125</v>
      </c>
    </row>
    <row r="29" spans="1:26" x14ac:dyDescent="0.2">
      <c r="C29" s="53"/>
      <c r="D29" s="53"/>
      <c r="E29" s="53"/>
      <c r="F29" s="53"/>
      <c r="G29" s="53"/>
      <c r="H29" s="53"/>
      <c r="I29" s="53"/>
      <c r="J29" s="53"/>
      <c r="K29" s="53" t="s">
        <v>84</v>
      </c>
      <c r="L29" s="53"/>
      <c r="M29" s="53"/>
      <c r="O29" s="57">
        <v>26</v>
      </c>
      <c r="P29" s="58" t="str">
        <f>$F$6&amp;-6</f>
        <v>Chuck-6</v>
      </c>
      <c r="Q29" s="58" t="str">
        <f t="shared" si="3"/>
        <v>Key</v>
      </c>
      <c r="R29" s="58"/>
      <c r="S29" s="58" t="str">
        <f>$G$9</f>
        <v>Naproom</v>
      </c>
      <c r="T29" s="58" t="str">
        <f>$C$4</f>
        <v>Chuck</v>
      </c>
      <c r="U29" s="58" t="s">
        <v>69</v>
      </c>
      <c r="V29" s="58" t="s">
        <v>115</v>
      </c>
      <c r="W29" s="58">
        <v>3</v>
      </c>
      <c r="X29" s="58">
        <f>VLOOKUP(Table5[[#This Row],[Location]],$G$4:$H$11,2,FALSE)+4</f>
        <v>6</v>
      </c>
      <c r="Y29" s="58"/>
      <c r="Z29" s="59" t="s">
        <v>125</v>
      </c>
    </row>
    <row r="30" spans="1:26" x14ac:dyDescent="0.2">
      <c r="C30" s="53"/>
      <c r="D30" s="53"/>
      <c r="E30" s="53"/>
      <c r="F30" s="53"/>
      <c r="G30" s="53"/>
      <c r="H30" s="53"/>
      <c r="I30" s="53"/>
      <c r="J30" s="53"/>
      <c r="K30" s="53" t="s">
        <v>85</v>
      </c>
      <c r="L30" s="53"/>
      <c r="M30" s="53"/>
      <c r="O30" s="57">
        <v>27</v>
      </c>
      <c r="P30" s="58" t="str">
        <f>$F$6&amp;-7</f>
        <v>Chuck-7</v>
      </c>
      <c r="Q30" s="58" t="str">
        <f t="shared" si="3"/>
        <v>Key</v>
      </c>
      <c r="R30" s="58"/>
      <c r="S30" s="58" t="str">
        <f>$G$10</f>
        <v>Office</v>
      </c>
      <c r="T30" s="58" t="str">
        <f>$C$5</f>
        <v>Plum</v>
      </c>
      <c r="U30" s="58" t="s">
        <v>70</v>
      </c>
      <c r="V30" s="58" t="s">
        <v>115</v>
      </c>
      <c r="W30" s="58" t="s">
        <v>124</v>
      </c>
      <c r="X30" s="58">
        <f>VLOOKUP(Table5[[#This Row],[Location]],$G$4:$H$11,2,FALSE)+4</f>
        <v>7</v>
      </c>
      <c r="Y30" s="58"/>
      <c r="Z30" s="59" t="s">
        <v>125</v>
      </c>
    </row>
    <row r="31" spans="1:26" x14ac:dyDescent="0.2">
      <c r="C31" s="53"/>
      <c r="D31" s="53"/>
      <c r="E31" s="53"/>
      <c r="F31" s="53"/>
      <c r="G31" s="53"/>
      <c r="H31" s="53"/>
      <c r="I31" s="53"/>
      <c r="J31" s="53"/>
      <c r="K31" s="53" t="s">
        <v>86</v>
      </c>
      <c r="L31" s="53"/>
      <c r="M31" s="53"/>
      <c r="O31" s="57">
        <v>28</v>
      </c>
      <c r="P31" s="58" t="str">
        <f>$F$6&amp;-8</f>
        <v>Chuck-8</v>
      </c>
      <c r="Q31" s="58" t="str">
        <f>$L$5</f>
        <v>Side</v>
      </c>
      <c r="R31" s="58"/>
      <c r="S31" s="58" t="str">
        <f>$G$11</f>
        <v>Storage</v>
      </c>
      <c r="T31" s="58" t="str">
        <f>$C$4</f>
        <v>Chuck</v>
      </c>
      <c r="U31" s="58" t="s">
        <v>71</v>
      </c>
      <c r="V31" s="58" t="s">
        <v>115</v>
      </c>
      <c r="W31" s="58" t="s">
        <v>124</v>
      </c>
      <c r="X31" s="58">
        <f>VLOOKUP(Table5[[#This Row],[Location]],$G$4:$H$11,2,FALSE)+4</f>
        <v>7</v>
      </c>
      <c r="Y31" s="58"/>
      <c r="Z31" s="59" t="s">
        <v>125</v>
      </c>
    </row>
    <row r="32" spans="1:26" x14ac:dyDescent="0.2">
      <c r="C32" s="53"/>
      <c r="D32" s="53"/>
      <c r="E32" s="53"/>
      <c r="F32" s="53"/>
      <c r="G32" s="53"/>
      <c r="H32" s="53"/>
      <c r="I32" s="53"/>
      <c r="J32" s="53"/>
      <c r="K32" s="53" t="s">
        <v>87</v>
      </c>
      <c r="L32" s="53"/>
      <c r="M32" s="53"/>
      <c r="O32" s="57">
        <v>29</v>
      </c>
      <c r="P32" s="58" t="str">
        <f>$F$6&amp;-9</f>
        <v>Chuck-9</v>
      </c>
      <c r="Q32" s="58" t="str">
        <f>$L$5</f>
        <v>Side</v>
      </c>
      <c r="R32" s="58"/>
      <c r="S32" s="58" t="str">
        <f>$G$4</f>
        <v>Classroom</v>
      </c>
      <c r="T32" s="58" t="str">
        <f>$C$5</f>
        <v>Plum</v>
      </c>
      <c r="U32" s="58" t="s">
        <v>72</v>
      </c>
      <c r="V32" s="58" t="s">
        <v>115</v>
      </c>
      <c r="W32" s="58" t="s">
        <v>121</v>
      </c>
      <c r="X32" s="58">
        <f>VLOOKUP(Table5[[#This Row],[Location]],$G$4:$H$11,2,FALSE)+4</f>
        <v>4</v>
      </c>
      <c r="Y32" s="58"/>
      <c r="Z32" s="59" t="s">
        <v>125</v>
      </c>
    </row>
    <row r="33" spans="3:26" x14ac:dyDescent="0.2">
      <c r="C33" s="53"/>
      <c r="D33" s="53"/>
      <c r="E33" s="53"/>
      <c r="F33" s="53"/>
      <c r="G33" s="53"/>
      <c r="H33" s="53"/>
      <c r="I33" s="53"/>
      <c r="J33" s="53"/>
      <c r="K33" s="53" t="s">
        <v>88</v>
      </c>
      <c r="L33" s="53"/>
      <c r="M33" s="53"/>
      <c r="O33" s="57">
        <v>30</v>
      </c>
      <c r="P33" s="58" t="str">
        <f>$F$6&amp;-10</f>
        <v>Chuck-10</v>
      </c>
      <c r="Q33" s="58" t="str">
        <f>$L$5</f>
        <v>Side</v>
      </c>
      <c r="R33" s="58"/>
      <c r="S33" s="58" t="str">
        <f>$G$5</f>
        <v>Hallway1</v>
      </c>
      <c r="T33" s="58" t="str">
        <f>$C$6</f>
        <v>Jamie</v>
      </c>
      <c r="U33" s="58" t="s">
        <v>73</v>
      </c>
      <c r="V33" s="58" t="s">
        <v>115</v>
      </c>
      <c r="W33" s="58" t="s">
        <v>121</v>
      </c>
      <c r="X33" s="58">
        <f>VLOOKUP(Table5[[#This Row],[Location]],$G$4:$H$11,2,FALSE)+4</f>
        <v>5</v>
      </c>
      <c r="Y33" s="58"/>
      <c r="Z33" s="59" t="s">
        <v>125</v>
      </c>
    </row>
    <row r="34" spans="3:26" x14ac:dyDescent="0.2">
      <c r="C34" s="53"/>
      <c r="D34" s="53"/>
      <c r="E34" s="53"/>
      <c r="F34" s="53"/>
      <c r="G34" s="53"/>
      <c r="H34" s="53"/>
      <c r="I34" s="53"/>
      <c r="J34" s="53"/>
      <c r="K34" s="53" t="s">
        <v>89</v>
      </c>
      <c r="L34" s="53"/>
      <c r="M34" s="53"/>
      <c r="O34" s="57">
        <v>31</v>
      </c>
      <c r="P34" s="58" t="str">
        <f>$F$7&amp;-1</f>
        <v>Plum-1</v>
      </c>
      <c r="Q34" s="58" t="str">
        <f t="shared" ref="Q34:Q40" si="4">$L$4</f>
        <v>Key</v>
      </c>
      <c r="R34" s="58"/>
      <c r="S34" s="58" t="str">
        <f>$G$4</f>
        <v>Classroom</v>
      </c>
      <c r="T34" s="58" t="str">
        <f>$C$4</f>
        <v>Chuck</v>
      </c>
      <c r="U34" s="58" t="s">
        <v>28</v>
      </c>
      <c r="V34" s="58" t="s">
        <v>117</v>
      </c>
      <c r="W34" s="58">
        <v>4</v>
      </c>
      <c r="X34" s="58">
        <f>VLOOKUP(Table5[[#This Row],[Location]],$G$4:$H$11,2,FALSE)+4</f>
        <v>4</v>
      </c>
      <c r="Y34" s="58"/>
      <c r="Z34" s="59" t="s">
        <v>125</v>
      </c>
    </row>
    <row r="35" spans="3:26" x14ac:dyDescent="0.2">
      <c r="C35" s="53"/>
      <c r="D35" s="53"/>
      <c r="E35" s="53"/>
      <c r="F35" s="53"/>
      <c r="G35" s="53"/>
      <c r="H35" s="53"/>
      <c r="I35" s="53"/>
      <c r="J35" s="53"/>
      <c r="K35" s="53" t="s">
        <v>90</v>
      </c>
      <c r="L35" s="53"/>
      <c r="M35" s="53"/>
      <c r="O35" s="57">
        <v>32</v>
      </c>
      <c r="P35" s="58" t="str">
        <f>$F$7&amp;-2</f>
        <v>Plum-2</v>
      </c>
      <c r="Q35" s="58" t="str">
        <f t="shared" si="4"/>
        <v>Key</v>
      </c>
      <c r="R35" s="58"/>
      <c r="S35" s="58" t="str">
        <f>$G$11</f>
        <v>Storage</v>
      </c>
      <c r="T35" s="58" t="str">
        <f>$C$5</f>
        <v>Plum</v>
      </c>
      <c r="U35" s="58" t="s">
        <v>33</v>
      </c>
      <c r="V35" s="58" t="s">
        <v>117</v>
      </c>
      <c r="W35" s="58" t="s">
        <v>123</v>
      </c>
      <c r="X35" s="58">
        <f>VLOOKUP(Table5[[#This Row],[Location]],$G$4:$H$11,2,FALSE)+4</f>
        <v>7</v>
      </c>
      <c r="Y35" s="58"/>
      <c r="Z35" s="59" t="s">
        <v>125</v>
      </c>
    </row>
    <row r="36" spans="3:26" x14ac:dyDescent="0.2">
      <c r="C36" s="53"/>
      <c r="D36" s="53"/>
      <c r="E36" s="53"/>
      <c r="F36" s="53"/>
      <c r="G36" s="53"/>
      <c r="H36" s="53"/>
      <c r="I36" s="53"/>
      <c r="J36" s="53"/>
      <c r="K36" s="53" t="s">
        <v>91</v>
      </c>
      <c r="L36" s="53"/>
      <c r="M36" s="53"/>
      <c r="O36" s="57">
        <v>33</v>
      </c>
      <c r="P36" s="58" t="str">
        <f>$F$7&amp;-3</f>
        <v>Plum-3</v>
      </c>
      <c r="Q36" s="58" t="str">
        <f t="shared" si="4"/>
        <v>Key</v>
      </c>
      <c r="R36" s="58"/>
      <c r="S36" s="58" t="str">
        <f>$G$6</f>
        <v>Hallway2</v>
      </c>
      <c r="T36" s="58" t="str">
        <f>$C$5</f>
        <v>Plum</v>
      </c>
      <c r="U36" s="58" t="s">
        <v>29</v>
      </c>
      <c r="V36" s="58" t="s">
        <v>113</v>
      </c>
      <c r="W36" s="58" t="s">
        <v>123</v>
      </c>
      <c r="X36" s="58">
        <f>VLOOKUP(Table5[[#This Row],[Location]],$G$4:$H$11,2,FALSE)+4</f>
        <v>5</v>
      </c>
      <c r="Y36" s="58"/>
      <c r="Z36" s="59" t="s">
        <v>125</v>
      </c>
    </row>
    <row r="37" spans="3:26" x14ac:dyDescent="0.2">
      <c r="C37" s="53"/>
      <c r="D37" s="53"/>
      <c r="E37" s="53"/>
      <c r="F37" s="53"/>
      <c r="G37" s="53"/>
      <c r="H37" s="53"/>
      <c r="I37" s="53"/>
      <c r="J37" s="53"/>
      <c r="K37" s="53" t="s">
        <v>92</v>
      </c>
      <c r="L37" s="53"/>
      <c r="M37" s="53"/>
      <c r="O37" s="57">
        <v>34</v>
      </c>
      <c r="P37" s="58" t="str">
        <f>$F$7&amp;-4</f>
        <v>Plum-4</v>
      </c>
      <c r="Q37" s="58" t="str">
        <f t="shared" si="4"/>
        <v>Key</v>
      </c>
      <c r="R37" s="58"/>
      <c r="S37" s="58" t="str">
        <f>$G$7</f>
        <v>Restroom</v>
      </c>
      <c r="T37" s="58" t="str">
        <f>$C$6</f>
        <v>Jamie</v>
      </c>
      <c r="U37" s="58" t="s">
        <v>74</v>
      </c>
      <c r="V37" s="58" t="s">
        <v>115</v>
      </c>
      <c r="W37" s="58" t="s">
        <v>123</v>
      </c>
      <c r="X37" s="58">
        <f>VLOOKUP(Table5[[#This Row],[Location]],$G$4:$H$11,2,FALSE)+4</f>
        <v>5</v>
      </c>
      <c r="Y37" s="58"/>
      <c r="Z37" s="59" t="s">
        <v>125</v>
      </c>
    </row>
    <row r="38" spans="3:26" x14ac:dyDescent="0.2">
      <c r="C38" s="53"/>
      <c r="D38" s="53"/>
      <c r="E38" s="53"/>
      <c r="F38" s="53"/>
      <c r="G38" s="53"/>
      <c r="H38" s="53"/>
      <c r="I38" s="53"/>
      <c r="J38" s="53"/>
      <c r="K38" s="53" t="s">
        <v>93</v>
      </c>
      <c r="L38" s="53"/>
      <c r="M38" s="53"/>
      <c r="O38" s="57">
        <v>35</v>
      </c>
      <c r="P38" s="58" t="str">
        <f>$F$7&amp;-5</f>
        <v>Plum-5</v>
      </c>
      <c r="Q38" s="58" t="str">
        <f t="shared" si="4"/>
        <v>Key</v>
      </c>
      <c r="R38" s="58"/>
      <c r="S38" s="58" t="str">
        <f>$G$8</f>
        <v>Playground</v>
      </c>
      <c r="T38" s="58" t="str">
        <f>$C$4</f>
        <v>Chuck</v>
      </c>
      <c r="U38" s="58" t="s">
        <v>75</v>
      </c>
      <c r="V38" s="58" t="s">
        <v>115</v>
      </c>
      <c r="W38" s="58" t="s">
        <v>123</v>
      </c>
      <c r="X38" s="58">
        <f>VLOOKUP(Table5[[#This Row],[Location]],$G$4:$H$11,2,FALSE)+4</f>
        <v>6</v>
      </c>
      <c r="Y38" s="58"/>
      <c r="Z38" s="59" t="s">
        <v>125</v>
      </c>
    </row>
    <row r="39" spans="3:26" x14ac:dyDescent="0.2">
      <c r="C39" s="53"/>
      <c r="D39" s="53"/>
      <c r="E39" s="53"/>
      <c r="F39" s="53"/>
      <c r="G39" s="53"/>
      <c r="H39" s="53"/>
      <c r="I39" s="53"/>
      <c r="J39" s="53"/>
      <c r="K39" s="53" t="s">
        <v>94</v>
      </c>
      <c r="L39" s="53"/>
      <c r="M39" s="53"/>
      <c r="O39" s="57">
        <v>36</v>
      </c>
      <c r="P39" s="58" t="str">
        <f>$F$7&amp;-6</f>
        <v>Plum-6</v>
      </c>
      <c r="Q39" s="58" t="str">
        <f t="shared" si="4"/>
        <v>Key</v>
      </c>
      <c r="R39" s="58"/>
      <c r="S39" s="58" t="str">
        <f>$G$9</f>
        <v>Naproom</v>
      </c>
      <c r="T39" s="58" t="str">
        <f>$C$6</f>
        <v>Jamie</v>
      </c>
      <c r="U39" s="58" t="s">
        <v>76</v>
      </c>
      <c r="V39" s="58" t="s">
        <v>115</v>
      </c>
      <c r="W39" s="58" t="s">
        <v>121</v>
      </c>
      <c r="X39" s="58">
        <f>VLOOKUP(Table5[[#This Row],[Location]],$G$4:$H$11,2,FALSE)+4</f>
        <v>6</v>
      </c>
      <c r="Y39" s="58"/>
      <c r="Z39" s="59" t="s">
        <v>125</v>
      </c>
    </row>
    <row r="40" spans="3:26" x14ac:dyDescent="0.2">
      <c r="C40" s="53"/>
      <c r="D40" s="53"/>
      <c r="E40" s="53"/>
      <c r="F40" s="53"/>
      <c r="G40" s="53"/>
      <c r="H40" s="53"/>
      <c r="I40" s="53"/>
      <c r="J40" s="53"/>
      <c r="K40" s="53" t="s">
        <v>95</v>
      </c>
      <c r="L40" s="53"/>
      <c r="M40" s="53"/>
      <c r="O40" s="57">
        <v>37</v>
      </c>
      <c r="P40" s="58" t="str">
        <f>$F$7&amp;-7</f>
        <v>Plum-7</v>
      </c>
      <c r="Q40" s="58" t="str">
        <f t="shared" si="4"/>
        <v>Key</v>
      </c>
      <c r="R40" s="58"/>
      <c r="S40" s="58" t="str">
        <f>$G$10</f>
        <v>Office</v>
      </c>
      <c r="T40" s="58" t="str">
        <f>$C$6</f>
        <v>Jamie</v>
      </c>
      <c r="U40" s="58" t="s">
        <v>77</v>
      </c>
      <c r="V40" s="58" t="s">
        <v>115</v>
      </c>
      <c r="W40" s="58" t="s">
        <v>121</v>
      </c>
      <c r="X40" s="58">
        <f>VLOOKUP(Table5[[#This Row],[Location]],$G$4:$H$11,2,FALSE)+4</f>
        <v>7</v>
      </c>
      <c r="Y40" s="58"/>
      <c r="Z40" s="59" t="s">
        <v>125</v>
      </c>
    </row>
    <row r="41" spans="3:26" x14ac:dyDescent="0.2">
      <c r="C41" s="53"/>
      <c r="D41" s="53"/>
      <c r="E41" s="53"/>
      <c r="F41" s="53"/>
      <c r="G41" s="53"/>
      <c r="H41" s="53"/>
      <c r="I41" s="53"/>
      <c r="J41" s="53"/>
      <c r="K41" s="53" t="s">
        <v>96</v>
      </c>
      <c r="L41" s="53"/>
      <c r="M41" s="53"/>
      <c r="O41" s="57">
        <v>38</v>
      </c>
      <c r="P41" s="58" t="str">
        <f>$F$7&amp;-8</f>
        <v>Plum-8</v>
      </c>
      <c r="Q41" s="58" t="str">
        <f>$L$5</f>
        <v>Side</v>
      </c>
      <c r="R41" s="58"/>
      <c r="S41" s="58" t="str">
        <f>$G$11</f>
        <v>Storage</v>
      </c>
      <c r="T41" s="58" t="str">
        <f>$C$4</f>
        <v>Chuck</v>
      </c>
      <c r="U41" s="58" t="s">
        <v>78</v>
      </c>
      <c r="V41" s="58" t="s">
        <v>115</v>
      </c>
      <c r="W41" s="58">
        <v>4</v>
      </c>
      <c r="X41" s="58">
        <f>VLOOKUP(Table5[[#This Row],[Location]],$G$4:$H$11,2,FALSE)+4</f>
        <v>7</v>
      </c>
      <c r="Y41" s="58"/>
      <c r="Z41" s="59" t="s">
        <v>125</v>
      </c>
    </row>
    <row r="42" spans="3:26" x14ac:dyDescent="0.2">
      <c r="C42" s="53"/>
      <c r="D42" s="53"/>
      <c r="E42" s="53"/>
      <c r="F42" s="53"/>
      <c r="G42" s="53"/>
      <c r="H42" s="53"/>
      <c r="I42" s="53"/>
      <c r="J42" s="53"/>
      <c r="K42" s="53" t="s">
        <v>97</v>
      </c>
      <c r="L42" s="53"/>
      <c r="M42" s="53"/>
      <c r="O42" s="57">
        <v>39</v>
      </c>
      <c r="P42" s="58" t="str">
        <f>$F$7&amp;-9</f>
        <v>Plum-9</v>
      </c>
      <c r="Q42" s="58" t="str">
        <f>$L$5</f>
        <v>Side</v>
      </c>
      <c r="R42" s="58" t="str">
        <f>P37</f>
        <v>Plum-4</v>
      </c>
      <c r="S42" s="58" t="str">
        <f>$G$9</f>
        <v>Naproom</v>
      </c>
      <c r="T42" s="58" t="str">
        <f>$C$5</f>
        <v>Plum</v>
      </c>
      <c r="U42" s="58" t="s">
        <v>27</v>
      </c>
      <c r="V42" s="58" t="s">
        <v>117</v>
      </c>
      <c r="W42" s="58" t="s">
        <v>121</v>
      </c>
      <c r="X42" s="58">
        <f>VLOOKUP(Table5[[#This Row],[Location]],$G$4:$H$11,2,FALSE)+4</f>
        <v>6</v>
      </c>
      <c r="Y42" s="58"/>
      <c r="Z42" s="59" t="s">
        <v>125</v>
      </c>
    </row>
    <row r="43" spans="3:26" x14ac:dyDescent="0.2">
      <c r="C43" s="53"/>
      <c r="D43" s="53"/>
      <c r="E43" s="53"/>
      <c r="F43" s="53"/>
      <c r="G43" s="53"/>
      <c r="H43" s="53"/>
      <c r="I43" s="53"/>
      <c r="J43" s="53"/>
      <c r="K43" s="53" t="s">
        <v>98</v>
      </c>
      <c r="L43" s="53"/>
      <c r="M43" s="53"/>
      <c r="O43" s="57">
        <v>40</v>
      </c>
      <c r="P43" s="58" t="str">
        <f>$F$7&amp;-10</f>
        <v>Plum-10</v>
      </c>
      <c r="Q43" s="58" t="str">
        <f>$L$5</f>
        <v>Side</v>
      </c>
      <c r="R43" s="58"/>
      <c r="S43" s="58" t="str">
        <f>$G$6</f>
        <v>Hallway2</v>
      </c>
      <c r="T43" s="58" t="str">
        <f>$C$4</f>
        <v>Chuck</v>
      </c>
      <c r="U43" s="58" t="s">
        <v>35</v>
      </c>
      <c r="V43" s="58" t="s">
        <v>113</v>
      </c>
      <c r="W43" s="58">
        <v>4</v>
      </c>
      <c r="X43" s="58">
        <f>VLOOKUP(Table5[[#This Row],[Location]],$G$4:$H$11,2,FALSE)+4</f>
        <v>5</v>
      </c>
      <c r="Y43" s="58"/>
      <c r="Z43" s="59" t="s">
        <v>125</v>
      </c>
    </row>
    <row r="44" spans="3:26" x14ac:dyDescent="0.2">
      <c r="O44" s="57">
        <v>41</v>
      </c>
      <c r="P44" s="58" t="str">
        <f>$F$8&amp;-1</f>
        <v>Jamie-1</v>
      </c>
      <c r="Q44" s="58" t="str">
        <f t="shared" ref="Q44:Q50" si="5">$L$4</f>
        <v>Key</v>
      </c>
      <c r="R44" s="58" t="str">
        <f>P45</f>
        <v>Jamie-2</v>
      </c>
      <c r="S44" s="58" t="str">
        <f>$G$4</f>
        <v>Classroom</v>
      </c>
      <c r="T44" s="58" t="str">
        <f>$C$5</f>
        <v>Plum</v>
      </c>
      <c r="U44" s="58" t="s">
        <v>23</v>
      </c>
      <c r="V44" s="58" t="s">
        <v>117</v>
      </c>
      <c r="W44" s="58">
        <v>5</v>
      </c>
      <c r="X44" s="58">
        <f>VLOOKUP(Table5[[#This Row],[Location]],$G$4:$H$11,2,FALSE)+4</f>
        <v>4</v>
      </c>
      <c r="Y44" s="58"/>
      <c r="Z44" s="59" t="s">
        <v>125</v>
      </c>
    </row>
    <row r="45" spans="3:26" x14ac:dyDescent="0.2">
      <c r="O45" s="57">
        <v>42</v>
      </c>
      <c r="P45" s="58" t="str">
        <f>$F$8&amp;-2</f>
        <v>Jamie-2</v>
      </c>
      <c r="Q45" s="58" t="str">
        <f t="shared" si="5"/>
        <v>Key</v>
      </c>
      <c r="R45" s="58"/>
      <c r="S45" s="58" t="str">
        <f>$G$5</f>
        <v>Hallway1</v>
      </c>
      <c r="T45" s="58" t="str">
        <f>$C$6</f>
        <v>Jamie</v>
      </c>
      <c r="U45" s="58" t="s">
        <v>79</v>
      </c>
      <c r="V45" s="58" t="s">
        <v>115</v>
      </c>
      <c r="W45" s="58" t="s">
        <v>122</v>
      </c>
      <c r="X45" s="58">
        <f>VLOOKUP(Table5[[#This Row],[Location]],$G$4:$H$11,2,FALSE)+4</f>
        <v>5</v>
      </c>
      <c r="Y45" s="58"/>
      <c r="Z45" s="59" t="s">
        <v>125</v>
      </c>
    </row>
    <row r="46" spans="3:26" x14ac:dyDescent="0.2">
      <c r="O46" s="57">
        <v>43</v>
      </c>
      <c r="P46" s="58" t="str">
        <f>$F$8&amp;-3</f>
        <v>Jamie-3</v>
      </c>
      <c r="Q46" s="58" t="str">
        <f t="shared" si="5"/>
        <v>Key</v>
      </c>
      <c r="R46" s="58"/>
      <c r="S46" s="58" t="str">
        <f>$G$11</f>
        <v>Storage</v>
      </c>
      <c r="T46" s="58" t="str">
        <f>$C$4</f>
        <v>Chuck</v>
      </c>
      <c r="U46" s="58" t="s">
        <v>80</v>
      </c>
      <c r="V46" s="58" t="s">
        <v>115</v>
      </c>
      <c r="W46" s="58">
        <v>5</v>
      </c>
      <c r="X46" s="58">
        <f>VLOOKUP(Table5[[#This Row],[Location]],$G$4:$H$11,2,FALSE)+4</f>
        <v>7</v>
      </c>
      <c r="Y46" s="58"/>
      <c r="Z46" s="59" t="s">
        <v>125</v>
      </c>
    </row>
    <row r="47" spans="3:26" x14ac:dyDescent="0.2">
      <c r="O47" s="57">
        <v>44</v>
      </c>
      <c r="P47" s="58" t="str">
        <f>$F$8&amp;-4</f>
        <v>Jamie-4</v>
      </c>
      <c r="Q47" s="58" t="str">
        <f t="shared" si="5"/>
        <v>Key</v>
      </c>
      <c r="R47" s="58"/>
      <c r="S47" s="58" t="str">
        <f>$G$7</f>
        <v>Restroom</v>
      </c>
      <c r="T47" s="58" t="str">
        <f>$C$5</f>
        <v>Plum</v>
      </c>
      <c r="U47" s="58" t="s">
        <v>81</v>
      </c>
      <c r="V47" s="58" t="s">
        <v>115</v>
      </c>
      <c r="W47" s="58">
        <v>5</v>
      </c>
      <c r="X47" s="58">
        <f>VLOOKUP(Table5[[#This Row],[Location]],$G$4:$H$11,2,FALSE)+4</f>
        <v>5</v>
      </c>
      <c r="Y47" s="58"/>
      <c r="Z47" s="59" t="s">
        <v>125</v>
      </c>
    </row>
    <row r="48" spans="3:26" x14ac:dyDescent="0.2">
      <c r="O48" s="57">
        <v>45</v>
      </c>
      <c r="P48" s="58" t="str">
        <f>$F$8&amp;-5</f>
        <v>Jamie-5</v>
      </c>
      <c r="Q48" s="58" t="str">
        <f t="shared" si="5"/>
        <v>Key</v>
      </c>
      <c r="R48" s="58"/>
      <c r="S48" s="58" t="str">
        <f>$G$8</f>
        <v>Playground</v>
      </c>
      <c r="T48" s="58" t="str">
        <f>$C$5</f>
        <v>Plum</v>
      </c>
      <c r="U48" s="58" t="s">
        <v>82</v>
      </c>
      <c r="V48" s="58" t="s">
        <v>115</v>
      </c>
      <c r="W48" s="58" t="s">
        <v>121</v>
      </c>
      <c r="X48" s="58">
        <f>VLOOKUP(Table5[[#This Row],[Location]],$G$4:$H$11,2,FALSE)+4</f>
        <v>6</v>
      </c>
      <c r="Y48" s="58"/>
      <c r="Z48" s="59" t="s">
        <v>125</v>
      </c>
    </row>
    <row r="49" spans="15:26" x14ac:dyDescent="0.2">
      <c r="O49" s="57">
        <v>46</v>
      </c>
      <c r="P49" s="58" t="str">
        <f>$F$8&amp;-6</f>
        <v>Jamie-6</v>
      </c>
      <c r="Q49" s="58" t="str">
        <f t="shared" si="5"/>
        <v>Key</v>
      </c>
      <c r="R49" s="58"/>
      <c r="S49" s="58" t="str">
        <f>$G$9</f>
        <v>Naproom</v>
      </c>
      <c r="T49" s="58" t="str">
        <f>$C$6</f>
        <v>Jamie</v>
      </c>
      <c r="U49" s="58" t="s">
        <v>83</v>
      </c>
      <c r="V49" s="58" t="s">
        <v>115</v>
      </c>
      <c r="W49" s="58" t="s">
        <v>121</v>
      </c>
      <c r="X49" s="58">
        <f>VLOOKUP(Table5[[#This Row],[Location]],$G$4:$H$11,2,FALSE)+4</f>
        <v>6</v>
      </c>
      <c r="Y49" s="58"/>
      <c r="Z49" s="59" t="s">
        <v>125</v>
      </c>
    </row>
    <row r="50" spans="15:26" x14ac:dyDescent="0.2">
      <c r="O50" s="57">
        <v>47</v>
      </c>
      <c r="P50" s="58" t="str">
        <f>$F$8&amp;-7</f>
        <v>Jamie-7</v>
      </c>
      <c r="Q50" s="58" t="str">
        <f t="shared" si="5"/>
        <v>Key</v>
      </c>
      <c r="R50" s="58" t="str">
        <f>P48</f>
        <v>Jamie-5</v>
      </c>
      <c r="S50" s="58" t="str">
        <f>$G$10</f>
        <v>Office</v>
      </c>
      <c r="T50" s="58" t="str">
        <f>$C$4</f>
        <v>Chuck</v>
      </c>
      <c r="U50" s="58" t="s">
        <v>19</v>
      </c>
      <c r="V50" s="58" t="s">
        <v>113</v>
      </c>
      <c r="W50" s="58">
        <v>5</v>
      </c>
      <c r="X50" s="58">
        <f>VLOOKUP(Table5[[#This Row],[Location]],$G$4:$H$11,2,FALSE)+4</f>
        <v>7</v>
      </c>
      <c r="Y50" s="58"/>
      <c r="Z50" s="59" t="s">
        <v>125</v>
      </c>
    </row>
    <row r="51" spans="15:26" x14ac:dyDescent="0.2">
      <c r="O51" s="57">
        <v>48</v>
      </c>
      <c r="P51" s="58" t="str">
        <f>$F$8&amp;-8</f>
        <v>Jamie-8</v>
      </c>
      <c r="Q51" s="58" t="str">
        <f>$L$5</f>
        <v>Side</v>
      </c>
      <c r="R51" s="58"/>
      <c r="S51" s="58" t="str">
        <f>$G$11</f>
        <v>Storage</v>
      </c>
      <c r="T51" s="58" t="str">
        <f>$C$6</f>
        <v>Jamie</v>
      </c>
      <c r="U51" s="58" t="s">
        <v>37</v>
      </c>
      <c r="V51" s="58" t="s">
        <v>113</v>
      </c>
      <c r="W51" s="58">
        <v>5</v>
      </c>
      <c r="X51" s="58">
        <f>VLOOKUP(Table5[[#This Row],[Location]],$G$4:$H$11,2,FALSE)+4</f>
        <v>7</v>
      </c>
      <c r="Y51" s="58"/>
      <c r="Z51" s="59" t="s">
        <v>125</v>
      </c>
    </row>
    <row r="52" spans="15:26" x14ac:dyDescent="0.2">
      <c r="O52" s="57">
        <v>49</v>
      </c>
      <c r="P52" s="58" t="str">
        <f>$F$8&amp;-9</f>
        <v>Jamie-9</v>
      </c>
      <c r="Q52" s="58" t="str">
        <f>$L$5</f>
        <v>Side</v>
      </c>
      <c r="R52" s="58" t="str">
        <f>P47</f>
        <v>Jamie-4</v>
      </c>
      <c r="S52" s="58" t="str">
        <f>$G$4</f>
        <v>Classroom</v>
      </c>
      <c r="T52" s="58" t="str">
        <f>$C$6</f>
        <v>Jamie</v>
      </c>
      <c r="U52" s="58" t="s">
        <v>22</v>
      </c>
      <c r="V52" s="58" t="s">
        <v>117</v>
      </c>
      <c r="W52" s="58" t="s">
        <v>122</v>
      </c>
      <c r="X52" s="58">
        <f>VLOOKUP(Table5[[#This Row],[Location]],$G$4:$H$11,2,FALSE)+4</f>
        <v>4</v>
      </c>
      <c r="Y52" s="58"/>
      <c r="Z52" s="59" t="s">
        <v>125</v>
      </c>
    </row>
    <row r="53" spans="15:26" x14ac:dyDescent="0.2">
      <c r="O53" s="57">
        <v>50</v>
      </c>
      <c r="P53" s="58" t="str">
        <f>$F$8&amp;-10</f>
        <v>Jamie-10</v>
      </c>
      <c r="Q53" s="58" t="str">
        <f>$L$5</f>
        <v>Side</v>
      </c>
      <c r="R53" s="58" t="str">
        <f>P49</f>
        <v>Jamie-6</v>
      </c>
      <c r="S53" s="58" t="str">
        <f>$G$10</f>
        <v>Office</v>
      </c>
      <c r="T53" s="58" t="str">
        <f>$C$4</f>
        <v>Chuck</v>
      </c>
      <c r="U53" s="58" t="s">
        <v>16</v>
      </c>
      <c r="V53" s="58" t="s">
        <v>117</v>
      </c>
      <c r="W53" s="58" t="s">
        <v>121</v>
      </c>
      <c r="X53" s="58">
        <f>VLOOKUP(Table5[[#This Row],[Location]],$G$4:$H$11,2,FALSE)+4</f>
        <v>7</v>
      </c>
      <c r="Y53" s="58"/>
      <c r="Z53" s="59" t="s">
        <v>125</v>
      </c>
    </row>
    <row r="54" spans="15:26" x14ac:dyDescent="0.2">
      <c r="O54" s="57">
        <v>51</v>
      </c>
      <c r="P54" s="58" t="str">
        <f>$F$9&amp;-1</f>
        <v>Emi-1</v>
      </c>
      <c r="Q54" s="58" t="str">
        <f t="shared" ref="Q54:Q60" si="6">$L$4</f>
        <v>Key</v>
      </c>
      <c r="R54" s="58"/>
      <c r="S54" s="58" t="str">
        <f>$G$4</f>
        <v>Classroom</v>
      </c>
      <c r="T54" s="58" t="str">
        <f>$C$5</f>
        <v>Plum</v>
      </c>
      <c r="U54" s="58" t="s">
        <v>84</v>
      </c>
      <c r="V54" s="58" t="s">
        <v>115</v>
      </c>
      <c r="W54" s="58">
        <v>6</v>
      </c>
      <c r="X54" s="58">
        <f>VLOOKUP(Table5[[#This Row],[Location]],$G$4:$H$11,2,FALSE)+4</f>
        <v>4</v>
      </c>
      <c r="Y54" s="58"/>
      <c r="Z54" s="59" t="s">
        <v>125</v>
      </c>
    </row>
    <row r="55" spans="15:26" x14ac:dyDescent="0.2">
      <c r="O55" s="57">
        <v>52</v>
      </c>
      <c r="P55" s="58" t="str">
        <f>$F$9&amp;-2</f>
        <v>Emi-2</v>
      </c>
      <c r="Q55" s="58" t="str">
        <f t="shared" si="6"/>
        <v>Key</v>
      </c>
      <c r="R55" s="58"/>
      <c r="S55" s="58" t="str">
        <f>$G$11</f>
        <v>Storage</v>
      </c>
      <c r="T55" s="58" t="str">
        <f>$C$4</f>
        <v>Chuck</v>
      </c>
      <c r="U55" s="58" t="s">
        <v>85</v>
      </c>
      <c r="V55" s="58" t="s">
        <v>115</v>
      </c>
      <c r="W55" s="58" t="s">
        <v>121</v>
      </c>
      <c r="X55" s="58">
        <f>VLOOKUP(Table5[[#This Row],[Location]],$G$4:$H$11,2,FALSE)+4</f>
        <v>7</v>
      </c>
      <c r="Y55" s="58"/>
      <c r="Z55" s="59" t="s">
        <v>125</v>
      </c>
    </row>
    <row r="56" spans="15:26" x14ac:dyDescent="0.2">
      <c r="O56" s="57">
        <v>53</v>
      </c>
      <c r="P56" s="58" t="str">
        <f>$F$9&amp;-3</f>
        <v>Emi-3</v>
      </c>
      <c r="Q56" s="58" t="str">
        <f t="shared" si="6"/>
        <v>Key</v>
      </c>
      <c r="R56" s="58"/>
      <c r="S56" s="58" t="str">
        <f>$G$6</f>
        <v>Hallway2</v>
      </c>
      <c r="T56" s="58" t="str">
        <f>$C$5</f>
        <v>Plum</v>
      </c>
      <c r="U56" s="58" t="s">
        <v>86</v>
      </c>
      <c r="V56" s="58" t="s">
        <v>115</v>
      </c>
      <c r="W56" s="58" t="s">
        <v>122</v>
      </c>
      <c r="X56" s="58">
        <f>VLOOKUP(Table5[[#This Row],[Location]],$G$4:$H$11,2,FALSE)+4</f>
        <v>5</v>
      </c>
      <c r="Y56" s="58"/>
      <c r="Z56" s="59" t="s">
        <v>125</v>
      </c>
    </row>
    <row r="57" spans="15:26" x14ac:dyDescent="0.2">
      <c r="O57" s="57">
        <v>54</v>
      </c>
      <c r="P57" s="58" t="str">
        <f>$F$9&amp;-4</f>
        <v>Emi-4</v>
      </c>
      <c r="Q57" s="58" t="str">
        <f t="shared" si="6"/>
        <v>Key</v>
      </c>
      <c r="R57" s="58"/>
      <c r="S57" s="58" t="str">
        <f>$G$7</f>
        <v>Restroom</v>
      </c>
      <c r="T57" s="58" t="str">
        <f>$C$6</f>
        <v>Jamie</v>
      </c>
      <c r="U57" s="58" t="s">
        <v>87</v>
      </c>
      <c r="V57" s="58" t="s">
        <v>115</v>
      </c>
      <c r="W57" s="58" t="s">
        <v>121</v>
      </c>
      <c r="X57" s="58">
        <f>VLOOKUP(Table5[[#This Row],[Location]],$G$4:$H$11,2,FALSE)+4</f>
        <v>5</v>
      </c>
      <c r="Y57" s="58"/>
      <c r="Z57" s="59" t="s">
        <v>125</v>
      </c>
    </row>
    <row r="58" spans="15:26" x14ac:dyDescent="0.2">
      <c r="O58" s="57">
        <v>55</v>
      </c>
      <c r="P58" s="58" t="str">
        <f>$F$9&amp;-5</f>
        <v>Emi-5</v>
      </c>
      <c r="Q58" s="58" t="str">
        <f t="shared" si="6"/>
        <v>Key</v>
      </c>
      <c r="R58" s="58"/>
      <c r="S58" s="58" t="str">
        <f>$G$8</f>
        <v>Playground</v>
      </c>
      <c r="T58" s="58" t="str">
        <f>$C$4</f>
        <v>Chuck</v>
      </c>
      <c r="U58" s="58" t="s">
        <v>88</v>
      </c>
      <c r="V58" s="58" t="s">
        <v>115</v>
      </c>
      <c r="W58" s="58" t="s">
        <v>121</v>
      </c>
      <c r="X58" s="58">
        <f>VLOOKUP(Table5[[#This Row],[Location]],$G$4:$H$11,2,FALSE)+4</f>
        <v>6</v>
      </c>
      <c r="Y58" s="58"/>
      <c r="Z58" s="59" t="s">
        <v>125</v>
      </c>
    </row>
    <row r="59" spans="15:26" x14ac:dyDescent="0.2">
      <c r="O59" s="57">
        <v>56</v>
      </c>
      <c r="P59" s="58" t="str">
        <f>$F$9&amp;-6</f>
        <v>Emi-6</v>
      </c>
      <c r="Q59" s="58" t="str">
        <f t="shared" si="6"/>
        <v>Key</v>
      </c>
      <c r="R59" s="58" t="str">
        <f>P56</f>
        <v>Emi-3</v>
      </c>
      <c r="S59" s="58" t="str">
        <f>$G$9</f>
        <v>Naproom</v>
      </c>
      <c r="T59" s="58" t="str">
        <f>$C$5</f>
        <v>Plum</v>
      </c>
      <c r="U59" s="58" t="s">
        <v>25</v>
      </c>
      <c r="V59" s="58" t="s">
        <v>117</v>
      </c>
      <c r="W59" s="58">
        <v>6</v>
      </c>
      <c r="X59" s="58">
        <f>VLOOKUP(Table5[[#This Row],[Location]],$G$4:$H$11,2,FALSE)+4</f>
        <v>6</v>
      </c>
      <c r="Y59" s="58"/>
      <c r="Z59" s="59" t="s">
        <v>125</v>
      </c>
    </row>
    <row r="60" spans="15:26" x14ac:dyDescent="0.2">
      <c r="O60" s="57">
        <v>57</v>
      </c>
      <c r="P60" s="58" t="str">
        <f>$F$9&amp;-7</f>
        <v>Emi-7</v>
      </c>
      <c r="Q60" s="58" t="str">
        <f t="shared" si="6"/>
        <v>Key</v>
      </c>
      <c r="R60" s="58"/>
      <c r="S60" s="58" t="str">
        <f>$G$10</f>
        <v>Office</v>
      </c>
      <c r="T60" s="58" t="str">
        <f>$C$5</f>
        <v>Plum</v>
      </c>
      <c r="U60" s="58" t="s">
        <v>30</v>
      </c>
      <c r="V60" s="58" t="s">
        <v>113</v>
      </c>
      <c r="W60" s="58">
        <v>6</v>
      </c>
      <c r="X60" s="58">
        <f>VLOOKUP(Table5[[#This Row],[Location]],$G$4:$H$11,2,FALSE)+4</f>
        <v>7</v>
      </c>
      <c r="Y60" s="58"/>
      <c r="Z60" s="59" t="s">
        <v>125</v>
      </c>
    </row>
    <row r="61" spans="15:26" x14ac:dyDescent="0.2">
      <c r="O61" s="57">
        <v>58</v>
      </c>
      <c r="P61" s="58" t="str">
        <f>$F$9&amp;-8</f>
        <v>Emi-8</v>
      </c>
      <c r="Q61" s="58" t="str">
        <f>$L$5</f>
        <v>Side</v>
      </c>
      <c r="R61" s="58"/>
      <c r="S61" s="58" t="str">
        <f>$G$8</f>
        <v>Playground</v>
      </c>
      <c r="T61" s="58" t="str">
        <f>$C$6</f>
        <v>Jamie</v>
      </c>
      <c r="U61" s="58" t="s">
        <v>34</v>
      </c>
      <c r="V61" s="58" t="s">
        <v>113</v>
      </c>
      <c r="W61" s="58" t="s">
        <v>121</v>
      </c>
      <c r="X61" s="58">
        <f>VLOOKUP(Table5[[#This Row],[Location]],$G$4:$H$11,2,FALSE)+4</f>
        <v>6</v>
      </c>
      <c r="Y61" s="58"/>
      <c r="Z61" s="59" t="s">
        <v>125</v>
      </c>
    </row>
    <row r="62" spans="15:26" x14ac:dyDescent="0.2">
      <c r="O62" s="57">
        <v>59</v>
      </c>
      <c r="P62" s="58" t="str">
        <f>$F$9&amp;-9</f>
        <v>Emi-9</v>
      </c>
      <c r="Q62" s="58" t="str">
        <f>$L$5</f>
        <v>Side</v>
      </c>
      <c r="R62" s="58" t="str">
        <f>P61</f>
        <v>Emi-8</v>
      </c>
      <c r="S62" s="58" t="str">
        <f>$G$4</f>
        <v>Classroom</v>
      </c>
      <c r="T62" s="58" t="str">
        <f>$C$4</f>
        <v>Chuck</v>
      </c>
      <c r="U62" s="58" t="s">
        <v>27</v>
      </c>
      <c r="V62" s="58" t="s">
        <v>117</v>
      </c>
      <c r="W62" s="58">
        <v>6</v>
      </c>
      <c r="X62" s="58">
        <f>VLOOKUP(Table5[[#This Row],[Location]],$G$4:$H$11,2,FALSE)+4</f>
        <v>4</v>
      </c>
      <c r="Y62" s="58"/>
      <c r="Z62" s="59" t="s">
        <v>125</v>
      </c>
    </row>
    <row r="63" spans="15:26" x14ac:dyDescent="0.2">
      <c r="O63" s="57">
        <v>60</v>
      </c>
      <c r="P63" s="58" t="str">
        <f>$F$9&amp;-10</f>
        <v>Emi-10</v>
      </c>
      <c r="Q63" s="58" t="str">
        <f>$L$5</f>
        <v>Side</v>
      </c>
      <c r="R63" s="58"/>
      <c r="S63" s="58" t="str">
        <f>$G$10</f>
        <v>Office</v>
      </c>
      <c r="T63" s="58" t="str">
        <f>$C$6</f>
        <v>Jamie</v>
      </c>
      <c r="U63" s="58" t="s">
        <v>33</v>
      </c>
      <c r="V63" s="58" t="s">
        <v>113</v>
      </c>
      <c r="W63" s="58" t="s">
        <v>121</v>
      </c>
      <c r="X63" s="58">
        <f>VLOOKUP(Table5[[#This Row],[Location]],$G$4:$H$11,2,FALSE)+4</f>
        <v>7</v>
      </c>
      <c r="Y63" s="58"/>
      <c r="Z63" s="59" t="s">
        <v>125</v>
      </c>
    </row>
    <row r="64" spans="15:26" x14ac:dyDescent="0.2">
      <c r="O64" s="57">
        <v>61</v>
      </c>
      <c r="P64" s="58" t="str">
        <f>$F$10&amp;-1</f>
        <v>Cole-1</v>
      </c>
      <c r="Q64" s="58" t="str">
        <f t="shared" ref="Q64:Q70" si="7">$L$4</f>
        <v>Key</v>
      </c>
      <c r="R64" s="58" t="str">
        <f>P68</f>
        <v>Cole-5</v>
      </c>
      <c r="S64" s="58" t="str">
        <f>$G$4</f>
        <v>Classroom</v>
      </c>
      <c r="T64" s="58" t="str">
        <f>$C$6</f>
        <v>Jamie</v>
      </c>
      <c r="U64" s="58" t="s">
        <v>20</v>
      </c>
      <c r="V64" s="58" t="s">
        <v>117</v>
      </c>
      <c r="W64" s="58">
        <v>3</v>
      </c>
      <c r="X64" s="58">
        <f>VLOOKUP(Table5[[#This Row],[Location]],$G$4:$H$11,2,FALSE)+4</f>
        <v>4</v>
      </c>
      <c r="Y64" s="58" t="s">
        <v>131</v>
      </c>
      <c r="Z64" s="59" t="s">
        <v>125</v>
      </c>
    </row>
    <row r="65" spans="15:26" x14ac:dyDescent="0.2">
      <c r="O65" s="57">
        <v>62</v>
      </c>
      <c r="P65" s="58" t="str">
        <f>$F$10&amp;-2</f>
        <v>Cole-2</v>
      </c>
      <c r="Q65" s="58" t="str">
        <f t="shared" si="7"/>
        <v>Key</v>
      </c>
      <c r="R65" s="58"/>
      <c r="S65" s="58" t="str">
        <f>$G$5</f>
        <v>Hallway1</v>
      </c>
      <c r="T65" s="58" t="str">
        <f>$C$4</f>
        <v>Chuck</v>
      </c>
      <c r="U65" s="58" t="s">
        <v>24</v>
      </c>
      <c r="V65" s="58" t="s">
        <v>113</v>
      </c>
      <c r="W65" s="58">
        <v>3</v>
      </c>
      <c r="X65" s="58">
        <f>VLOOKUP(Table5[[#This Row],[Location]],$G$4:$H$11,2,FALSE)+4</f>
        <v>5</v>
      </c>
      <c r="Y65" s="58" t="s">
        <v>131</v>
      </c>
      <c r="Z65" s="59" t="s">
        <v>125</v>
      </c>
    </row>
    <row r="66" spans="15:26" x14ac:dyDescent="0.2">
      <c r="O66" s="57">
        <v>63</v>
      </c>
      <c r="P66" s="58" t="str">
        <f>$F$10&amp;-3</f>
        <v>Cole-3</v>
      </c>
      <c r="Q66" s="58" t="str">
        <f t="shared" si="7"/>
        <v>Key</v>
      </c>
      <c r="R66" s="58" t="str">
        <f>P65</f>
        <v>Cole-2</v>
      </c>
      <c r="S66" s="58" t="str">
        <f>$G$11</f>
        <v>Storage</v>
      </c>
      <c r="T66" s="58" t="str">
        <f>$C$5</f>
        <v>Plum</v>
      </c>
      <c r="U66" s="58" t="s">
        <v>38</v>
      </c>
      <c r="V66" s="58" t="s">
        <v>117</v>
      </c>
      <c r="W66" s="58" t="s">
        <v>124</v>
      </c>
      <c r="X66" s="58">
        <f>VLOOKUP(Table5[[#This Row],[Location]],$G$4:$H$11,2,FALSE)+4</f>
        <v>7</v>
      </c>
      <c r="Y66" s="58" t="s">
        <v>131</v>
      </c>
      <c r="Z66" s="59" t="s">
        <v>125</v>
      </c>
    </row>
    <row r="67" spans="15:26" x14ac:dyDescent="0.2">
      <c r="O67" s="57">
        <v>64</v>
      </c>
      <c r="P67" s="58" t="str">
        <f>$F$10&amp;-4</f>
        <v>Cole-4</v>
      </c>
      <c r="Q67" s="58" t="str">
        <f t="shared" si="7"/>
        <v>Key</v>
      </c>
      <c r="R67" s="58" t="str">
        <f>P72</f>
        <v>Cole-9</v>
      </c>
      <c r="S67" s="58" t="str">
        <f>$G$7</f>
        <v>Restroom</v>
      </c>
      <c r="T67" s="58" t="str">
        <f>$C$4</f>
        <v>Chuck</v>
      </c>
      <c r="U67" s="58" t="s">
        <v>31</v>
      </c>
      <c r="V67" s="58" t="s">
        <v>117</v>
      </c>
      <c r="W67" s="58" t="s">
        <v>121</v>
      </c>
      <c r="X67" s="58">
        <f>VLOOKUP(Table5[[#This Row],[Location]],$G$4:$H$11,2,FALSE)+4</f>
        <v>5</v>
      </c>
      <c r="Y67" s="58" t="s">
        <v>131</v>
      </c>
      <c r="Z67" s="59" t="s">
        <v>125</v>
      </c>
    </row>
    <row r="68" spans="15:26" x14ac:dyDescent="0.2">
      <c r="O68" s="57">
        <v>65</v>
      </c>
      <c r="P68" s="58" t="str">
        <f>$F$10&amp;-5</f>
        <v>Cole-5</v>
      </c>
      <c r="Q68" s="58" t="str">
        <f t="shared" si="7"/>
        <v>Key</v>
      </c>
      <c r="R68" s="58"/>
      <c r="S68" s="58" t="str">
        <f>$G$8</f>
        <v>Playground</v>
      </c>
      <c r="T68" s="58" t="str">
        <f>$C$5</f>
        <v>Plum</v>
      </c>
      <c r="U68" s="58" t="s">
        <v>89</v>
      </c>
      <c r="V68" s="58" t="s">
        <v>115</v>
      </c>
      <c r="W68" s="58">
        <v>3</v>
      </c>
      <c r="X68" s="58">
        <f>VLOOKUP(Table5[[#This Row],[Location]],$G$4:$H$11,2,FALSE)+4</f>
        <v>6</v>
      </c>
      <c r="Y68" s="58" t="s">
        <v>131</v>
      </c>
      <c r="Z68" s="59" t="s">
        <v>125</v>
      </c>
    </row>
    <row r="69" spans="15:26" x14ac:dyDescent="0.2">
      <c r="O69" s="57">
        <v>66</v>
      </c>
      <c r="P69" s="58" t="str">
        <f>$F$10&amp;-6</f>
        <v>Cole-6</v>
      </c>
      <c r="Q69" s="58" t="str">
        <f t="shared" si="7"/>
        <v>Key</v>
      </c>
      <c r="R69" s="58"/>
      <c r="S69" s="58" t="str">
        <f>$G$9</f>
        <v>Naproom</v>
      </c>
      <c r="T69" s="58" t="str">
        <f>$C$6</f>
        <v>Jamie</v>
      </c>
      <c r="U69" s="58" t="s">
        <v>90</v>
      </c>
      <c r="V69" s="58" t="s">
        <v>115</v>
      </c>
      <c r="W69" s="58" t="s">
        <v>124</v>
      </c>
      <c r="X69" s="58">
        <f>VLOOKUP(Table5[[#This Row],[Location]],$G$4:$H$11,2,FALSE)+4</f>
        <v>6</v>
      </c>
      <c r="Y69" s="58" t="s">
        <v>131</v>
      </c>
      <c r="Z69" s="59" t="s">
        <v>125</v>
      </c>
    </row>
    <row r="70" spans="15:26" x14ac:dyDescent="0.2">
      <c r="O70" s="57">
        <v>67</v>
      </c>
      <c r="P70" s="58" t="str">
        <f>$F$10&amp;-7</f>
        <v>Cole-7</v>
      </c>
      <c r="Q70" s="58" t="str">
        <f t="shared" si="7"/>
        <v>Key</v>
      </c>
      <c r="R70" s="58"/>
      <c r="S70" s="58" t="str">
        <f>$G$10</f>
        <v>Office</v>
      </c>
      <c r="T70" s="58" t="str">
        <f>$C$4</f>
        <v>Chuck</v>
      </c>
      <c r="U70" s="58" t="s">
        <v>91</v>
      </c>
      <c r="V70" s="58" t="s">
        <v>115</v>
      </c>
      <c r="W70" s="58" t="s">
        <v>124</v>
      </c>
      <c r="X70" s="58">
        <f>VLOOKUP(Table5[[#This Row],[Location]],$G$4:$H$11,2,FALSE)+4</f>
        <v>7</v>
      </c>
      <c r="Y70" s="58" t="s">
        <v>131</v>
      </c>
      <c r="Z70" s="59" t="s">
        <v>125</v>
      </c>
    </row>
    <row r="71" spans="15:26" x14ac:dyDescent="0.2">
      <c r="O71" s="57">
        <v>68</v>
      </c>
      <c r="P71" s="58" t="str">
        <f>$F$10&amp;-8</f>
        <v>Cole-8</v>
      </c>
      <c r="Q71" s="58" t="str">
        <f>$L$5</f>
        <v>Side</v>
      </c>
      <c r="R71" s="58"/>
      <c r="S71" s="58" t="str">
        <f>$G$11</f>
        <v>Storage</v>
      </c>
      <c r="T71" s="58" t="str">
        <f>$C$5</f>
        <v>Plum</v>
      </c>
      <c r="U71" s="58" t="s">
        <v>92</v>
      </c>
      <c r="V71" s="58" t="s">
        <v>115</v>
      </c>
      <c r="W71" s="58" t="s">
        <v>121</v>
      </c>
      <c r="X71" s="58">
        <f>VLOOKUP(Table5[[#This Row],[Location]],$G$4:$H$11,2,FALSE)+4</f>
        <v>7</v>
      </c>
      <c r="Y71" s="58" t="s">
        <v>131</v>
      </c>
      <c r="Z71" s="59" t="s">
        <v>125</v>
      </c>
    </row>
    <row r="72" spans="15:26" x14ac:dyDescent="0.2">
      <c r="O72" s="57">
        <v>69</v>
      </c>
      <c r="P72" s="58" t="str">
        <f>$F$10&amp;-9</f>
        <v>Cole-9</v>
      </c>
      <c r="Q72" s="58" t="str">
        <f>$L$5</f>
        <v>Side</v>
      </c>
      <c r="R72" s="58"/>
      <c r="S72" s="58" t="str">
        <f>$G$9</f>
        <v>Naproom</v>
      </c>
      <c r="T72" s="58" t="str">
        <f>$C$5</f>
        <v>Plum</v>
      </c>
      <c r="U72" s="58" t="s">
        <v>93</v>
      </c>
      <c r="V72" s="58" t="s">
        <v>115</v>
      </c>
      <c r="W72" s="58" t="s">
        <v>122</v>
      </c>
      <c r="X72" s="58">
        <f>VLOOKUP(Table5[[#This Row],[Location]],$G$4:$H$11,2,FALSE)+4</f>
        <v>6</v>
      </c>
      <c r="Y72" s="58" t="s">
        <v>131</v>
      </c>
      <c r="Z72" s="59" t="s">
        <v>125</v>
      </c>
    </row>
    <row r="73" spans="15:26" x14ac:dyDescent="0.2">
      <c r="O73" s="57">
        <v>70</v>
      </c>
      <c r="P73" s="58" t="str">
        <f>$F$10&amp;-10</f>
        <v>Cole-10</v>
      </c>
      <c r="Q73" s="58" t="str">
        <f>$L$5</f>
        <v>Side</v>
      </c>
      <c r="R73" s="58" t="str">
        <f>P69</f>
        <v>Cole-6</v>
      </c>
      <c r="S73" s="58" t="str">
        <f>$G$4</f>
        <v>Classroom</v>
      </c>
      <c r="T73" s="58" t="str">
        <f>$C$6</f>
        <v>Jamie</v>
      </c>
      <c r="U73" s="58" t="s">
        <v>37</v>
      </c>
      <c r="V73" s="58" t="s">
        <v>117</v>
      </c>
      <c r="W73" s="58" t="s">
        <v>124</v>
      </c>
      <c r="X73" s="58">
        <f>VLOOKUP(Table5[[#This Row],[Location]],$G$4:$H$11,2,FALSE)+4</f>
        <v>4</v>
      </c>
      <c r="Y73" s="58" t="s">
        <v>131</v>
      </c>
      <c r="Z73" s="59" t="s">
        <v>125</v>
      </c>
    </row>
    <row r="74" spans="15:26" x14ac:dyDescent="0.2">
      <c r="O74" s="57">
        <v>71</v>
      </c>
      <c r="P74" s="58" t="str">
        <f>$F$11&amp;-1</f>
        <v>Lyric-1</v>
      </c>
      <c r="Q74" s="58" t="str">
        <f t="shared" ref="Q74:Q80" si="8">$L$4</f>
        <v>Key</v>
      </c>
      <c r="R74" s="58" t="str">
        <f>P75</f>
        <v>Lyric-2</v>
      </c>
      <c r="S74" s="58" t="str">
        <f>$G$4</f>
        <v>Classroom</v>
      </c>
      <c r="T74" s="58" t="str">
        <f>$C$4</f>
        <v>Chuck</v>
      </c>
      <c r="U74" s="58" t="s">
        <v>28</v>
      </c>
      <c r="V74" s="58" t="s">
        <v>117</v>
      </c>
      <c r="W74" s="58">
        <v>5</v>
      </c>
      <c r="X74" s="58">
        <f>VLOOKUP(Table5[[#This Row],[Location]],$G$4:$H$11,2,FALSE)+4</f>
        <v>4</v>
      </c>
      <c r="Y74" s="58"/>
      <c r="Z74" s="59" t="s">
        <v>125</v>
      </c>
    </row>
    <row r="75" spans="15:26" x14ac:dyDescent="0.2">
      <c r="O75" s="57">
        <v>72</v>
      </c>
      <c r="P75" s="58" t="str">
        <f>$F$11&amp;-2</f>
        <v>Lyric-2</v>
      </c>
      <c r="Q75" s="58" t="str">
        <f t="shared" si="8"/>
        <v>Key</v>
      </c>
      <c r="R75" s="58"/>
      <c r="S75" s="58" t="str">
        <f>$G$11</f>
        <v>Storage</v>
      </c>
      <c r="T75" s="58" t="str">
        <f>$C$6</f>
        <v>Jamie</v>
      </c>
      <c r="U75" s="58" t="s">
        <v>34</v>
      </c>
      <c r="V75" s="58" t="s">
        <v>113</v>
      </c>
      <c r="W75" s="58" t="s">
        <v>122</v>
      </c>
      <c r="X75" s="58">
        <f>VLOOKUP(Table5[[#This Row],[Location]],$G$4:$H$11,2,FALSE)+4</f>
        <v>7</v>
      </c>
      <c r="Y75" s="58"/>
      <c r="Z75" s="59" t="s">
        <v>125</v>
      </c>
    </row>
    <row r="76" spans="15:26" x14ac:dyDescent="0.2">
      <c r="O76" s="57">
        <v>73</v>
      </c>
      <c r="P76" s="58" t="str">
        <f>$F$11&amp;-3</f>
        <v>Lyric-3</v>
      </c>
      <c r="Q76" s="58" t="str">
        <f t="shared" si="8"/>
        <v>Key</v>
      </c>
      <c r="R76" s="58"/>
      <c r="S76" s="58" t="str">
        <f>$G$6</f>
        <v>Hallway2</v>
      </c>
      <c r="T76" s="58" t="str">
        <f>$C$6</f>
        <v>Jamie</v>
      </c>
      <c r="U76" s="58" t="s">
        <v>39</v>
      </c>
      <c r="V76" s="58" t="s">
        <v>113</v>
      </c>
      <c r="W76" s="58">
        <v>5</v>
      </c>
      <c r="X76" s="58">
        <f>VLOOKUP(Table5[[#This Row],[Location]],$G$4:$H$11,2,FALSE)+4</f>
        <v>5</v>
      </c>
      <c r="Y76" s="58"/>
      <c r="Z76" s="59" t="s">
        <v>125</v>
      </c>
    </row>
    <row r="77" spans="15:26" x14ac:dyDescent="0.2">
      <c r="O77" s="57">
        <v>74</v>
      </c>
      <c r="P77" s="58" t="str">
        <f>$F$11&amp;-4</f>
        <v>Lyric-4</v>
      </c>
      <c r="Q77" s="58" t="str">
        <f t="shared" si="8"/>
        <v>Key</v>
      </c>
      <c r="R77" s="58"/>
      <c r="S77" s="58" t="str">
        <f>$G$7</f>
        <v>Restroom</v>
      </c>
      <c r="T77" s="58" t="str">
        <f>$C$4</f>
        <v>Chuck</v>
      </c>
      <c r="U77" s="58" t="s">
        <v>94</v>
      </c>
      <c r="V77" s="58" t="s">
        <v>115</v>
      </c>
      <c r="W77" s="58" t="s">
        <v>122</v>
      </c>
      <c r="X77" s="58">
        <f>VLOOKUP(Table5[[#This Row],[Location]],$G$4:$H$11,2,FALSE)+4</f>
        <v>5</v>
      </c>
      <c r="Y77" s="58"/>
      <c r="Z77" s="59" t="s">
        <v>125</v>
      </c>
    </row>
    <row r="78" spans="15:26" x14ac:dyDescent="0.2">
      <c r="O78" s="57">
        <v>75</v>
      </c>
      <c r="P78" s="58" t="str">
        <f>$F$11&amp;-5</f>
        <v>Lyric-5</v>
      </c>
      <c r="Q78" s="58" t="str">
        <f t="shared" si="8"/>
        <v>Key</v>
      </c>
      <c r="R78" s="58"/>
      <c r="S78" s="58" t="str">
        <f>$G$8</f>
        <v>Playground</v>
      </c>
      <c r="T78" s="58" t="str">
        <f>$C$5</f>
        <v>Plum</v>
      </c>
      <c r="U78" s="58" t="s">
        <v>95</v>
      </c>
      <c r="V78" s="58" t="s">
        <v>115</v>
      </c>
      <c r="W78" s="58">
        <v>5</v>
      </c>
      <c r="X78" s="58">
        <f>VLOOKUP(Table5[[#This Row],[Location]],$G$4:$H$11,2,FALSE)+4</f>
        <v>6</v>
      </c>
      <c r="Y78" s="58"/>
      <c r="Z78" s="59" t="s">
        <v>125</v>
      </c>
    </row>
    <row r="79" spans="15:26" x14ac:dyDescent="0.2">
      <c r="O79" s="57">
        <v>76</v>
      </c>
      <c r="P79" s="58" t="str">
        <f>$F$11&amp;-6</f>
        <v>Lyric-6</v>
      </c>
      <c r="Q79" s="58" t="str">
        <f t="shared" si="8"/>
        <v>Key</v>
      </c>
      <c r="R79" s="58"/>
      <c r="S79" s="58" t="str">
        <f>$G$9</f>
        <v>Naproom</v>
      </c>
      <c r="T79" s="58" t="str">
        <f>$C$4</f>
        <v>Chuck</v>
      </c>
      <c r="U79" s="58" t="s">
        <v>96</v>
      </c>
      <c r="V79" s="58" t="s">
        <v>115</v>
      </c>
      <c r="W79" s="58" t="s">
        <v>122</v>
      </c>
      <c r="X79" s="58">
        <f>VLOOKUP(Table5[[#This Row],[Location]],$G$4:$H$11,2,FALSE)+4</f>
        <v>6</v>
      </c>
      <c r="Y79" s="58"/>
      <c r="Z79" s="59" t="s">
        <v>125</v>
      </c>
    </row>
    <row r="80" spans="15:26" x14ac:dyDescent="0.2">
      <c r="O80" s="57">
        <v>77</v>
      </c>
      <c r="P80" s="58" t="str">
        <f>$F$11&amp;-7</f>
        <v>Lyric-7</v>
      </c>
      <c r="Q80" s="58" t="str">
        <f t="shared" si="8"/>
        <v>Key</v>
      </c>
      <c r="R80" s="58"/>
      <c r="S80" s="58" t="str">
        <f>$G$10</f>
        <v>Office</v>
      </c>
      <c r="T80" s="58" t="str">
        <f>$C$5</f>
        <v>Plum</v>
      </c>
      <c r="U80" s="58" t="s">
        <v>97</v>
      </c>
      <c r="V80" s="58" t="s">
        <v>115</v>
      </c>
      <c r="W80" s="58" t="s">
        <v>121</v>
      </c>
      <c r="X80" s="58">
        <f>VLOOKUP(Table5[[#This Row],[Location]],$G$4:$H$11,2,FALSE)+4</f>
        <v>7</v>
      </c>
      <c r="Y80" s="58"/>
      <c r="Z80" s="59" t="s">
        <v>125</v>
      </c>
    </row>
    <row r="81" spans="1:61" x14ac:dyDescent="0.2">
      <c r="O81" s="57">
        <v>78</v>
      </c>
      <c r="P81" s="58" t="str">
        <f>$F$11&amp;-8</f>
        <v>Lyric-8</v>
      </c>
      <c r="Q81" s="58" t="str">
        <f>$L$5</f>
        <v>Side</v>
      </c>
      <c r="R81" s="58"/>
      <c r="S81" s="58" t="str">
        <f>$G$4</f>
        <v>Classroom</v>
      </c>
      <c r="T81" s="58" t="str">
        <f>$C$6</f>
        <v>Jamie</v>
      </c>
      <c r="U81" s="58" t="s">
        <v>98</v>
      </c>
      <c r="V81" s="58" t="s">
        <v>115</v>
      </c>
      <c r="W81" s="58" t="s">
        <v>121</v>
      </c>
      <c r="X81" s="58">
        <f>VLOOKUP(Table5[[#This Row],[Location]],$G$4:$H$11,2,FALSE)+4</f>
        <v>4</v>
      </c>
      <c r="Y81" s="58"/>
      <c r="Z81" s="59" t="s">
        <v>125</v>
      </c>
    </row>
    <row r="82" spans="1:61" x14ac:dyDescent="0.2">
      <c r="O82" s="57">
        <v>79</v>
      </c>
      <c r="P82" s="58" t="str">
        <f>$F$11&amp;-9</f>
        <v>Lyric-9</v>
      </c>
      <c r="Q82" s="58" t="str">
        <f>$L$5</f>
        <v>Side</v>
      </c>
      <c r="R82" s="58" t="str">
        <f>P79</f>
        <v>Lyric-6</v>
      </c>
      <c r="S82" s="58" t="str">
        <f>$G$7</f>
        <v>Restroom</v>
      </c>
      <c r="T82" s="58" t="str">
        <f>$C$4</f>
        <v>Chuck</v>
      </c>
      <c r="U82" s="58" t="s">
        <v>27</v>
      </c>
      <c r="V82" s="58" t="s">
        <v>117</v>
      </c>
      <c r="W82" s="58" t="s">
        <v>122</v>
      </c>
      <c r="X82" s="58">
        <f>VLOOKUP(Table5[[#This Row],[Location]],$G$4:$H$11,2,FALSE)+4</f>
        <v>5</v>
      </c>
      <c r="Y82" s="58"/>
      <c r="Z82" s="59" t="s">
        <v>125</v>
      </c>
    </row>
    <row r="83" spans="1:61" x14ac:dyDescent="0.2">
      <c r="O83" s="60">
        <v>80</v>
      </c>
      <c r="P83" s="61" t="str">
        <f>$F$11&amp;-10</f>
        <v>Lyric-10</v>
      </c>
      <c r="Q83" s="61" t="str">
        <f>$L$5</f>
        <v>Side</v>
      </c>
      <c r="R83" s="61"/>
      <c r="S83" s="61" t="str">
        <f>$G$6</f>
        <v>Hallway2</v>
      </c>
      <c r="T83" s="61" t="str">
        <f>$C$5</f>
        <v>Plum</v>
      </c>
      <c r="U83" s="61" t="s">
        <v>18</v>
      </c>
      <c r="V83" s="61" t="s">
        <v>113</v>
      </c>
      <c r="W83" s="61">
        <v>5</v>
      </c>
      <c r="X83" s="61">
        <f>VLOOKUP(Table5[[#This Row],[Location]],$G$4:$H$11,2,FALSE)+4</f>
        <v>5</v>
      </c>
      <c r="Y83" s="61"/>
      <c r="Z83" s="62" t="s">
        <v>125</v>
      </c>
    </row>
    <row r="86" spans="1:6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9"/>
      <c r="Z86" s="9"/>
      <c r="AA86" s="9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x14ac:dyDescent="0.2">
      <c r="A87" s="10"/>
      <c r="B87" s="10"/>
      <c r="C87" s="10"/>
      <c r="D87" s="10"/>
      <c r="E87" s="8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9"/>
      <c r="Z87" s="9"/>
      <c r="AA87" s="9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x14ac:dyDescent="0.2">
      <c r="A88" s="10"/>
      <c r="B88" s="10"/>
      <c r="C88" s="10"/>
      <c r="D88" s="10"/>
      <c r="E88" s="8"/>
      <c r="F88" s="10"/>
      <c r="G88" s="8"/>
      <c r="H88" s="10"/>
      <c r="I88" s="10"/>
      <c r="J88" s="10"/>
      <c r="K88" s="8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9"/>
      <c r="Z88" s="9"/>
      <c r="AA88" s="9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x14ac:dyDescent="0.2">
      <c r="A89" s="10"/>
      <c r="B89" s="10"/>
      <c r="C89" s="10"/>
      <c r="D89" s="8"/>
      <c r="E89" s="8"/>
      <c r="F89" s="10"/>
      <c r="G89" s="8"/>
      <c r="H89" s="10"/>
      <c r="I89" s="8"/>
      <c r="J89" s="10"/>
      <c r="K89" s="8"/>
      <c r="L89" s="10"/>
      <c r="M89" s="8"/>
      <c r="N89" s="10"/>
      <c r="O89" s="8"/>
      <c r="P89" s="10"/>
      <c r="Q89" s="10"/>
      <c r="R89" s="10"/>
      <c r="S89" s="10"/>
      <c r="T89" s="10"/>
      <c r="U89" s="8"/>
      <c r="V89" s="10"/>
      <c r="W89" s="10"/>
      <c r="X89" s="10"/>
      <c r="Y89" s="9"/>
      <c r="Z89" s="9"/>
      <c r="AA89" s="9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x14ac:dyDescent="0.2">
      <c r="A90" s="10"/>
      <c r="B90" s="10"/>
      <c r="C90" s="10"/>
      <c r="D90" s="8"/>
      <c r="E90" s="8"/>
      <c r="F90" s="10"/>
      <c r="G90" s="8"/>
      <c r="H90" s="10"/>
      <c r="I90" s="8"/>
      <c r="J90" s="10"/>
      <c r="K90" s="8"/>
      <c r="L90" s="8"/>
      <c r="M90" s="8"/>
      <c r="N90" s="10"/>
      <c r="O90" s="8"/>
      <c r="P90" s="10"/>
      <c r="Q90" s="8"/>
      <c r="R90" s="10"/>
      <c r="S90" s="10"/>
      <c r="T90" s="10"/>
      <c r="U90" s="8"/>
      <c r="V90" s="10"/>
      <c r="W90" s="10"/>
      <c r="X90" s="8"/>
      <c r="Y90" s="9"/>
      <c r="Z90" s="9"/>
      <c r="AA90" s="9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x14ac:dyDescent="0.2">
      <c r="A91" s="8"/>
      <c r="B91" s="10"/>
      <c r="C91" s="10"/>
      <c r="D91" s="8"/>
      <c r="E91" s="8"/>
      <c r="F91" s="8"/>
      <c r="G91" s="8"/>
      <c r="H91" s="8"/>
      <c r="I91" s="8"/>
      <c r="J91" s="10"/>
      <c r="K91" s="8"/>
      <c r="L91" s="8"/>
      <c r="M91" s="8"/>
      <c r="N91" s="10"/>
      <c r="O91" s="8"/>
      <c r="P91" s="8"/>
      <c r="Q91" s="8"/>
      <c r="R91" s="8"/>
      <c r="S91" s="8"/>
      <c r="T91" s="8"/>
      <c r="U91" s="8"/>
      <c r="V91" s="10"/>
      <c r="W91" s="8"/>
      <c r="X91" s="8"/>
      <c r="Y91" s="9"/>
      <c r="Z91" s="9"/>
      <c r="AA91" s="9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 x14ac:dyDescent="0.2">
      <c r="A92" s="8"/>
      <c r="B92" s="10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9"/>
      <c r="Z92" s="9"/>
      <c r="AA92" s="9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9"/>
      <c r="Z93" s="9"/>
      <c r="AA93" s="9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M118" s="7"/>
    </row>
    <row r="119" spans="1:6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</row>
    <row r="124" spans="1:6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</row>
  </sheetData>
  <sortState xmlns:xlrd2="http://schemas.microsoft.com/office/spreadsheetml/2017/richdata2" ref="D4:E26">
    <sortCondition ref="E4:E26"/>
  </sortState>
  <mergeCells count="2">
    <mergeCell ref="C2:M2"/>
    <mergeCell ref="O2:Z2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2FBE-2B7C-4A27-A6E9-FB136476781C}">
  <dimension ref="A2:AA82"/>
  <sheetViews>
    <sheetView topLeftCell="I1" zoomScale="82" zoomScaleNormal="82" workbookViewId="0">
      <selection activeCell="V87" sqref="V87"/>
    </sheetView>
  </sheetViews>
  <sheetFormatPr baseColWidth="10" defaultColWidth="8.83203125" defaultRowHeight="15" x14ac:dyDescent="0.2"/>
  <cols>
    <col min="1" max="1" width="21" bestFit="1" customWidth="1"/>
    <col min="2" max="2" width="8.1640625" customWidth="1"/>
    <col min="3" max="3" width="5" bestFit="1" customWidth="1"/>
    <col min="4" max="4" width="6.1640625" bestFit="1" customWidth="1"/>
    <col min="5" max="5" width="13.83203125" bestFit="1" customWidth="1"/>
    <col min="6" max="6" width="8.83203125" bestFit="1" customWidth="1"/>
    <col min="7" max="7" width="11.83203125" bestFit="1" customWidth="1"/>
    <col min="8" max="8" width="17.33203125" bestFit="1" customWidth="1"/>
    <col min="9" max="9" width="16.5" bestFit="1" customWidth="1"/>
    <col min="10" max="10" width="11.33203125" bestFit="1" customWidth="1"/>
    <col min="11" max="11" width="8.83203125" bestFit="1" customWidth="1"/>
    <col min="12" max="12" width="9.83203125" bestFit="1" customWidth="1"/>
    <col min="13" max="13" width="13.5" bestFit="1" customWidth="1"/>
    <col min="14" max="14" width="5.33203125" customWidth="1"/>
    <col min="15" max="15" width="9.1640625" bestFit="1" customWidth="1"/>
    <col min="16" max="16" width="14.5" bestFit="1" customWidth="1"/>
    <col min="17" max="17" width="11.83203125" bestFit="1" customWidth="1"/>
    <col min="18" max="18" width="16.33203125" bestFit="1" customWidth="1"/>
    <col min="19" max="19" width="11.6640625" bestFit="1" customWidth="1"/>
    <col min="20" max="20" width="6.5" bestFit="1" customWidth="1"/>
    <col min="21" max="21" width="8" bestFit="1" customWidth="1"/>
    <col min="22" max="22" width="8.1640625" bestFit="1" customWidth="1"/>
    <col min="23" max="23" width="14" bestFit="1" customWidth="1"/>
    <col min="24" max="24" width="13.5" bestFit="1" customWidth="1"/>
    <col min="25" max="25" width="23.1640625" bestFit="1" customWidth="1"/>
    <col min="26" max="26" width="24.1640625" bestFit="1" customWidth="1"/>
    <col min="27" max="27" width="14.6640625" bestFit="1" customWidth="1"/>
  </cols>
  <sheetData>
    <row r="2" spans="1:27" x14ac:dyDescent="0.2">
      <c r="A2" s="2" t="s">
        <v>104</v>
      </c>
      <c r="C2" s="3" t="s">
        <v>11</v>
      </c>
      <c r="D2" s="3" t="s">
        <v>10</v>
      </c>
      <c r="E2" s="3" t="s">
        <v>110</v>
      </c>
      <c r="F2" s="3" t="s">
        <v>15</v>
      </c>
      <c r="G2" s="3" t="s">
        <v>9</v>
      </c>
      <c r="H2" s="3" t="s">
        <v>128</v>
      </c>
      <c r="I2" s="3" t="s">
        <v>126</v>
      </c>
      <c r="J2" s="3" t="s">
        <v>0</v>
      </c>
      <c r="K2" s="3" t="s">
        <v>12</v>
      </c>
      <c r="L2" s="3" t="s">
        <v>7</v>
      </c>
      <c r="M2" s="3" t="s">
        <v>112</v>
      </c>
      <c r="O2" t="s">
        <v>119</v>
      </c>
      <c r="P2" t="s">
        <v>8</v>
      </c>
      <c r="Q2" t="s">
        <v>7</v>
      </c>
      <c r="R2" t="s">
        <v>6</v>
      </c>
      <c r="S2" t="s">
        <v>4</v>
      </c>
      <c r="T2" t="s">
        <v>1</v>
      </c>
      <c r="U2" t="s">
        <v>2</v>
      </c>
      <c r="V2" t="s">
        <v>3</v>
      </c>
      <c r="W2" t="s">
        <v>5</v>
      </c>
      <c r="X2" t="s">
        <v>0</v>
      </c>
      <c r="Y2" t="s">
        <v>127</v>
      </c>
      <c r="Z2" s="4" t="s">
        <v>130</v>
      </c>
      <c r="AA2" t="s">
        <v>108</v>
      </c>
    </row>
    <row r="3" spans="1:27" hidden="1" x14ac:dyDescent="0.2">
      <c r="A3" s="2">
        <v>8</v>
      </c>
      <c r="C3" s="1" t="s">
        <v>13</v>
      </c>
      <c r="D3" s="1" t="s">
        <v>16</v>
      </c>
      <c r="E3" s="1">
        <f t="shared" ref="E3:E25" ca="1" si="0">RAND()</f>
        <v>0.94523330263112681</v>
      </c>
      <c r="F3" s="1" t="s">
        <v>16</v>
      </c>
      <c r="G3" s="1" t="s">
        <v>40</v>
      </c>
      <c r="H3" s="1">
        <v>0</v>
      </c>
      <c r="I3" s="1">
        <v>1</v>
      </c>
      <c r="J3" s="1" t="s">
        <v>53</v>
      </c>
      <c r="K3" s="1" t="s">
        <v>59</v>
      </c>
      <c r="L3" s="1" t="s">
        <v>52</v>
      </c>
      <c r="M3" s="1" t="s">
        <v>114</v>
      </c>
      <c r="O3">
        <v>1</v>
      </c>
      <c r="P3" t="str">
        <f>$F$3&amp;-1</f>
        <v>K1-1</v>
      </c>
      <c r="Q3" t="str">
        <f t="shared" ref="Q3:Q9" si="1">$L$3</f>
        <v>Key</v>
      </c>
      <c r="S3" t="str">
        <f>$G$3</f>
        <v>Classroom</v>
      </c>
      <c r="T3" t="str">
        <f>$C$5</f>
        <v>PC3</v>
      </c>
      <c r="V3" t="s">
        <v>59</v>
      </c>
      <c r="W3" t="str" cm="1">
        <f t="array" aca="1" ref="W3" ca="1">IF(Table58[[#This Row],[Item]]&lt;&gt;"", $M$5, INDEX($M$3:$M$4,ROUND((RANDBETWEEN(1,2)),0),1))</f>
        <v>Observation</v>
      </c>
      <c r="X3" t="s">
        <v>120</v>
      </c>
      <c r="Y3">
        <f>VLOOKUP(Table58[[#This Row],[Location]],$G$3:$H$10,2,FALSE)+4</f>
        <v>4</v>
      </c>
      <c r="AA3" t="s">
        <v>125</v>
      </c>
    </row>
    <row r="4" spans="1:27" hidden="1" x14ac:dyDescent="0.2">
      <c r="A4" s="2" t="s">
        <v>103</v>
      </c>
      <c r="C4" s="1" t="s">
        <v>14</v>
      </c>
      <c r="D4" s="1" t="s">
        <v>18</v>
      </c>
      <c r="E4" s="1">
        <f t="shared" ca="1" si="0"/>
        <v>0.97233197176896624</v>
      </c>
      <c r="F4" s="1" t="s">
        <v>17</v>
      </c>
      <c r="G4" s="1" t="s">
        <v>41</v>
      </c>
      <c r="H4" s="1">
        <v>1</v>
      </c>
      <c r="I4" s="1">
        <v>2</v>
      </c>
      <c r="J4" s="1" t="s">
        <v>54</v>
      </c>
      <c r="K4" s="1" t="s">
        <v>60</v>
      </c>
      <c r="L4" s="1" t="s">
        <v>51</v>
      </c>
      <c r="M4" s="1" t="s">
        <v>118</v>
      </c>
      <c r="O4">
        <v>2</v>
      </c>
      <c r="P4" t="str">
        <f>$F$3&amp;-2</f>
        <v>K1-2</v>
      </c>
      <c r="Q4" t="str">
        <f t="shared" si="1"/>
        <v>Key</v>
      </c>
      <c r="S4" t="str">
        <f>$G$4</f>
        <v>Hallway1</v>
      </c>
      <c r="T4" t="str">
        <f>$C$3</f>
        <v>PC1</v>
      </c>
      <c r="V4" t="s">
        <v>60</v>
      </c>
      <c r="W4" t="s">
        <v>115</v>
      </c>
      <c r="X4" t="s">
        <v>120</v>
      </c>
      <c r="Y4">
        <f>VLOOKUP(Table58[[#This Row],[Location]],$G$3:$H$10,2,FALSE)+4</f>
        <v>5</v>
      </c>
      <c r="AA4" t="s">
        <v>125</v>
      </c>
    </row>
    <row r="5" spans="1:27" hidden="1" x14ac:dyDescent="0.2">
      <c r="A5" s="2">
        <v>5</v>
      </c>
      <c r="C5" s="1" t="s">
        <v>109</v>
      </c>
      <c r="D5" s="1" t="s">
        <v>111</v>
      </c>
      <c r="E5" s="1">
        <f t="shared" ca="1" si="0"/>
        <v>0.2667183707341626</v>
      </c>
      <c r="F5" s="1" t="s">
        <v>19</v>
      </c>
      <c r="G5" s="1" t="s">
        <v>43</v>
      </c>
      <c r="H5" s="1">
        <v>1</v>
      </c>
      <c r="I5" s="1">
        <v>3</v>
      </c>
      <c r="J5" s="1" t="s">
        <v>55</v>
      </c>
      <c r="K5" s="1" t="s">
        <v>61</v>
      </c>
      <c r="L5" s="1"/>
      <c r="M5" s="1" t="s">
        <v>116</v>
      </c>
      <c r="O5">
        <v>3</v>
      </c>
      <c r="P5" t="str">
        <f>$F$3&amp;-3</f>
        <v>K1-3</v>
      </c>
      <c r="Q5" t="str">
        <f t="shared" si="1"/>
        <v>Key</v>
      </c>
      <c r="S5" t="str">
        <f>$G$5</f>
        <v>Hallway2</v>
      </c>
      <c r="T5" t="str">
        <f>$C$4</f>
        <v>PC2</v>
      </c>
      <c r="V5" t="s">
        <v>61</v>
      </c>
      <c r="W5" t="s">
        <v>115</v>
      </c>
      <c r="X5" t="s">
        <v>120</v>
      </c>
      <c r="Y5">
        <f>VLOOKUP(Table58[[#This Row],[Location]],$G$3:$H$10,2,FALSE)+4</f>
        <v>5</v>
      </c>
      <c r="AA5" t="s">
        <v>125</v>
      </c>
    </row>
    <row r="6" spans="1:27" hidden="1" x14ac:dyDescent="0.2">
      <c r="A6" s="2" t="s">
        <v>101</v>
      </c>
      <c r="C6" s="1"/>
      <c r="D6" s="1" t="s">
        <v>20</v>
      </c>
      <c r="E6" s="1">
        <f t="shared" ca="1" si="0"/>
        <v>0.66164411155331326</v>
      </c>
      <c r="F6" s="1" t="s">
        <v>20</v>
      </c>
      <c r="G6" s="1" t="s">
        <v>45</v>
      </c>
      <c r="H6" s="1">
        <v>1</v>
      </c>
      <c r="I6" s="1">
        <v>4</v>
      </c>
      <c r="J6" s="1" t="s">
        <v>56</v>
      </c>
      <c r="K6" s="1" t="s">
        <v>62</v>
      </c>
      <c r="L6" s="1"/>
      <c r="M6" s="1"/>
      <c r="O6">
        <v>4</v>
      </c>
      <c r="P6" t="str">
        <f>$F$3&amp;-4</f>
        <v>K1-4</v>
      </c>
      <c r="Q6" t="str">
        <f t="shared" si="1"/>
        <v>Key</v>
      </c>
      <c r="S6" t="str">
        <f>$G$6</f>
        <v>Restroom</v>
      </c>
      <c r="T6" t="str">
        <f>$C$3</f>
        <v>PC1</v>
      </c>
      <c r="V6" t="s">
        <v>62</v>
      </c>
      <c r="W6" t="s">
        <v>115</v>
      </c>
      <c r="X6" t="s">
        <v>121</v>
      </c>
      <c r="Y6">
        <f>VLOOKUP(Table58[[#This Row],[Location]],$G$3:$H$10,2,FALSE)+4</f>
        <v>5</v>
      </c>
      <c r="AA6" t="s">
        <v>125</v>
      </c>
    </row>
    <row r="7" spans="1:27" hidden="1" x14ac:dyDescent="0.2">
      <c r="A7" s="2">
        <v>10</v>
      </c>
      <c r="C7" s="1"/>
      <c r="D7" s="1" t="s">
        <v>21</v>
      </c>
      <c r="E7" s="1">
        <f t="shared" ca="1" si="0"/>
        <v>0.96526113954147397</v>
      </c>
      <c r="F7" s="1" t="s">
        <v>21</v>
      </c>
      <c r="G7" s="1" t="s">
        <v>46</v>
      </c>
      <c r="H7" s="1">
        <v>2</v>
      </c>
      <c r="I7" s="1">
        <v>5</v>
      </c>
      <c r="J7" s="1" t="s">
        <v>57</v>
      </c>
      <c r="K7" s="1" t="s">
        <v>63</v>
      </c>
      <c r="L7" s="1"/>
      <c r="M7" s="1"/>
      <c r="O7">
        <v>5</v>
      </c>
      <c r="P7" t="str">
        <f>$F$3&amp;-5</f>
        <v>K1-5</v>
      </c>
      <c r="Q7" t="str">
        <f t="shared" si="1"/>
        <v>Key</v>
      </c>
      <c r="S7" t="str">
        <f>$G$7</f>
        <v>Playground</v>
      </c>
      <c r="T7" t="str">
        <f>$C$4</f>
        <v>PC2</v>
      </c>
      <c r="V7" t="s">
        <v>63</v>
      </c>
      <c r="W7" t="s">
        <v>115</v>
      </c>
      <c r="X7" t="s">
        <v>121</v>
      </c>
      <c r="Y7">
        <f>VLOOKUP(Table58[[#This Row],[Location]],$G$3:$H$10,2,FALSE)+4</f>
        <v>6</v>
      </c>
      <c r="AA7" t="s">
        <v>125</v>
      </c>
    </row>
    <row r="8" spans="1:27" hidden="1" x14ac:dyDescent="0.2">
      <c r="A8" s="2" t="s">
        <v>100</v>
      </c>
      <c r="C8" s="1"/>
      <c r="D8" s="1" t="s">
        <v>22</v>
      </c>
      <c r="E8" s="1">
        <f t="shared" ca="1" si="0"/>
        <v>0.61515151311456939</v>
      </c>
      <c r="F8" s="1" t="s">
        <v>22</v>
      </c>
      <c r="G8" s="1" t="s">
        <v>47</v>
      </c>
      <c r="H8" s="1">
        <v>2</v>
      </c>
      <c r="I8" s="1">
        <v>6</v>
      </c>
      <c r="J8" s="1" t="s">
        <v>58</v>
      </c>
      <c r="K8" s="1" t="s">
        <v>64</v>
      </c>
      <c r="L8" s="1"/>
      <c r="M8" s="1"/>
      <c r="O8">
        <v>6</v>
      </c>
      <c r="P8" t="str">
        <f>$F$3&amp;-6</f>
        <v>K1-6</v>
      </c>
      <c r="Q8" t="str">
        <f t="shared" si="1"/>
        <v>Key</v>
      </c>
      <c r="S8" t="str">
        <f>$G$8</f>
        <v>Naproom</v>
      </c>
      <c r="T8" t="str">
        <f>$C$5</f>
        <v>PC3</v>
      </c>
      <c r="U8" t="s">
        <v>32</v>
      </c>
      <c r="W8" t="s">
        <v>113</v>
      </c>
      <c r="X8" t="s">
        <v>122</v>
      </c>
      <c r="Y8">
        <f>VLOOKUP(Table58[[#This Row],[Location]],$G$3:$H$10,2,FALSE)+4</f>
        <v>6</v>
      </c>
      <c r="AA8" t="s">
        <v>125</v>
      </c>
    </row>
    <row r="9" spans="1:27" hidden="1" x14ac:dyDescent="0.2">
      <c r="A9" s="2">
        <v>7</v>
      </c>
      <c r="C9" s="1"/>
      <c r="D9" s="1" t="s">
        <v>23</v>
      </c>
      <c r="E9" s="1">
        <f t="shared" ca="1" si="0"/>
        <v>0.4382357954018089</v>
      </c>
      <c r="F9" s="1" t="s">
        <v>23</v>
      </c>
      <c r="G9" s="1" t="s">
        <v>48</v>
      </c>
      <c r="H9" s="1">
        <v>3</v>
      </c>
      <c r="I9" s="1"/>
      <c r="J9" s="1"/>
      <c r="K9" s="1" t="s">
        <v>65</v>
      </c>
      <c r="L9" s="1"/>
      <c r="M9" s="1"/>
      <c r="O9">
        <v>7</v>
      </c>
      <c r="P9" t="str">
        <f>$F$3&amp;-7</f>
        <v>K1-7</v>
      </c>
      <c r="Q9" t="str">
        <f t="shared" si="1"/>
        <v>Key</v>
      </c>
      <c r="R9" t="str">
        <f>P4</f>
        <v>K1-2</v>
      </c>
      <c r="S9" t="str">
        <f>$G$9</f>
        <v>Office</v>
      </c>
      <c r="T9" t="str">
        <f>$C$3</f>
        <v>PC1</v>
      </c>
      <c r="U9" t="s">
        <v>33</v>
      </c>
      <c r="W9" t="s">
        <v>117</v>
      </c>
      <c r="X9" t="s">
        <v>120</v>
      </c>
      <c r="Y9">
        <f>VLOOKUP(Table58[[#This Row],[Location]],$G$3:$H$10,2,FALSE)+4</f>
        <v>7</v>
      </c>
      <c r="AA9" t="s">
        <v>125</v>
      </c>
    </row>
    <row r="10" spans="1:27" hidden="1" x14ac:dyDescent="0.2">
      <c r="A10" s="2" t="s">
        <v>102</v>
      </c>
      <c r="C10" s="1"/>
      <c r="D10" s="1" t="s">
        <v>24</v>
      </c>
      <c r="E10" s="1">
        <f t="shared" ca="1" si="0"/>
        <v>0.1339287492442699</v>
      </c>
      <c r="F10" s="1" t="s">
        <v>24</v>
      </c>
      <c r="G10" s="1" t="s">
        <v>50</v>
      </c>
      <c r="H10" s="1">
        <v>3</v>
      </c>
      <c r="I10" s="1"/>
      <c r="J10" s="1"/>
      <c r="K10" s="1" t="s">
        <v>66</v>
      </c>
      <c r="L10" s="1"/>
      <c r="M10" s="1"/>
      <c r="O10">
        <v>8</v>
      </c>
      <c r="P10" t="str">
        <f>$F$3&amp;-8</f>
        <v>K1-8</v>
      </c>
      <c r="Q10" t="str">
        <f>$L$4</f>
        <v>Side</v>
      </c>
      <c r="S10" t="str">
        <f>$G$10</f>
        <v>Storage</v>
      </c>
      <c r="T10" t="str">
        <f>$C$4</f>
        <v>PC2</v>
      </c>
      <c r="U10" t="s">
        <v>26</v>
      </c>
      <c r="W10" t="s">
        <v>113</v>
      </c>
      <c r="X10">
        <v>2</v>
      </c>
      <c r="Y10">
        <f>VLOOKUP(Table58[[#This Row],[Location]],$G$3:$H$10,2,FALSE)+4</f>
        <v>7</v>
      </c>
      <c r="AA10" t="s">
        <v>125</v>
      </c>
    </row>
    <row r="11" spans="1:27" hidden="1" x14ac:dyDescent="0.2">
      <c r="A11" s="2">
        <v>3</v>
      </c>
      <c r="C11" s="1"/>
      <c r="D11" s="1" t="s">
        <v>25</v>
      </c>
      <c r="E11" s="1">
        <f t="shared" ca="1" si="0"/>
        <v>0.64390208111368008</v>
      </c>
      <c r="F11" s="1"/>
      <c r="G11" s="1"/>
      <c r="H11" s="1"/>
      <c r="I11" s="1"/>
      <c r="J11" s="1"/>
      <c r="K11" s="1" t="s">
        <v>67</v>
      </c>
      <c r="L11" s="1"/>
      <c r="M11" s="1"/>
      <c r="O11">
        <v>9</v>
      </c>
      <c r="P11" t="str">
        <f>$F$3&amp;-9</f>
        <v>K1-9</v>
      </c>
      <c r="Q11" t="str">
        <f>$L$4</f>
        <v>Side</v>
      </c>
      <c r="R11" t="str">
        <f>P8</f>
        <v>K1-6</v>
      </c>
      <c r="S11" t="str">
        <f>$G$3</f>
        <v>Classroom</v>
      </c>
      <c r="T11" t="str">
        <f>$C$4</f>
        <v>PC2</v>
      </c>
      <c r="U11" t="s">
        <v>31</v>
      </c>
      <c r="W11" t="s">
        <v>117</v>
      </c>
      <c r="X11">
        <v>2</v>
      </c>
      <c r="Y11">
        <f>VLOOKUP(Table58[[#This Row],[Location]],$G$3:$H$10,2,FALSE)+4</f>
        <v>4</v>
      </c>
      <c r="AA11" t="s">
        <v>125</v>
      </c>
    </row>
    <row r="12" spans="1:27" hidden="1" x14ac:dyDescent="0.2">
      <c r="A12" s="2" t="s">
        <v>99</v>
      </c>
      <c r="C12" s="1"/>
      <c r="D12" s="1" t="s">
        <v>26</v>
      </c>
      <c r="E12" s="1">
        <f t="shared" ca="1" si="0"/>
        <v>0.8436803681672439</v>
      </c>
      <c r="F12" s="1"/>
      <c r="G12" s="1"/>
      <c r="H12" s="1"/>
      <c r="I12" s="1"/>
      <c r="J12" s="1"/>
      <c r="K12" s="1" t="s">
        <v>68</v>
      </c>
      <c r="L12" s="1"/>
      <c r="M12" s="1"/>
      <c r="O12">
        <v>10</v>
      </c>
      <c r="P12" t="str">
        <f>$F$3&amp;-10</f>
        <v>K1-10</v>
      </c>
      <c r="Q12" t="str">
        <f>$L$4</f>
        <v>Side</v>
      </c>
      <c r="S12" t="str">
        <f>$G$3</f>
        <v>Classroom</v>
      </c>
      <c r="T12" t="str">
        <f>$C$5</f>
        <v>PC3</v>
      </c>
      <c r="U12" t="s">
        <v>28</v>
      </c>
      <c r="W12" t="s">
        <v>113</v>
      </c>
      <c r="X12" t="s">
        <v>120</v>
      </c>
      <c r="Y12">
        <f>VLOOKUP(Table58[[#This Row],[Location]],$G$3:$H$10,2,FALSE)+4</f>
        <v>4</v>
      </c>
      <c r="AA12" t="s">
        <v>125</v>
      </c>
    </row>
    <row r="13" spans="1:27" hidden="1" x14ac:dyDescent="0.2">
      <c r="A13" s="2">
        <f>$A$3*$A$7</f>
        <v>80</v>
      </c>
      <c r="C13" s="1"/>
      <c r="D13" s="1" t="s">
        <v>133</v>
      </c>
      <c r="E13" s="1">
        <f t="shared" ca="1" si="0"/>
        <v>5.0645104706730226E-2</v>
      </c>
      <c r="F13" s="1"/>
      <c r="G13" s="1"/>
      <c r="H13" s="1"/>
      <c r="I13" s="1"/>
      <c r="J13" s="1"/>
      <c r="K13" s="1" t="s">
        <v>69</v>
      </c>
      <c r="L13" s="1"/>
      <c r="M13" s="1"/>
      <c r="O13">
        <v>11</v>
      </c>
      <c r="P13" t="str">
        <f>$F$4&amp;-1</f>
        <v>K2-1</v>
      </c>
      <c r="Q13" t="str">
        <f t="shared" ref="Q13:Q19" si="2">$L$3</f>
        <v>Key</v>
      </c>
      <c r="R13" t="str">
        <f>P17</f>
        <v>K2-5</v>
      </c>
      <c r="S13" t="str">
        <f>$G$3</f>
        <v>Classroom</v>
      </c>
      <c r="T13" t="str">
        <f>$C$3</f>
        <v>PC1</v>
      </c>
      <c r="U13" t="s">
        <v>36</v>
      </c>
      <c r="W13" t="s">
        <v>117</v>
      </c>
      <c r="X13">
        <v>1</v>
      </c>
      <c r="Y13">
        <f>VLOOKUP(Table58[[#This Row],[Location]],$G$3:$H$10,2,FALSE)+4</f>
        <v>4</v>
      </c>
      <c r="AA13" t="s">
        <v>125</v>
      </c>
    </row>
    <row r="14" spans="1:27" hidden="1" x14ac:dyDescent="0.2">
      <c r="A14" s="2" t="s">
        <v>105</v>
      </c>
      <c r="C14" s="1"/>
      <c r="D14" s="1" t="s">
        <v>28</v>
      </c>
      <c r="E14" s="1">
        <f t="shared" ca="1" si="0"/>
        <v>0.97415911032444025</v>
      </c>
      <c r="F14" s="1"/>
      <c r="G14" s="1"/>
      <c r="H14" s="1"/>
      <c r="I14" s="1"/>
      <c r="J14" s="1"/>
      <c r="K14" s="1" t="s">
        <v>70</v>
      </c>
      <c r="L14" s="1"/>
      <c r="M14" s="1"/>
      <c r="O14">
        <v>12</v>
      </c>
      <c r="P14" t="str">
        <f>$F$4&amp;-2</f>
        <v>K2-2</v>
      </c>
      <c r="Q14" t="str">
        <f t="shared" si="2"/>
        <v>Key</v>
      </c>
      <c r="R14" t="str">
        <f>P19</f>
        <v>K2-7</v>
      </c>
      <c r="S14" t="str">
        <f>$G$4</f>
        <v>Hallway1</v>
      </c>
      <c r="T14" t="str">
        <f>$C$5</f>
        <v>PC3</v>
      </c>
      <c r="U14" t="s">
        <v>27</v>
      </c>
      <c r="W14" t="s">
        <v>117</v>
      </c>
      <c r="X14">
        <v>1</v>
      </c>
      <c r="Y14">
        <f>VLOOKUP(Table58[[#This Row],[Location]],$G$3:$H$10,2,FALSE)+4</f>
        <v>5</v>
      </c>
      <c r="AA14" t="s">
        <v>125</v>
      </c>
    </row>
    <row r="15" spans="1:27" hidden="1" x14ac:dyDescent="0.2">
      <c r="A15" s="2">
        <f>$A$13/$A$5</f>
        <v>16</v>
      </c>
      <c r="C15" s="1"/>
      <c r="D15" s="1" t="s">
        <v>29</v>
      </c>
      <c r="E15" s="1">
        <f t="shared" ca="1" si="0"/>
        <v>0.20969703907363035</v>
      </c>
      <c r="F15" s="1"/>
      <c r="G15" s="1"/>
      <c r="H15" s="1"/>
      <c r="I15" s="1"/>
      <c r="J15" s="1"/>
      <c r="K15" s="1" t="s">
        <v>71</v>
      </c>
      <c r="L15" s="1"/>
      <c r="M15" s="1"/>
      <c r="O15">
        <v>13</v>
      </c>
      <c r="P15" t="str">
        <f>$F$4&amp;-3</f>
        <v>K2-3</v>
      </c>
      <c r="Q15" t="str">
        <f t="shared" si="2"/>
        <v>Key</v>
      </c>
      <c r="S15" t="str">
        <f>$G$5</f>
        <v>Hallway2</v>
      </c>
      <c r="T15" t="str">
        <f>$C$5</f>
        <v>PC3</v>
      </c>
      <c r="V15" t="s">
        <v>64</v>
      </c>
      <c r="W15" t="s">
        <v>115</v>
      </c>
      <c r="X15">
        <v>1</v>
      </c>
      <c r="Y15">
        <f>VLOOKUP(Table58[[#This Row],[Location]],$G$3:$H$10,2,FALSE)+4</f>
        <v>5</v>
      </c>
      <c r="AA15" t="s">
        <v>125</v>
      </c>
    </row>
    <row r="16" spans="1:27" hidden="1" x14ac:dyDescent="0.2">
      <c r="A16" s="2" t="s">
        <v>106</v>
      </c>
      <c r="C16" s="1"/>
      <c r="D16" s="1" t="s">
        <v>30</v>
      </c>
      <c r="E16" s="1">
        <f t="shared" ca="1" si="0"/>
        <v>0.62097093226820232</v>
      </c>
      <c r="F16" s="1"/>
      <c r="G16" s="1"/>
      <c r="H16" s="1"/>
      <c r="I16" s="1"/>
      <c r="J16" s="1"/>
      <c r="K16" s="1" t="s">
        <v>72</v>
      </c>
      <c r="L16" s="1"/>
      <c r="M16" s="1"/>
      <c r="O16">
        <v>14</v>
      </c>
      <c r="P16" t="str">
        <f>$F$4&amp;-4</f>
        <v>K2-4</v>
      </c>
      <c r="Q16" t="str">
        <f t="shared" si="2"/>
        <v>Key</v>
      </c>
      <c r="S16" t="str">
        <f>$G$6</f>
        <v>Restroom</v>
      </c>
      <c r="T16" t="str">
        <f>$C$3</f>
        <v>PC1</v>
      </c>
      <c r="V16" t="s">
        <v>65</v>
      </c>
      <c r="W16" t="s">
        <v>115</v>
      </c>
      <c r="X16" t="s">
        <v>121</v>
      </c>
      <c r="Y16">
        <f>VLOOKUP(Table58[[#This Row],[Location]],$G$3:$H$10,2,FALSE)+4</f>
        <v>5</v>
      </c>
      <c r="AA16" t="s">
        <v>125</v>
      </c>
    </row>
    <row r="17" spans="1:27" hidden="1" x14ac:dyDescent="0.2">
      <c r="A17" s="2">
        <f>ROUND(0.75*$A$15,0)</f>
        <v>12</v>
      </c>
      <c r="C17" s="1"/>
      <c r="D17" s="1" t="s">
        <v>31</v>
      </c>
      <c r="E17" s="1">
        <f t="shared" ca="1" si="0"/>
        <v>0.46099156364039096</v>
      </c>
      <c r="F17" s="1"/>
      <c r="G17" s="1"/>
      <c r="H17" s="1"/>
      <c r="I17" s="1"/>
      <c r="J17" s="1"/>
      <c r="K17" s="1" t="s">
        <v>73</v>
      </c>
      <c r="L17" s="1"/>
      <c r="M17" s="1"/>
      <c r="O17">
        <v>15</v>
      </c>
      <c r="P17" t="str">
        <f>$F$4&amp;-5</f>
        <v>K2-5</v>
      </c>
      <c r="Q17" t="str">
        <f t="shared" si="2"/>
        <v>Key</v>
      </c>
      <c r="S17" t="str">
        <f>$G$7</f>
        <v>Playground</v>
      </c>
      <c r="T17" t="str">
        <f>$C$4</f>
        <v>PC2</v>
      </c>
      <c r="V17" t="s">
        <v>66</v>
      </c>
      <c r="W17" t="s">
        <v>115</v>
      </c>
      <c r="X17" t="s">
        <v>121</v>
      </c>
      <c r="Y17">
        <f>VLOOKUP(Table58[[#This Row],[Location]],$G$3:$H$10,2,FALSE)+4</f>
        <v>6</v>
      </c>
      <c r="AA17" t="s">
        <v>125</v>
      </c>
    </row>
    <row r="18" spans="1:27" hidden="1" x14ac:dyDescent="0.2">
      <c r="A18" s="2" t="s">
        <v>107</v>
      </c>
      <c r="C18" s="1"/>
      <c r="D18" s="1" t="s">
        <v>32</v>
      </c>
      <c r="E18" s="1">
        <f t="shared" ca="1" si="0"/>
        <v>2.6721702861991714E-2</v>
      </c>
      <c r="F18" s="1"/>
      <c r="G18" s="1"/>
      <c r="H18" s="1"/>
      <c r="I18" s="1"/>
      <c r="J18" s="1"/>
      <c r="K18" s="1" t="s">
        <v>74</v>
      </c>
      <c r="L18" s="1"/>
      <c r="M18" s="1"/>
      <c r="O18">
        <v>16</v>
      </c>
      <c r="P18" t="str">
        <f>$F$4&amp;-6</f>
        <v>K2-6</v>
      </c>
      <c r="Q18" t="str">
        <f t="shared" si="2"/>
        <v>Key</v>
      </c>
      <c r="S18" t="str">
        <f>$G$8</f>
        <v>Naproom</v>
      </c>
      <c r="T18" t="str">
        <f>$C$3</f>
        <v>PC1</v>
      </c>
      <c r="V18" t="s">
        <v>67</v>
      </c>
      <c r="W18" t="s">
        <v>115</v>
      </c>
      <c r="X18">
        <v>1</v>
      </c>
      <c r="Y18">
        <f>VLOOKUP(Table58[[#This Row],[Location]],$G$3:$H$10,2,FALSE)+4</f>
        <v>6</v>
      </c>
      <c r="AA18" t="s">
        <v>125</v>
      </c>
    </row>
    <row r="19" spans="1:27" hidden="1" x14ac:dyDescent="0.2">
      <c r="A19" s="2">
        <f>ROUND(0.6*$A$15,0)</f>
        <v>10</v>
      </c>
      <c r="C19" s="1"/>
      <c r="D19" s="1" t="s">
        <v>33</v>
      </c>
      <c r="E19" s="1">
        <f t="shared" ca="1" si="0"/>
        <v>0.56442858496433745</v>
      </c>
      <c r="F19" s="1"/>
      <c r="G19" s="1"/>
      <c r="H19" s="1"/>
      <c r="I19" s="1"/>
      <c r="J19" s="1"/>
      <c r="K19" s="1" t="s">
        <v>75</v>
      </c>
      <c r="L19" s="1"/>
      <c r="M19" s="1"/>
      <c r="O19">
        <v>17</v>
      </c>
      <c r="P19" t="str">
        <f>$F$4&amp;-7</f>
        <v>K2-7</v>
      </c>
      <c r="Q19" t="str">
        <f t="shared" si="2"/>
        <v>Key</v>
      </c>
      <c r="S19" t="str">
        <f>$G$9</f>
        <v>Office</v>
      </c>
      <c r="T19" t="str">
        <f>$C$4</f>
        <v>PC2</v>
      </c>
      <c r="V19" t="s">
        <v>68</v>
      </c>
      <c r="W19" t="s">
        <v>115</v>
      </c>
      <c r="X19">
        <v>1</v>
      </c>
      <c r="Y19">
        <f>VLOOKUP(Table58[[#This Row],[Location]],$G$3:$H$10,2,FALSE)+4</f>
        <v>7</v>
      </c>
      <c r="AA19" t="s">
        <v>125</v>
      </c>
    </row>
    <row r="20" spans="1:27" x14ac:dyDescent="0.2">
      <c r="A20" s="2" t="s">
        <v>129</v>
      </c>
      <c r="C20" s="1"/>
      <c r="D20" s="1" t="s">
        <v>34</v>
      </c>
      <c r="E20" s="1">
        <f t="shared" ca="1" si="0"/>
        <v>0.59661909121408796</v>
      </c>
      <c r="F20" s="1"/>
      <c r="G20" s="1"/>
      <c r="H20" s="1"/>
      <c r="I20" s="1"/>
      <c r="J20" s="1"/>
      <c r="K20" s="1" t="s">
        <v>76</v>
      </c>
      <c r="L20" s="1"/>
      <c r="M20" s="1"/>
      <c r="O20">
        <v>18</v>
      </c>
      <c r="P20" t="str">
        <f>$F$4&amp;-8</f>
        <v>K2-8</v>
      </c>
      <c r="Q20" t="str">
        <f>$L$4</f>
        <v>Side</v>
      </c>
      <c r="S20" t="str">
        <f>$G$10</f>
        <v>Storage</v>
      </c>
      <c r="T20" t="str">
        <f>$C$5</f>
        <v>PC3</v>
      </c>
      <c r="U20" t="s">
        <v>35</v>
      </c>
      <c r="W20" t="s">
        <v>113</v>
      </c>
      <c r="X20" t="s">
        <v>121</v>
      </c>
      <c r="Y20">
        <f>VLOOKUP(Table58[[#This Row],[Location]],$G$3:$H$10,2,FALSE)+4</f>
        <v>7</v>
      </c>
      <c r="AA20" t="s">
        <v>125</v>
      </c>
    </row>
    <row r="21" spans="1:27" hidden="1" x14ac:dyDescent="0.2">
      <c r="A21" s="2">
        <v>4</v>
      </c>
      <c r="C21" s="1"/>
      <c r="D21" s="1" t="s">
        <v>35</v>
      </c>
      <c r="E21" s="1">
        <f t="shared" ca="1" si="0"/>
        <v>0.68911864642301834</v>
      </c>
      <c r="F21" s="1"/>
      <c r="G21" s="1"/>
      <c r="H21" s="1"/>
      <c r="I21" s="1"/>
      <c r="J21" s="1"/>
      <c r="K21" s="1" t="s">
        <v>77</v>
      </c>
      <c r="L21" s="1"/>
      <c r="M21" s="1"/>
      <c r="O21">
        <v>19</v>
      </c>
      <c r="P21" t="str">
        <f>$F$4&amp;-9</f>
        <v>K2-9</v>
      </c>
      <c r="Q21" t="str">
        <f>$L$4</f>
        <v>Side</v>
      </c>
      <c r="R21" t="str">
        <f>P19</f>
        <v>K2-7</v>
      </c>
      <c r="S21" t="str">
        <f>$G$8</f>
        <v>Naproom</v>
      </c>
      <c r="T21" t="str">
        <f>$C$3</f>
        <v>PC1</v>
      </c>
      <c r="U21" t="s">
        <v>30</v>
      </c>
      <c r="W21" t="s">
        <v>117</v>
      </c>
      <c r="X21" t="s">
        <v>121</v>
      </c>
      <c r="Y21">
        <f>VLOOKUP(Table58[[#This Row],[Location]],$G$3:$H$10,2,FALSE)+4</f>
        <v>6</v>
      </c>
      <c r="AA21" t="s">
        <v>125</v>
      </c>
    </row>
    <row r="22" spans="1:27" hidden="1" x14ac:dyDescent="0.2">
      <c r="C22" s="1"/>
      <c r="D22" s="1" t="s">
        <v>36</v>
      </c>
      <c r="E22" s="1">
        <f t="shared" ca="1" si="0"/>
        <v>0.81970307989115598</v>
      </c>
      <c r="F22" s="1"/>
      <c r="G22" s="1"/>
      <c r="H22" s="1"/>
      <c r="I22" s="1"/>
      <c r="J22" s="1"/>
      <c r="K22" s="1" t="s">
        <v>78</v>
      </c>
      <c r="L22" s="1"/>
      <c r="M22" s="1"/>
      <c r="O22">
        <v>20</v>
      </c>
      <c r="P22" t="str">
        <f>$F$4&amp;-10</f>
        <v>K2-10</v>
      </c>
      <c r="Q22" t="str">
        <f>$L$4</f>
        <v>Side</v>
      </c>
      <c r="S22" t="str">
        <f>$G$3</f>
        <v>Classroom</v>
      </c>
      <c r="T22" t="str">
        <f>$C$4</f>
        <v>PC2</v>
      </c>
      <c r="U22" t="s">
        <v>37</v>
      </c>
      <c r="W22" t="s">
        <v>113</v>
      </c>
      <c r="X22" t="s">
        <v>124</v>
      </c>
      <c r="Y22">
        <f>VLOOKUP(Table58[[#This Row],[Location]],$G$3:$H$10,2,FALSE)+4</f>
        <v>4</v>
      </c>
      <c r="AA22" t="s">
        <v>125</v>
      </c>
    </row>
    <row r="23" spans="1:27" hidden="1" x14ac:dyDescent="0.2">
      <c r="C23" s="1"/>
      <c r="D23" s="1" t="s">
        <v>37</v>
      </c>
      <c r="E23" s="1">
        <f t="shared" ca="1" si="0"/>
        <v>0.57603644296537204</v>
      </c>
      <c r="F23" s="1"/>
      <c r="G23" s="1"/>
      <c r="H23" s="1"/>
      <c r="I23" s="1"/>
      <c r="J23" s="1"/>
      <c r="K23" s="1" t="s">
        <v>79</v>
      </c>
      <c r="L23" s="1"/>
      <c r="M23" s="1"/>
      <c r="O23">
        <v>21</v>
      </c>
      <c r="P23" t="str">
        <f>$F$5&amp;-1</f>
        <v>K3-1</v>
      </c>
      <c r="Q23" t="str">
        <f t="shared" ref="Q23:Q29" si="3">$L$3</f>
        <v>Key</v>
      </c>
      <c r="R23" t="str">
        <f>P24</f>
        <v>K3-2</v>
      </c>
      <c r="S23" t="str">
        <f>$G$3</f>
        <v>Classroom</v>
      </c>
      <c r="T23" t="str">
        <f>$C$4</f>
        <v>PC2</v>
      </c>
      <c r="U23" t="s">
        <v>20</v>
      </c>
      <c r="W23" t="s">
        <v>117</v>
      </c>
      <c r="X23">
        <v>3</v>
      </c>
      <c r="Y23">
        <f>VLOOKUP(Table58[[#This Row],[Location]],$G$3:$H$10,2,FALSE)+4</f>
        <v>4</v>
      </c>
      <c r="AA23" t="s">
        <v>125</v>
      </c>
    </row>
    <row r="24" spans="1:27" hidden="1" x14ac:dyDescent="0.2">
      <c r="C24" s="1"/>
      <c r="D24" s="1" t="s">
        <v>134</v>
      </c>
      <c r="E24" s="1">
        <f t="shared" ca="1" si="0"/>
        <v>0.55402891623955242</v>
      </c>
      <c r="F24" s="1"/>
      <c r="G24" s="1"/>
      <c r="H24" s="1"/>
      <c r="I24" s="1"/>
      <c r="J24" s="1"/>
      <c r="K24" s="1" t="s">
        <v>80</v>
      </c>
      <c r="L24" s="1"/>
      <c r="M24" s="1"/>
      <c r="O24">
        <v>22</v>
      </c>
      <c r="P24" t="str">
        <f>$F$5&amp;-2</f>
        <v>K3-2</v>
      </c>
      <c r="Q24" t="str">
        <f t="shared" si="3"/>
        <v>Key</v>
      </c>
      <c r="S24" t="str">
        <f>$G$4</f>
        <v>Hallway1</v>
      </c>
      <c r="T24" t="str">
        <f>$C$5</f>
        <v>PC3</v>
      </c>
      <c r="U24" t="s">
        <v>21</v>
      </c>
      <c r="W24" t="s">
        <v>113</v>
      </c>
      <c r="X24" t="s">
        <v>124</v>
      </c>
      <c r="Y24">
        <f>VLOOKUP(Table58[[#This Row],[Location]],$G$3:$H$10,2,FALSE)+4</f>
        <v>5</v>
      </c>
      <c r="AA24" t="s">
        <v>125</v>
      </c>
    </row>
    <row r="25" spans="1:27" hidden="1" x14ac:dyDescent="0.2">
      <c r="C25" s="1"/>
      <c r="D25" s="1" t="s">
        <v>135</v>
      </c>
      <c r="E25" s="1">
        <f t="shared" ca="1" si="0"/>
        <v>0.82050346723943546</v>
      </c>
      <c r="F25" s="1"/>
      <c r="G25" s="1"/>
      <c r="H25" s="1"/>
      <c r="I25" s="1"/>
      <c r="J25" s="1"/>
      <c r="K25" s="1" t="s">
        <v>81</v>
      </c>
      <c r="L25" s="1"/>
      <c r="M25" s="1"/>
      <c r="O25">
        <v>23</v>
      </c>
      <c r="P25" t="str">
        <f>$F$5&amp;-3</f>
        <v>K3-3</v>
      </c>
      <c r="Q25" t="str">
        <f t="shared" si="3"/>
        <v>Key</v>
      </c>
      <c r="S25" t="str">
        <f>$G$10</f>
        <v>Storage</v>
      </c>
      <c r="T25" t="str">
        <f>$C$3</f>
        <v>PC1</v>
      </c>
      <c r="U25" t="s">
        <v>19</v>
      </c>
      <c r="W25" t="s">
        <v>113</v>
      </c>
      <c r="X25">
        <v>3</v>
      </c>
      <c r="Y25">
        <f>VLOOKUP(Table58[[#This Row],[Location]],$G$3:$H$10,2,FALSE)+4</f>
        <v>7</v>
      </c>
      <c r="AA25" t="s">
        <v>125</v>
      </c>
    </row>
    <row r="26" spans="1:27" hidden="1" x14ac:dyDescent="0.2">
      <c r="C26" s="1"/>
      <c r="D26" s="1"/>
      <c r="E26" s="1"/>
      <c r="F26" s="1"/>
      <c r="G26" s="1"/>
      <c r="H26" s="1"/>
      <c r="I26" s="1"/>
      <c r="J26" s="1"/>
      <c r="K26" s="1" t="s">
        <v>82</v>
      </c>
      <c r="L26" s="1"/>
      <c r="M26" s="1"/>
      <c r="O26">
        <v>24</v>
      </c>
      <c r="P26" t="str">
        <f>$F$5&amp;-4</f>
        <v>K3-4</v>
      </c>
      <c r="Q26" t="str">
        <f t="shared" si="3"/>
        <v>Key</v>
      </c>
      <c r="S26" t="str">
        <f>$G$6</f>
        <v>Restroom</v>
      </c>
      <c r="T26" t="str">
        <f>$C$5</f>
        <v>PC3</v>
      </c>
      <c r="U26" t="s">
        <v>39</v>
      </c>
      <c r="W26" t="s">
        <v>113</v>
      </c>
      <c r="X26" t="s">
        <v>121</v>
      </c>
      <c r="Y26">
        <f>VLOOKUP(Table58[[#This Row],[Location]],$G$3:$H$10,2,FALSE)+4</f>
        <v>5</v>
      </c>
      <c r="AA26" t="s">
        <v>125</v>
      </c>
    </row>
    <row r="27" spans="1:27" hidden="1" x14ac:dyDescent="0.2">
      <c r="C27" s="1"/>
      <c r="D27" s="1"/>
      <c r="E27" s="1"/>
      <c r="F27" s="1"/>
      <c r="G27" s="1"/>
      <c r="H27" s="1"/>
      <c r="I27" s="1"/>
      <c r="J27" s="1"/>
      <c r="K27" s="1" t="s">
        <v>83</v>
      </c>
      <c r="L27" s="1"/>
      <c r="M27" s="1"/>
      <c r="O27">
        <v>25</v>
      </c>
      <c r="P27" t="str">
        <f>$F$5&amp;-5</f>
        <v>K3-5</v>
      </c>
      <c r="Q27" t="str">
        <f t="shared" si="3"/>
        <v>Key</v>
      </c>
      <c r="R27" t="str">
        <f>P29</f>
        <v>K3-7</v>
      </c>
      <c r="S27" t="str">
        <f>$G$7</f>
        <v>Playground</v>
      </c>
      <c r="T27" t="str">
        <f>$C$5</f>
        <v>PC3</v>
      </c>
      <c r="U27" t="s">
        <v>26</v>
      </c>
      <c r="W27" t="s">
        <v>117</v>
      </c>
      <c r="X27" t="s">
        <v>122</v>
      </c>
      <c r="Y27">
        <f>VLOOKUP(Table58[[#This Row],[Location]],$G$3:$H$10,2,FALSE)+4</f>
        <v>6</v>
      </c>
      <c r="AA27" t="s">
        <v>125</v>
      </c>
    </row>
    <row r="28" spans="1:27" hidden="1" x14ac:dyDescent="0.2">
      <c r="C28" s="1"/>
      <c r="D28" s="1"/>
      <c r="E28" s="1"/>
      <c r="F28" s="1"/>
      <c r="G28" s="1"/>
      <c r="H28" s="1"/>
      <c r="I28" s="1"/>
      <c r="J28" s="1"/>
      <c r="K28" s="1" t="s">
        <v>84</v>
      </c>
      <c r="L28" s="1"/>
      <c r="M28" s="1"/>
      <c r="O28">
        <v>26</v>
      </c>
      <c r="P28" t="str">
        <f>$F$5&amp;-6</f>
        <v>K3-6</v>
      </c>
      <c r="Q28" t="str">
        <f t="shared" si="3"/>
        <v>Key</v>
      </c>
      <c r="S28" t="str">
        <f>$G$8</f>
        <v>Naproom</v>
      </c>
      <c r="T28" t="str">
        <f>$C$3</f>
        <v>PC1</v>
      </c>
      <c r="V28" t="s">
        <v>69</v>
      </c>
      <c r="W28" t="s">
        <v>115</v>
      </c>
      <c r="X28">
        <v>3</v>
      </c>
      <c r="Y28">
        <f>VLOOKUP(Table58[[#This Row],[Location]],$G$3:$H$10,2,FALSE)+4</f>
        <v>6</v>
      </c>
      <c r="AA28" t="s">
        <v>125</v>
      </c>
    </row>
    <row r="29" spans="1:27" hidden="1" x14ac:dyDescent="0.2">
      <c r="C29" s="1"/>
      <c r="D29" s="1"/>
      <c r="E29" s="1"/>
      <c r="F29" s="1"/>
      <c r="G29" s="1"/>
      <c r="H29" s="1"/>
      <c r="I29" s="1"/>
      <c r="J29" s="1"/>
      <c r="K29" s="1" t="s">
        <v>85</v>
      </c>
      <c r="L29" s="1"/>
      <c r="M29" s="1"/>
      <c r="O29">
        <v>27</v>
      </c>
      <c r="P29" t="str">
        <f>$F$5&amp;-7</f>
        <v>K3-7</v>
      </c>
      <c r="Q29" t="str">
        <f t="shared" si="3"/>
        <v>Key</v>
      </c>
      <c r="S29" t="str">
        <f>$G$9</f>
        <v>Office</v>
      </c>
      <c r="T29" t="str">
        <f>$C$4</f>
        <v>PC2</v>
      </c>
      <c r="V29" t="s">
        <v>70</v>
      </c>
      <c r="W29" t="s">
        <v>115</v>
      </c>
      <c r="X29" t="s">
        <v>124</v>
      </c>
      <c r="Y29">
        <f>VLOOKUP(Table58[[#This Row],[Location]],$G$3:$H$10,2,FALSE)+4</f>
        <v>7</v>
      </c>
      <c r="AA29" t="s">
        <v>125</v>
      </c>
    </row>
    <row r="30" spans="1:27" hidden="1" x14ac:dyDescent="0.2">
      <c r="C30" s="1"/>
      <c r="D30" s="1"/>
      <c r="E30" s="1"/>
      <c r="F30" s="1"/>
      <c r="G30" s="1"/>
      <c r="H30" s="1"/>
      <c r="I30" s="1"/>
      <c r="J30" s="1"/>
      <c r="K30" s="1" t="s">
        <v>86</v>
      </c>
      <c r="L30" s="1"/>
      <c r="M30" s="1"/>
      <c r="O30">
        <v>28</v>
      </c>
      <c r="P30" t="str">
        <f>$F$5&amp;-8</f>
        <v>K3-8</v>
      </c>
      <c r="Q30" t="str">
        <f>$L$4</f>
        <v>Side</v>
      </c>
      <c r="S30" t="str">
        <f>$G$10</f>
        <v>Storage</v>
      </c>
      <c r="T30" t="str">
        <f>$C$3</f>
        <v>PC1</v>
      </c>
      <c r="V30" t="s">
        <v>71</v>
      </c>
      <c r="W30" t="s">
        <v>115</v>
      </c>
      <c r="X30" t="s">
        <v>124</v>
      </c>
      <c r="Y30">
        <f>VLOOKUP(Table58[[#This Row],[Location]],$G$3:$H$10,2,FALSE)+4</f>
        <v>7</v>
      </c>
      <c r="AA30" t="s">
        <v>125</v>
      </c>
    </row>
    <row r="31" spans="1:27" hidden="1" x14ac:dyDescent="0.2">
      <c r="C31" s="1"/>
      <c r="D31" s="1"/>
      <c r="E31" s="1"/>
      <c r="F31" s="1"/>
      <c r="G31" s="1"/>
      <c r="H31" s="1"/>
      <c r="I31" s="1"/>
      <c r="J31" s="1"/>
      <c r="K31" s="1" t="s">
        <v>87</v>
      </c>
      <c r="L31" s="1"/>
      <c r="M31" s="1"/>
      <c r="O31">
        <v>29</v>
      </c>
      <c r="P31" t="str">
        <f>$F$5&amp;-9</f>
        <v>K3-9</v>
      </c>
      <c r="Q31" t="str">
        <f>$L$4</f>
        <v>Side</v>
      </c>
      <c r="S31" t="str">
        <f>$G$3</f>
        <v>Classroom</v>
      </c>
      <c r="T31" t="str">
        <f>$C$4</f>
        <v>PC2</v>
      </c>
      <c r="V31" t="s">
        <v>72</v>
      </c>
      <c r="W31" t="s">
        <v>115</v>
      </c>
      <c r="X31" t="s">
        <v>121</v>
      </c>
      <c r="Y31">
        <f>VLOOKUP(Table58[[#This Row],[Location]],$G$3:$H$10,2,FALSE)+4</f>
        <v>4</v>
      </c>
      <c r="AA31" t="s">
        <v>125</v>
      </c>
    </row>
    <row r="32" spans="1:27" hidden="1" x14ac:dyDescent="0.2">
      <c r="C32" s="1"/>
      <c r="D32" s="1"/>
      <c r="E32" s="1"/>
      <c r="F32" s="1"/>
      <c r="G32" s="1"/>
      <c r="H32" s="1"/>
      <c r="I32" s="1"/>
      <c r="J32" s="1"/>
      <c r="K32" s="1" t="s">
        <v>88</v>
      </c>
      <c r="L32" s="1"/>
      <c r="M32" s="1"/>
      <c r="O32">
        <v>30</v>
      </c>
      <c r="P32" t="str">
        <f>$F$5&amp;-10</f>
        <v>K3-10</v>
      </c>
      <c r="Q32" t="str">
        <f>$L$4</f>
        <v>Side</v>
      </c>
      <c r="S32" t="str">
        <f>$G$4</f>
        <v>Hallway1</v>
      </c>
      <c r="T32" t="str">
        <f>$C$5</f>
        <v>PC3</v>
      </c>
      <c r="V32" t="s">
        <v>73</v>
      </c>
      <c r="W32" t="s">
        <v>115</v>
      </c>
      <c r="X32" t="s">
        <v>121</v>
      </c>
      <c r="Y32">
        <f>VLOOKUP(Table58[[#This Row],[Location]],$G$3:$H$10,2,FALSE)+4</f>
        <v>5</v>
      </c>
      <c r="AA32" t="s">
        <v>125</v>
      </c>
    </row>
    <row r="33" spans="3:27" hidden="1" x14ac:dyDescent="0.2">
      <c r="C33" s="1"/>
      <c r="D33" s="1"/>
      <c r="E33" s="1"/>
      <c r="F33" s="1"/>
      <c r="G33" s="1"/>
      <c r="H33" s="1"/>
      <c r="I33" s="1"/>
      <c r="J33" s="1"/>
      <c r="K33" s="1" t="s">
        <v>89</v>
      </c>
      <c r="L33" s="1"/>
      <c r="M33" s="1"/>
      <c r="O33">
        <v>31</v>
      </c>
      <c r="P33" t="str">
        <f>$F$6&amp;-1</f>
        <v>K4-1</v>
      </c>
      <c r="Q33" t="str">
        <f t="shared" ref="Q33:Q39" si="4">$L$3</f>
        <v>Key</v>
      </c>
      <c r="R33" t="str">
        <f>P37</f>
        <v>K4-5</v>
      </c>
      <c r="S33" t="str">
        <f>$G$3</f>
        <v>Classroom</v>
      </c>
      <c r="T33" t="str">
        <f>$C$3</f>
        <v>PC1</v>
      </c>
      <c r="U33" t="s">
        <v>28</v>
      </c>
      <c r="W33" t="s">
        <v>117</v>
      </c>
      <c r="X33">
        <v>4</v>
      </c>
      <c r="Y33">
        <f>VLOOKUP(Table58[[#This Row],[Location]],$G$3:$H$10,2,FALSE)+4</f>
        <v>4</v>
      </c>
      <c r="AA33" t="s">
        <v>125</v>
      </c>
    </row>
    <row r="34" spans="3:27" hidden="1" x14ac:dyDescent="0.2">
      <c r="C34" s="1"/>
      <c r="D34" s="1"/>
      <c r="E34" s="1"/>
      <c r="F34" s="1"/>
      <c r="G34" s="1"/>
      <c r="H34" s="1"/>
      <c r="I34" s="1"/>
      <c r="J34" s="1"/>
      <c r="K34" s="1" t="s">
        <v>90</v>
      </c>
      <c r="L34" s="1"/>
      <c r="M34" s="1"/>
      <c r="O34">
        <v>32</v>
      </c>
      <c r="P34" t="str">
        <f>$F$6&amp;-2</f>
        <v>K4-2</v>
      </c>
      <c r="Q34" t="str">
        <f t="shared" si="4"/>
        <v>Key</v>
      </c>
      <c r="R34" t="str">
        <f>P40</f>
        <v>K4-8</v>
      </c>
      <c r="S34" t="str">
        <f>$G$10</f>
        <v>Storage</v>
      </c>
      <c r="T34" t="str">
        <f>$C$4</f>
        <v>PC2</v>
      </c>
      <c r="U34" t="s">
        <v>33</v>
      </c>
      <c r="W34" t="s">
        <v>117</v>
      </c>
      <c r="X34" t="s">
        <v>123</v>
      </c>
      <c r="Y34">
        <f>VLOOKUP(Table58[[#This Row],[Location]],$G$3:$H$10,2,FALSE)+4</f>
        <v>7</v>
      </c>
      <c r="AA34" t="s">
        <v>125</v>
      </c>
    </row>
    <row r="35" spans="3:27" hidden="1" x14ac:dyDescent="0.2">
      <c r="C35" s="1"/>
      <c r="D35" s="1"/>
      <c r="E35" s="1"/>
      <c r="F35" s="1"/>
      <c r="G35" s="1"/>
      <c r="H35" s="1"/>
      <c r="I35" s="1"/>
      <c r="J35" s="1"/>
      <c r="K35" s="1" t="s">
        <v>91</v>
      </c>
      <c r="L35" s="1"/>
      <c r="M35" s="1"/>
      <c r="O35">
        <v>33</v>
      </c>
      <c r="P35" t="str">
        <f>$F$6&amp;-3</f>
        <v>K4-3</v>
      </c>
      <c r="Q35" t="str">
        <f t="shared" si="4"/>
        <v>Key</v>
      </c>
      <c r="S35" t="str">
        <f>$G$5</f>
        <v>Hallway2</v>
      </c>
      <c r="T35" t="str">
        <f>$C$4</f>
        <v>PC2</v>
      </c>
      <c r="U35" t="s">
        <v>29</v>
      </c>
      <c r="W35" t="s">
        <v>113</v>
      </c>
      <c r="X35" t="s">
        <v>123</v>
      </c>
      <c r="Y35">
        <f>VLOOKUP(Table58[[#This Row],[Location]],$G$3:$H$10,2,FALSE)+4</f>
        <v>5</v>
      </c>
      <c r="AA35" t="s">
        <v>125</v>
      </c>
    </row>
    <row r="36" spans="3:27" hidden="1" x14ac:dyDescent="0.2">
      <c r="C36" s="1"/>
      <c r="D36" s="1"/>
      <c r="E36" s="1"/>
      <c r="F36" s="1"/>
      <c r="G36" s="1"/>
      <c r="H36" s="1"/>
      <c r="I36" s="1"/>
      <c r="J36" s="1"/>
      <c r="K36" s="1" t="s">
        <v>92</v>
      </c>
      <c r="L36" s="1"/>
      <c r="M36" s="1"/>
      <c r="O36">
        <v>34</v>
      </c>
      <c r="P36" t="str">
        <f>$F$6&amp;-4</f>
        <v>K4-4</v>
      </c>
      <c r="Q36" t="str">
        <f t="shared" si="4"/>
        <v>Key</v>
      </c>
      <c r="S36" t="str">
        <f>$G$6</f>
        <v>Restroom</v>
      </c>
      <c r="T36" t="str">
        <f>$C$5</f>
        <v>PC3</v>
      </c>
      <c r="V36" t="s">
        <v>74</v>
      </c>
      <c r="W36" t="s">
        <v>115</v>
      </c>
      <c r="X36" t="s">
        <v>123</v>
      </c>
      <c r="Y36">
        <f>VLOOKUP(Table58[[#This Row],[Location]],$G$3:$H$10,2,FALSE)+4</f>
        <v>5</v>
      </c>
      <c r="AA36" t="s">
        <v>125</v>
      </c>
    </row>
    <row r="37" spans="3:27" hidden="1" x14ac:dyDescent="0.2">
      <c r="C37" s="1"/>
      <c r="D37" s="1"/>
      <c r="E37" s="1"/>
      <c r="F37" s="1"/>
      <c r="G37" s="1"/>
      <c r="H37" s="1"/>
      <c r="I37" s="1"/>
      <c r="J37" s="1"/>
      <c r="K37" s="1" t="s">
        <v>93</v>
      </c>
      <c r="L37" s="1"/>
      <c r="M37" s="1"/>
      <c r="O37">
        <v>35</v>
      </c>
      <c r="P37" t="str">
        <f>$F$6&amp;-5</f>
        <v>K4-5</v>
      </c>
      <c r="Q37" t="str">
        <f t="shared" si="4"/>
        <v>Key</v>
      </c>
      <c r="S37" t="str">
        <f>$G$7</f>
        <v>Playground</v>
      </c>
      <c r="T37" t="str">
        <f>$C$3</f>
        <v>PC1</v>
      </c>
      <c r="V37" t="s">
        <v>75</v>
      </c>
      <c r="W37" t="s">
        <v>115</v>
      </c>
      <c r="X37" t="s">
        <v>123</v>
      </c>
      <c r="Y37">
        <f>VLOOKUP(Table58[[#This Row],[Location]],$G$3:$H$10,2,FALSE)+4</f>
        <v>6</v>
      </c>
      <c r="AA37" t="s">
        <v>125</v>
      </c>
    </row>
    <row r="38" spans="3:27" hidden="1" x14ac:dyDescent="0.2">
      <c r="C38" s="1"/>
      <c r="D38" s="1"/>
      <c r="E38" s="1"/>
      <c r="F38" s="1"/>
      <c r="G38" s="1"/>
      <c r="H38" s="1"/>
      <c r="I38" s="1"/>
      <c r="J38" s="1"/>
      <c r="K38" s="1" t="s">
        <v>94</v>
      </c>
      <c r="L38" s="1"/>
      <c r="M38" s="1"/>
      <c r="O38">
        <v>36</v>
      </c>
      <c r="P38" t="str">
        <f>$F$6&amp;-6</f>
        <v>K4-6</v>
      </c>
      <c r="Q38" t="str">
        <f t="shared" si="4"/>
        <v>Key</v>
      </c>
      <c r="S38" t="str">
        <f>$G$8</f>
        <v>Naproom</v>
      </c>
      <c r="T38" t="str">
        <f>$C$5</f>
        <v>PC3</v>
      </c>
      <c r="V38" t="s">
        <v>76</v>
      </c>
      <c r="W38" t="s">
        <v>115</v>
      </c>
      <c r="X38" t="s">
        <v>121</v>
      </c>
      <c r="Y38">
        <f>VLOOKUP(Table58[[#This Row],[Location]],$G$3:$H$10,2,FALSE)+4</f>
        <v>6</v>
      </c>
      <c r="AA38" t="s">
        <v>125</v>
      </c>
    </row>
    <row r="39" spans="3:27" hidden="1" x14ac:dyDescent="0.2">
      <c r="C39" s="1"/>
      <c r="D39" s="1"/>
      <c r="E39" s="1"/>
      <c r="F39" s="1"/>
      <c r="G39" s="1"/>
      <c r="H39" s="1"/>
      <c r="I39" s="1"/>
      <c r="J39" s="1"/>
      <c r="K39" s="1" t="s">
        <v>95</v>
      </c>
      <c r="L39" s="1"/>
      <c r="M39" s="1"/>
      <c r="O39">
        <v>37</v>
      </c>
      <c r="P39" t="str">
        <f>$F$6&amp;-7</f>
        <v>K4-7</v>
      </c>
      <c r="Q39" t="str">
        <f t="shared" si="4"/>
        <v>Key</v>
      </c>
      <c r="S39" t="str">
        <f>$G$9</f>
        <v>Office</v>
      </c>
      <c r="T39" t="str">
        <f>$C$5</f>
        <v>PC3</v>
      </c>
      <c r="V39" t="s">
        <v>77</v>
      </c>
      <c r="W39" t="s">
        <v>115</v>
      </c>
      <c r="X39" t="s">
        <v>121</v>
      </c>
      <c r="Y39">
        <f>VLOOKUP(Table58[[#This Row],[Location]],$G$3:$H$10,2,FALSE)+4</f>
        <v>7</v>
      </c>
      <c r="AA39" t="s">
        <v>125</v>
      </c>
    </row>
    <row r="40" spans="3:27" hidden="1" x14ac:dyDescent="0.2">
      <c r="C40" s="1"/>
      <c r="D40" s="1"/>
      <c r="E40" s="1"/>
      <c r="F40" s="1"/>
      <c r="G40" s="1"/>
      <c r="H40" s="1"/>
      <c r="I40" s="1"/>
      <c r="J40" s="1"/>
      <c r="K40" s="1" t="s">
        <v>96</v>
      </c>
      <c r="L40" s="1"/>
      <c r="M40" s="1"/>
      <c r="O40">
        <v>38</v>
      </c>
      <c r="P40" t="str">
        <f>$F$6&amp;-8</f>
        <v>K4-8</v>
      </c>
      <c r="Q40" t="str">
        <f>$L$4</f>
        <v>Side</v>
      </c>
      <c r="S40" t="str">
        <f>$G$10</f>
        <v>Storage</v>
      </c>
      <c r="T40" t="str">
        <f>$C$3</f>
        <v>PC1</v>
      </c>
      <c r="V40" t="s">
        <v>78</v>
      </c>
      <c r="W40" t="s">
        <v>115</v>
      </c>
      <c r="X40">
        <v>4</v>
      </c>
      <c r="Y40">
        <f>VLOOKUP(Table58[[#This Row],[Location]],$G$3:$H$10,2,FALSE)+4</f>
        <v>7</v>
      </c>
      <c r="AA40" t="s">
        <v>125</v>
      </c>
    </row>
    <row r="41" spans="3:27" hidden="1" x14ac:dyDescent="0.2">
      <c r="C41" s="1"/>
      <c r="D41" s="1"/>
      <c r="E41" s="1"/>
      <c r="F41" s="1"/>
      <c r="G41" s="1"/>
      <c r="H41" s="1"/>
      <c r="I41" s="1"/>
      <c r="J41" s="1"/>
      <c r="K41" s="1" t="s">
        <v>97</v>
      </c>
      <c r="L41" s="1"/>
      <c r="M41" s="1"/>
      <c r="O41">
        <v>39</v>
      </c>
      <c r="P41" t="str">
        <f>$F$6&amp;-9</f>
        <v>K4-9</v>
      </c>
      <c r="Q41" t="str">
        <f>$L$4</f>
        <v>Side</v>
      </c>
      <c r="R41" t="str">
        <f>P36</f>
        <v>K4-4</v>
      </c>
      <c r="S41" t="str">
        <f>$G$8</f>
        <v>Naproom</v>
      </c>
      <c r="T41" t="str">
        <f>$C$4</f>
        <v>PC2</v>
      </c>
      <c r="U41" t="s">
        <v>27</v>
      </c>
      <c r="W41" t="s">
        <v>117</v>
      </c>
      <c r="X41" t="s">
        <v>121</v>
      </c>
      <c r="Y41">
        <f>VLOOKUP(Table58[[#This Row],[Location]],$G$3:$H$10,2,FALSE)+4</f>
        <v>6</v>
      </c>
      <c r="AA41" t="s">
        <v>125</v>
      </c>
    </row>
    <row r="42" spans="3:27" hidden="1" x14ac:dyDescent="0.2">
      <c r="C42" s="1"/>
      <c r="D42" s="1"/>
      <c r="E42" s="1"/>
      <c r="F42" s="1"/>
      <c r="G42" s="1"/>
      <c r="H42" s="1"/>
      <c r="I42" s="1"/>
      <c r="J42" s="1"/>
      <c r="K42" s="1" t="s">
        <v>98</v>
      </c>
      <c r="L42" s="1"/>
      <c r="M42" s="1"/>
      <c r="O42">
        <v>40</v>
      </c>
      <c r="P42" t="str">
        <f>$F$6&amp;-10</f>
        <v>K4-10</v>
      </c>
      <c r="Q42" t="str">
        <f>$L$4</f>
        <v>Side</v>
      </c>
      <c r="S42" t="str">
        <f>$G$5</f>
        <v>Hallway2</v>
      </c>
      <c r="T42" t="str">
        <f>$C$3</f>
        <v>PC1</v>
      </c>
      <c r="U42" t="s">
        <v>35</v>
      </c>
      <c r="W42" t="s">
        <v>113</v>
      </c>
      <c r="X42">
        <v>4</v>
      </c>
      <c r="Y42">
        <f>VLOOKUP(Table58[[#This Row],[Location]],$G$3:$H$10,2,FALSE)+4</f>
        <v>5</v>
      </c>
      <c r="AA42" t="s">
        <v>125</v>
      </c>
    </row>
    <row r="43" spans="3:27" hidden="1" x14ac:dyDescent="0.2">
      <c r="O43">
        <v>41</v>
      </c>
      <c r="P43" t="str">
        <f>$F$7&amp;-1</f>
        <v>K5-1</v>
      </c>
      <c r="Q43" t="str">
        <f t="shared" ref="Q43:Q49" si="5">$L$3</f>
        <v>Key</v>
      </c>
      <c r="R43" t="str">
        <f>P44</f>
        <v>K5-2</v>
      </c>
      <c r="S43" t="str">
        <f>$G$3</f>
        <v>Classroom</v>
      </c>
      <c r="T43" t="str">
        <f>$C$4</f>
        <v>PC2</v>
      </c>
      <c r="U43" t="s">
        <v>23</v>
      </c>
      <c r="W43" t="s">
        <v>117</v>
      </c>
      <c r="X43">
        <v>5</v>
      </c>
      <c r="Y43">
        <f>VLOOKUP(Table58[[#This Row],[Location]],$G$3:$H$10,2,FALSE)+4</f>
        <v>4</v>
      </c>
      <c r="AA43" t="s">
        <v>125</v>
      </c>
    </row>
    <row r="44" spans="3:27" hidden="1" x14ac:dyDescent="0.2">
      <c r="O44">
        <v>42</v>
      </c>
      <c r="P44" t="str">
        <f>$F$7&amp;-2</f>
        <v>K5-2</v>
      </c>
      <c r="Q44" t="str">
        <f t="shared" si="5"/>
        <v>Key</v>
      </c>
      <c r="S44" t="str">
        <f>$G$4</f>
        <v>Hallway1</v>
      </c>
      <c r="T44" t="str">
        <f>$C$5</f>
        <v>PC3</v>
      </c>
      <c r="V44" t="s">
        <v>79</v>
      </c>
      <c r="W44" t="s">
        <v>115</v>
      </c>
      <c r="X44" t="s">
        <v>122</v>
      </c>
      <c r="Y44">
        <f>VLOOKUP(Table58[[#This Row],[Location]],$G$3:$H$10,2,FALSE)+4</f>
        <v>5</v>
      </c>
      <c r="AA44" t="s">
        <v>125</v>
      </c>
    </row>
    <row r="45" spans="3:27" hidden="1" x14ac:dyDescent="0.2">
      <c r="O45">
        <v>43</v>
      </c>
      <c r="P45" t="str">
        <f>$F$7&amp;-3</f>
        <v>K5-3</v>
      </c>
      <c r="Q45" t="str">
        <f t="shared" si="5"/>
        <v>Key</v>
      </c>
      <c r="S45" t="str">
        <f>$G$10</f>
        <v>Storage</v>
      </c>
      <c r="T45" t="str">
        <f>$C$3</f>
        <v>PC1</v>
      </c>
      <c r="V45" t="s">
        <v>80</v>
      </c>
      <c r="W45" t="s">
        <v>115</v>
      </c>
      <c r="X45">
        <v>5</v>
      </c>
      <c r="Y45">
        <f>VLOOKUP(Table58[[#This Row],[Location]],$G$3:$H$10,2,FALSE)+4</f>
        <v>7</v>
      </c>
      <c r="AA45" t="s">
        <v>125</v>
      </c>
    </row>
    <row r="46" spans="3:27" hidden="1" x14ac:dyDescent="0.2">
      <c r="O46">
        <v>44</v>
      </c>
      <c r="P46" t="str">
        <f>$F$7&amp;-4</f>
        <v>K5-4</v>
      </c>
      <c r="Q46" t="str">
        <f t="shared" si="5"/>
        <v>Key</v>
      </c>
      <c r="S46" t="str">
        <f>$G$6</f>
        <v>Restroom</v>
      </c>
      <c r="T46" t="str">
        <f>$C$4</f>
        <v>PC2</v>
      </c>
      <c r="V46" t="s">
        <v>81</v>
      </c>
      <c r="W46" t="s">
        <v>115</v>
      </c>
      <c r="X46">
        <v>5</v>
      </c>
      <c r="Y46">
        <f>VLOOKUP(Table58[[#This Row],[Location]],$G$3:$H$10,2,FALSE)+4</f>
        <v>5</v>
      </c>
      <c r="AA46" t="s">
        <v>125</v>
      </c>
    </row>
    <row r="47" spans="3:27" hidden="1" x14ac:dyDescent="0.2">
      <c r="O47">
        <v>45</v>
      </c>
      <c r="P47" t="str">
        <f>$F$7&amp;-5</f>
        <v>K5-5</v>
      </c>
      <c r="Q47" t="str">
        <f t="shared" si="5"/>
        <v>Key</v>
      </c>
      <c r="S47" t="str">
        <f>$G$7</f>
        <v>Playground</v>
      </c>
      <c r="T47" t="str">
        <f>$C$4</f>
        <v>PC2</v>
      </c>
      <c r="V47" t="s">
        <v>82</v>
      </c>
      <c r="W47" t="s">
        <v>115</v>
      </c>
      <c r="X47" t="s">
        <v>121</v>
      </c>
      <c r="Y47">
        <f>VLOOKUP(Table58[[#This Row],[Location]],$G$3:$H$10,2,FALSE)+4</f>
        <v>6</v>
      </c>
      <c r="AA47" t="s">
        <v>125</v>
      </c>
    </row>
    <row r="48" spans="3:27" hidden="1" x14ac:dyDescent="0.2">
      <c r="O48">
        <v>46</v>
      </c>
      <c r="P48" t="str">
        <f>$F$7&amp;-6</f>
        <v>K5-6</v>
      </c>
      <c r="Q48" t="str">
        <f t="shared" si="5"/>
        <v>Key</v>
      </c>
      <c r="S48" t="str">
        <f>$G$8</f>
        <v>Naproom</v>
      </c>
      <c r="T48" t="str">
        <f>$C$5</f>
        <v>PC3</v>
      </c>
      <c r="V48" t="s">
        <v>83</v>
      </c>
      <c r="W48" t="s">
        <v>115</v>
      </c>
      <c r="X48" t="s">
        <v>121</v>
      </c>
      <c r="Y48">
        <f>VLOOKUP(Table58[[#This Row],[Location]],$G$3:$H$10,2,FALSE)+4</f>
        <v>6</v>
      </c>
      <c r="AA48" t="s">
        <v>125</v>
      </c>
    </row>
    <row r="49" spans="15:27" hidden="1" x14ac:dyDescent="0.2">
      <c r="O49">
        <v>47</v>
      </c>
      <c r="P49" t="str">
        <f>$F$7&amp;-7</f>
        <v>K5-7</v>
      </c>
      <c r="Q49" t="str">
        <f t="shared" si="5"/>
        <v>Key</v>
      </c>
      <c r="R49" t="str">
        <f>P47</f>
        <v>K5-5</v>
      </c>
      <c r="S49" t="str">
        <f>$G$9</f>
        <v>Office</v>
      </c>
      <c r="T49" t="str">
        <f>$C$3</f>
        <v>PC1</v>
      </c>
      <c r="U49" t="s">
        <v>19</v>
      </c>
      <c r="W49" t="s">
        <v>113</v>
      </c>
      <c r="X49">
        <v>5</v>
      </c>
      <c r="Y49">
        <f>VLOOKUP(Table58[[#This Row],[Location]],$G$3:$H$10,2,FALSE)+4</f>
        <v>7</v>
      </c>
      <c r="AA49" t="s">
        <v>125</v>
      </c>
    </row>
    <row r="50" spans="15:27" x14ac:dyDescent="0.2">
      <c r="O50">
        <v>48</v>
      </c>
      <c r="P50" t="str">
        <f>$F$7&amp;-8</f>
        <v>K5-8</v>
      </c>
      <c r="Q50" t="str">
        <f>$L$4</f>
        <v>Side</v>
      </c>
      <c r="S50" t="str">
        <f>$G$10</f>
        <v>Storage</v>
      </c>
      <c r="T50" t="str">
        <f>$C$5</f>
        <v>PC3</v>
      </c>
      <c r="U50" t="s">
        <v>37</v>
      </c>
      <c r="W50" t="s">
        <v>113</v>
      </c>
      <c r="X50">
        <v>5</v>
      </c>
      <c r="Y50">
        <f>VLOOKUP(Table58[[#This Row],[Location]],$G$3:$H$10,2,FALSE)+4</f>
        <v>7</v>
      </c>
      <c r="AA50" t="s">
        <v>125</v>
      </c>
    </row>
    <row r="51" spans="15:27" hidden="1" x14ac:dyDescent="0.2">
      <c r="O51">
        <v>49</v>
      </c>
      <c r="P51" t="str">
        <f>$F$7&amp;-9</f>
        <v>K5-9</v>
      </c>
      <c r="Q51" t="str">
        <f>$L$4</f>
        <v>Side</v>
      </c>
      <c r="R51" t="str">
        <f>P46</f>
        <v>K5-4</v>
      </c>
      <c r="S51" t="str">
        <f>$G$3</f>
        <v>Classroom</v>
      </c>
      <c r="T51" t="str">
        <f>$C$5</f>
        <v>PC3</v>
      </c>
      <c r="U51" t="s">
        <v>22</v>
      </c>
      <c r="W51" t="s">
        <v>117</v>
      </c>
      <c r="X51" t="s">
        <v>122</v>
      </c>
      <c r="Y51">
        <f>VLOOKUP(Table58[[#This Row],[Location]],$G$3:$H$10,2,FALSE)+4</f>
        <v>4</v>
      </c>
      <c r="AA51" t="s">
        <v>125</v>
      </c>
    </row>
    <row r="52" spans="15:27" hidden="1" x14ac:dyDescent="0.2">
      <c r="O52">
        <v>50</v>
      </c>
      <c r="P52" t="str">
        <f>$F$7&amp;-10</f>
        <v>K5-10</v>
      </c>
      <c r="Q52" t="str">
        <f>$L$4</f>
        <v>Side</v>
      </c>
      <c r="R52" t="str">
        <f>P48</f>
        <v>K5-6</v>
      </c>
      <c r="S52" t="str">
        <f>$G$9</f>
        <v>Office</v>
      </c>
      <c r="T52" t="str">
        <f>$C$3</f>
        <v>PC1</v>
      </c>
      <c r="U52" t="s">
        <v>16</v>
      </c>
      <c r="W52" t="s">
        <v>117</v>
      </c>
      <c r="X52" t="s">
        <v>121</v>
      </c>
      <c r="Y52">
        <f>VLOOKUP(Table58[[#This Row],[Location]],$G$3:$H$10,2,FALSE)+4</f>
        <v>7</v>
      </c>
      <c r="AA52" t="s">
        <v>125</v>
      </c>
    </row>
    <row r="53" spans="15:27" hidden="1" x14ac:dyDescent="0.2">
      <c r="O53">
        <v>51</v>
      </c>
      <c r="P53" t="str">
        <f>$F$8&amp;-1</f>
        <v>K6-1</v>
      </c>
      <c r="Q53" t="str">
        <f t="shared" ref="Q53:Q59" si="6">$L$3</f>
        <v>Key</v>
      </c>
      <c r="S53" t="str">
        <f>$G$3</f>
        <v>Classroom</v>
      </c>
      <c r="T53" t="str">
        <f>$C$4</f>
        <v>PC2</v>
      </c>
      <c r="V53" t="s">
        <v>84</v>
      </c>
      <c r="W53" t="s">
        <v>115</v>
      </c>
      <c r="X53">
        <v>6</v>
      </c>
      <c r="Y53">
        <f>VLOOKUP(Table58[[#This Row],[Location]],$G$3:$H$10,2,FALSE)+4</f>
        <v>4</v>
      </c>
      <c r="AA53" t="s">
        <v>125</v>
      </c>
    </row>
    <row r="54" spans="15:27" hidden="1" x14ac:dyDescent="0.2">
      <c r="O54">
        <v>52</v>
      </c>
      <c r="P54" t="str">
        <f>$F$8&amp;-2</f>
        <v>K6-2</v>
      </c>
      <c r="Q54" t="str">
        <f t="shared" si="6"/>
        <v>Key</v>
      </c>
      <c r="S54" t="str">
        <f>$G$10</f>
        <v>Storage</v>
      </c>
      <c r="T54" t="str">
        <f>$C$3</f>
        <v>PC1</v>
      </c>
      <c r="V54" t="s">
        <v>85</v>
      </c>
      <c r="W54" t="s">
        <v>115</v>
      </c>
      <c r="X54" t="s">
        <v>121</v>
      </c>
      <c r="Y54">
        <f>VLOOKUP(Table58[[#This Row],[Location]],$G$3:$H$10,2,FALSE)+4</f>
        <v>7</v>
      </c>
      <c r="AA54" t="s">
        <v>125</v>
      </c>
    </row>
    <row r="55" spans="15:27" hidden="1" x14ac:dyDescent="0.2">
      <c r="O55">
        <v>53</v>
      </c>
      <c r="P55" t="str">
        <f>$F$8&amp;-3</f>
        <v>K6-3</v>
      </c>
      <c r="Q55" t="str">
        <f t="shared" si="6"/>
        <v>Key</v>
      </c>
      <c r="S55" t="str">
        <f>$G$5</f>
        <v>Hallway2</v>
      </c>
      <c r="T55" t="str">
        <f>$C$4</f>
        <v>PC2</v>
      </c>
      <c r="V55" t="s">
        <v>86</v>
      </c>
      <c r="W55" t="s">
        <v>115</v>
      </c>
      <c r="X55" t="s">
        <v>122</v>
      </c>
      <c r="Y55">
        <f>VLOOKUP(Table58[[#This Row],[Location]],$G$3:$H$10,2,FALSE)+4</f>
        <v>5</v>
      </c>
      <c r="AA55" t="s">
        <v>125</v>
      </c>
    </row>
    <row r="56" spans="15:27" hidden="1" x14ac:dyDescent="0.2">
      <c r="O56">
        <v>54</v>
      </c>
      <c r="P56" t="str">
        <f>$F$8&amp;-4</f>
        <v>K6-4</v>
      </c>
      <c r="Q56" t="str">
        <f t="shared" si="6"/>
        <v>Key</v>
      </c>
      <c r="S56" t="str">
        <f>$G$6</f>
        <v>Restroom</v>
      </c>
      <c r="T56" t="str">
        <f>$C$5</f>
        <v>PC3</v>
      </c>
      <c r="V56" t="s">
        <v>87</v>
      </c>
      <c r="W56" t="s">
        <v>115</v>
      </c>
      <c r="X56" t="s">
        <v>121</v>
      </c>
      <c r="Y56">
        <f>VLOOKUP(Table58[[#This Row],[Location]],$G$3:$H$10,2,FALSE)+4</f>
        <v>5</v>
      </c>
      <c r="AA56" t="s">
        <v>125</v>
      </c>
    </row>
    <row r="57" spans="15:27" hidden="1" x14ac:dyDescent="0.2">
      <c r="O57">
        <v>55</v>
      </c>
      <c r="P57" t="str">
        <f>$F$8&amp;-5</f>
        <v>K6-5</v>
      </c>
      <c r="Q57" t="str">
        <f t="shared" si="6"/>
        <v>Key</v>
      </c>
      <c r="S57" t="str">
        <f>$G$7</f>
        <v>Playground</v>
      </c>
      <c r="T57" t="str">
        <f>$C$3</f>
        <v>PC1</v>
      </c>
      <c r="V57" t="s">
        <v>88</v>
      </c>
      <c r="W57" t="s">
        <v>115</v>
      </c>
      <c r="X57" t="s">
        <v>121</v>
      </c>
      <c r="Y57">
        <f>VLOOKUP(Table58[[#This Row],[Location]],$G$3:$H$10,2,FALSE)+4</f>
        <v>6</v>
      </c>
      <c r="AA57" t="s">
        <v>125</v>
      </c>
    </row>
    <row r="58" spans="15:27" hidden="1" x14ac:dyDescent="0.2">
      <c r="O58">
        <v>56</v>
      </c>
      <c r="P58" t="str">
        <f>$F$8&amp;-6</f>
        <v>K6-6</v>
      </c>
      <c r="Q58" t="str">
        <f t="shared" si="6"/>
        <v>Key</v>
      </c>
      <c r="R58" t="str">
        <f>P55</f>
        <v>K6-3</v>
      </c>
      <c r="S58" t="str">
        <f>$G$8</f>
        <v>Naproom</v>
      </c>
      <c r="T58" t="str">
        <f>$C$4</f>
        <v>PC2</v>
      </c>
      <c r="U58" t="s">
        <v>25</v>
      </c>
      <c r="W58" t="s">
        <v>117</v>
      </c>
      <c r="X58">
        <v>6</v>
      </c>
      <c r="Y58">
        <f>VLOOKUP(Table58[[#This Row],[Location]],$G$3:$H$10,2,FALSE)+4</f>
        <v>6</v>
      </c>
      <c r="AA58" t="s">
        <v>125</v>
      </c>
    </row>
    <row r="59" spans="15:27" hidden="1" x14ac:dyDescent="0.2">
      <c r="O59">
        <v>57</v>
      </c>
      <c r="P59" t="str">
        <f>$F$8&amp;-7</f>
        <v>K6-7</v>
      </c>
      <c r="Q59" t="str">
        <f t="shared" si="6"/>
        <v>Key</v>
      </c>
      <c r="S59" t="str">
        <f>$G$9</f>
        <v>Office</v>
      </c>
      <c r="T59" t="str">
        <f>$C$4</f>
        <v>PC2</v>
      </c>
      <c r="U59" t="s">
        <v>30</v>
      </c>
      <c r="W59" t="s">
        <v>113</v>
      </c>
      <c r="X59">
        <v>6</v>
      </c>
      <c r="Y59">
        <f>VLOOKUP(Table58[[#This Row],[Location]],$G$3:$H$10,2,FALSE)+4</f>
        <v>7</v>
      </c>
      <c r="AA59" t="s">
        <v>125</v>
      </c>
    </row>
    <row r="60" spans="15:27" hidden="1" x14ac:dyDescent="0.2">
      <c r="O60">
        <v>58</v>
      </c>
      <c r="P60" t="str">
        <f>$F$8&amp;-8</f>
        <v>K6-8</v>
      </c>
      <c r="Q60" t="str">
        <f>$L$4</f>
        <v>Side</v>
      </c>
      <c r="S60" t="str">
        <f>$G$7</f>
        <v>Playground</v>
      </c>
      <c r="T60" t="str">
        <f>$C$5</f>
        <v>PC3</v>
      </c>
      <c r="U60" t="s">
        <v>34</v>
      </c>
      <c r="W60" t="s">
        <v>113</v>
      </c>
      <c r="X60" t="s">
        <v>121</v>
      </c>
      <c r="Y60">
        <f>VLOOKUP(Table58[[#This Row],[Location]],$G$3:$H$10,2,FALSE)+4</f>
        <v>6</v>
      </c>
      <c r="AA60" t="s">
        <v>125</v>
      </c>
    </row>
    <row r="61" spans="15:27" hidden="1" x14ac:dyDescent="0.2">
      <c r="O61">
        <v>59</v>
      </c>
      <c r="P61" t="str">
        <f>$F$8&amp;-9</f>
        <v>K6-9</v>
      </c>
      <c r="Q61" t="str">
        <f>$L$4</f>
        <v>Side</v>
      </c>
      <c r="R61" t="str">
        <f>P60</f>
        <v>K6-8</v>
      </c>
      <c r="S61" t="str">
        <f>$G$3</f>
        <v>Classroom</v>
      </c>
      <c r="T61" t="str">
        <f>$C$3</f>
        <v>PC1</v>
      </c>
      <c r="U61" t="s">
        <v>27</v>
      </c>
      <c r="W61" t="s">
        <v>117</v>
      </c>
      <c r="X61">
        <v>6</v>
      </c>
      <c r="Y61">
        <f>VLOOKUP(Table58[[#This Row],[Location]],$G$3:$H$10,2,FALSE)+4</f>
        <v>4</v>
      </c>
      <c r="AA61" t="s">
        <v>125</v>
      </c>
    </row>
    <row r="62" spans="15:27" hidden="1" x14ac:dyDescent="0.2">
      <c r="O62">
        <v>60</v>
      </c>
      <c r="P62" t="str">
        <f>$F$8&amp;-10</f>
        <v>K6-10</v>
      </c>
      <c r="Q62" t="str">
        <f>$L$4</f>
        <v>Side</v>
      </c>
      <c r="S62" t="str">
        <f>$G$9</f>
        <v>Office</v>
      </c>
      <c r="T62" t="str">
        <f>$C$5</f>
        <v>PC3</v>
      </c>
      <c r="U62" t="s">
        <v>33</v>
      </c>
      <c r="W62" t="s">
        <v>113</v>
      </c>
      <c r="X62" t="s">
        <v>121</v>
      </c>
      <c r="Y62">
        <f>VLOOKUP(Table58[[#This Row],[Location]],$G$3:$H$10,2,FALSE)+4</f>
        <v>7</v>
      </c>
      <c r="AA62" t="s">
        <v>125</v>
      </c>
    </row>
    <row r="63" spans="15:27" hidden="1" x14ac:dyDescent="0.2">
      <c r="O63">
        <v>61</v>
      </c>
      <c r="P63" t="str">
        <f>$F$9&amp;-1</f>
        <v>K7-1</v>
      </c>
      <c r="Q63" t="str">
        <f t="shared" ref="Q63:Q69" si="7">$L$3</f>
        <v>Key</v>
      </c>
      <c r="R63" t="str">
        <f>P67</f>
        <v>K7-5</v>
      </c>
      <c r="S63" t="str">
        <f>$G$3</f>
        <v>Classroom</v>
      </c>
      <c r="T63" t="str">
        <f>$C$5</f>
        <v>PC3</v>
      </c>
      <c r="U63" t="s">
        <v>20</v>
      </c>
      <c r="W63" t="s">
        <v>117</v>
      </c>
      <c r="X63">
        <v>3</v>
      </c>
      <c r="Y63">
        <f>VLOOKUP(Table58[[#This Row],[Location]],$G$3:$H$10,2,FALSE)+4</f>
        <v>4</v>
      </c>
      <c r="Z63" t="s">
        <v>131</v>
      </c>
      <c r="AA63" t="s">
        <v>125</v>
      </c>
    </row>
    <row r="64" spans="15:27" hidden="1" x14ac:dyDescent="0.2">
      <c r="O64">
        <v>62</v>
      </c>
      <c r="P64" t="str">
        <f>$F$9&amp;-2</f>
        <v>K7-2</v>
      </c>
      <c r="Q64" t="str">
        <f t="shared" si="7"/>
        <v>Key</v>
      </c>
      <c r="S64" t="str">
        <f>$G$4</f>
        <v>Hallway1</v>
      </c>
      <c r="T64" t="str">
        <f>$C$3</f>
        <v>PC1</v>
      </c>
      <c r="U64" t="s">
        <v>24</v>
      </c>
      <c r="W64" t="s">
        <v>113</v>
      </c>
      <c r="X64">
        <v>3</v>
      </c>
      <c r="Y64">
        <f>VLOOKUP(Table58[[#This Row],[Location]],$G$3:$H$10,2,FALSE)+4</f>
        <v>5</v>
      </c>
      <c r="Z64" t="s">
        <v>131</v>
      </c>
      <c r="AA64" t="s">
        <v>125</v>
      </c>
    </row>
    <row r="65" spans="15:27" hidden="1" x14ac:dyDescent="0.2">
      <c r="O65">
        <v>63</v>
      </c>
      <c r="P65" t="str">
        <f>$F$9&amp;-3</f>
        <v>K7-3</v>
      </c>
      <c r="Q65" t="str">
        <f t="shared" si="7"/>
        <v>Key</v>
      </c>
      <c r="R65" t="str">
        <f>P64</f>
        <v>K7-2</v>
      </c>
      <c r="S65" t="str">
        <f>$G$10</f>
        <v>Storage</v>
      </c>
      <c r="T65" t="str">
        <f>$C$4</f>
        <v>PC2</v>
      </c>
      <c r="U65" t="s">
        <v>38</v>
      </c>
      <c r="W65" t="s">
        <v>117</v>
      </c>
      <c r="X65" t="s">
        <v>124</v>
      </c>
      <c r="Y65">
        <f>VLOOKUP(Table58[[#This Row],[Location]],$G$3:$H$10,2,FALSE)+4</f>
        <v>7</v>
      </c>
      <c r="Z65" t="s">
        <v>131</v>
      </c>
      <c r="AA65" t="s">
        <v>125</v>
      </c>
    </row>
    <row r="66" spans="15:27" hidden="1" x14ac:dyDescent="0.2">
      <c r="O66">
        <v>64</v>
      </c>
      <c r="P66" t="str">
        <f>$F$9&amp;-4</f>
        <v>K7-4</v>
      </c>
      <c r="Q66" t="str">
        <f t="shared" si="7"/>
        <v>Key</v>
      </c>
      <c r="R66" t="str">
        <f>P71</f>
        <v>K7-9</v>
      </c>
      <c r="S66" t="str">
        <f>$G$6</f>
        <v>Restroom</v>
      </c>
      <c r="T66" t="str">
        <f>$C$3</f>
        <v>PC1</v>
      </c>
      <c r="U66" t="s">
        <v>31</v>
      </c>
      <c r="W66" t="s">
        <v>117</v>
      </c>
      <c r="X66" t="s">
        <v>121</v>
      </c>
      <c r="Y66">
        <f>VLOOKUP(Table58[[#This Row],[Location]],$G$3:$H$10,2,FALSE)+4</f>
        <v>5</v>
      </c>
      <c r="Z66" t="s">
        <v>131</v>
      </c>
      <c r="AA66" t="s">
        <v>125</v>
      </c>
    </row>
    <row r="67" spans="15:27" hidden="1" x14ac:dyDescent="0.2">
      <c r="O67">
        <v>65</v>
      </c>
      <c r="P67" t="str">
        <f>$F$9&amp;-5</f>
        <v>K7-5</v>
      </c>
      <c r="Q67" t="str">
        <f t="shared" si="7"/>
        <v>Key</v>
      </c>
      <c r="S67" t="str">
        <f>$G$7</f>
        <v>Playground</v>
      </c>
      <c r="T67" t="str">
        <f>$C$4</f>
        <v>PC2</v>
      </c>
      <c r="V67" t="s">
        <v>89</v>
      </c>
      <c r="W67" t="s">
        <v>115</v>
      </c>
      <c r="X67">
        <v>3</v>
      </c>
      <c r="Y67">
        <f>VLOOKUP(Table58[[#This Row],[Location]],$G$3:$H$10,2,FALSE)+4</f>
        <v>6</v>
      </c>
      <c r="Z67" t="s">
        <v>131</v>
      </c>
      <c r="AA67" t="s">
        <v>125</v>
      </c>
    </row>
    <row r="68" spans="15:27" hidden="1" x14ac:dyDescent="0.2">
      <c r="O68">
        <v>66</v>
      </c>
      <c r="P68" t="str">
        <f>$F$9&amp;-6</f>
        <v>K7-6</v>
      </c>
      <c r="Q68" t="str">
        <f t="shared" si="7"/>
        <v>Key</v>
      </c>
      <c r="S68" t="str">
        <f>$G$8</f>
        <v>Naproom</v>
      </c>
      <c r="T68" t="str">
        <f>$C$5</f>
        <v>PC3</v>
      </c>
      <c r="V68" t="s">
        <v>90</v>
      </c>
      <c r="W68" t="s">
        <v>115</v>
      </c>
      <c r="X68" t="s">
        <v>124</v>
      </c>
      <c r="Y68">
        <f>VLOOKUP(Table58[[#This Row],[Location]],$G$3:$H$10,2,FALSE)+4</f>
        <v>6</v>
      </c>
      <c r="Z68" t="s">
        <v>131</v>
      </c>
      <c r="AA68" t="s">
        <v>125</v>
      </c>
    </row>
    <row r="69" spans="15:27" hidden="1" x14ac:dyDescent="0.2">
      <c r="O69">
        <v>67</v>
      </c>
      <c r="P69" t="str">
        <f>$F$9&amp;-7</f>
        <v>K7-7</v>
      </c>
      <c r="Q69" t="str">
        <f t="shared" si="7"/>
        <v>Key</v>
      </c>
      <c r="S69" t="str">
        <f>$G$9</f>
        <v>Office</v>
      </c>
      <c r="T69" t="str">
        <f>$C$3</f>
        <v>PC1</v>
      </c>
      <c r="V69" t="s">
        <v>91</v>
      </c>
      <c r="W69" t="s">
        <v>115</v>
      </c>
      <c r="X69" t="s">
        <v>124</v>
      </c>
      <c r="Y69">
        <f>VLOOKUP(Table58[[#This Row],[Location]],$G$3:$H$10,2,FALSE)+4</f>
        <v>7</v>
      </c>
      <c r="Z69" t="s">
        <v>131</v>
      </c>
      <c r="AA69" t="s">
        <v>125</v>
      </c>
    </row>
    <row r="70" spans="15:27" hidden="1" x14ac:dyDescent="0.2">
      <c r="O70">
        <v>68</v>
      </c>
      <c r="P70" t="str">
        <f>$F$9&amp;-8</f>
        <v>K7-8</v>
      </c>
      <c r="Q70" t="str">
        <f>$L$4</f>
        <v>Side</v>
      </c>
      <c r="S70" t="str">
        <f>$G$10</f>
        <v>Storage</v>
      </c>
      <c r="T70" t="str">
        <f>$C$4</f>
        <v>PC2</v>
      </c>
      <c r="V70" t="s">
        <v>92</v>
      </c>
      <c r="W70" t="s">
        <v>115</v>
      </c>
      <c r="X70" t="s">
        <v>121</v>
      </c>
      <c r="Y70">
        <f>VLOOKUP(Table58[[#This Row],[Location]],$G$3:$H$10,2,FALSE)+4</f>
        <v>7</v>
      </c>
      <c r="Z70" t="s">
        <v>131</v>
      </c>
      <c r="AA70" t="s">
        <v>125</v>
      </c>
    </row>
    <row r="71" spans="15:27" hidden="1" x14ac:dyDescent="0.2">
      <c r="O71">
        <v>69</v>
      </c>
      <c r="P71" t="str">
        <f>$F$9&amp;-9</f>
        <v>K7-9</v>
      </c>
      <c r="Q71" t="str">
        <f>$L$4</f>
        <v>Side</v>
      </c>
      <c r="S71" t="str">
        <f>$G$8</f>
        <v>Naproom</v>
      </c>
      <c r="T71" t="str">
        <f>$C$4</f>
        <v>PC2</v>
      </c>
      <c r="V71" t="s">
        <v>93</v>
      </c>
      <c r="W71" t="s">
        <v>115</v>
      </c>
      <c r="X71" t="s">
        <v>122</v>
      </c>
      <c r="Y71">
        <f>VLOOKUP(Table58[[#This Row],[Location]],$G$3:$H$10,2,FALSE)+4</f>
        <v>6</v>
      </c>
      <c r="Z71" t="s">
        <v>131</v>
      </c>
      <c r="AA71" t="s">
        <v>125</v>
      </c>
    </row>
    <row r="72" spans="15:27" hidden="1" x14ac:dyDescent="0.2">
      <c r="O72">
        <v>70</v>
      </c>
      <c r="P72" t="str">
        <f>$F$9&amp;-10</f>
        <v>K7-10</v>
      </c>
      <c r="Q72" t="str">
        <f>$L$4</f>
        <v>Side</v>
      </c>
      <c r="R72" t="str">
        <f>P68</f>
        <v>K7-6</v>
      </c>
      <c r="S72" t="str">
        <f>$G$3</f>
        <v>Classroom</v>
      </c>
      <c r="T72" t="str">
        <f>$C$5</f>
        <v>PC3</v>
      </c>
      <c r="U72" t="s">
        <v>37</v>
      </c>
      <c r="W72" t="s">
        <v>117</v>
      </c>
      <c r="X72" t="s">
        <v>124</v>
      </c>
      <c r="Y72">
        <f>VLOOKUP(Table58[[#This Row],[Location]],$G$3:$H$10,2,FALSE)+4</f>
        <v>4</v>
      </c>
      <c r="Z72" t="s">
        <v>131</v>
      </c>
      <c r="AA72" t="s">
        <v>125</v>
      </c>
    </row>
    <row r="73" spans="15:27" hidden="1" x14ac:dyDescent="0.2">
      <c r="O73">
        <v>71</v>
      </c>
      <c r="P73" t="str">
        <f>$F$10&amp;-1</f>
        <v>K8-1</v>
      </c>
      <c r="Q73" t="str">
        <f t="shared" ref="Q73:Q79" si="8">$L$3</f>
        <v>Key</v>
      </c>
      <c r="R73" t="str">
        <f>P74</f>
        <v>K8-2</v>
      </c>
      <c r="S73" t="str">
        <f>$G$3</f>
        <v>Classroom</v>
      </c>
      <c r="T73" t="str">
        <f>$C$3</f>
        <v>PC1</v>
      </c>
      <c r="U73" t="s">
        <v>28</v>
      </c>
      <c r="W73" t="s">
        <v>117</v>
      </c>
      <c r="X73">
        <v>5</v>
      </c>
      <c r="Y73">
        <f>VLOOKUP(Table58[[#This Row],[Location]],$G$3:$H$10,2,FALSE)+4</f>
        <v>4</v>
      </c>
      <c r="AA73" t="s">
        <v>125</v>
      </c>
    </row>
    <row r="74" spans="15:27" x14ac:dyDescent="0.2">
      <c r="O74">
        <v>72</v>
      </c>
      <c r="P74" t="str">
        <f>$F$10&amp;-2</f>
        <v>K8-2</v>
      </c>
      <c r="Q74" t="str">
        <f t="shared" si="8"/>
        <v>Key</v>
      </c>
      <c r="S74" t="str">
        <f>$G$10</f>
        <v>Storage</v>
      </c>
      <c r="T74" t="str">
        <f>$C$5</f>
        <v>PC3</v>
      </c>
      <c r="U74" t="s">
        <v>34</v>
      </c>
      <c r="W74" t="s">
        <v>113</v>
      </c>
      <c r="X74" t="s">
        <v>122</v>
      </c>
      <c r="Y74">
        <f>VLOOKUP(Table58[[#This Row],[Location]],$G$3:$H$10,2,FALSE)+4</f>
        <v>7</v>
      </c>
      <c r="AA74" t="s">
        <v>125</v>
      </c>
    </row>
    <row r="75" spans="15:27" hidden="1" x14ac:dyDescent="0.2">
      <c r="O75">
        <v>73</v>
      </c>
      <c r="P75" t="str">
        <f>$F$10&amp;-3</f>
        <v>K8-3</v>
      </c>
      <c r="Q75" t="str">
        <f t="shared" si="8"/>
        <v>Key</v>
      </c>
      <c r="S75" t="str">
        <f>$G$5</f>
        <v>Hallway2</v>
      </c>
      <c r="T75" t="str">
        <f>$C$5</f>
        <v>PC3</v>
      </c>
      <c r="U75" t="s">
        <v>39</v>
      </c>
      <c r="W75" t="s">
        <v>113</v>
      </c>
      <c r="X75">
        <v>5</v>
      </c>
      <c r="Y75">
        <f>VLOOKUP(Table58[[#This Row],[Location]],$G$3:$H$10,2,FALSE)+4</f>
        <v>5</v>
      </c>
      <c r="AA75" t="s">
        <v>125</v>
      </c>
    </row>
    <row r="76" spans="15:27" hidden="1" x14ac:dyDescent="0.2">
      <c r="O76">
        <v>74</v>
      </c>
      <c r="P76" t="str">
        <f>$F$10&amp;-4</f>
        <v>K8-4</v>
      </c>
      <c r="Q76" t="str">
        <f t="shared" si="8"/>
        <v>Key</v>
      </c>
      <c r="S76" t="str">
        <f>$G$6</f>
        <v>Restroom</v>
      </c>
      <c r="T76" t="str">
        <f>$C$3</f>
        <v>PC1</v>
      </c>
      <c r="V76" t="s">
        <v>94</v>
      </c>
      <c r="W76" t="s">
        <v>115</v>
      </c>
      <c r="X76" t="s">
        <v>122</v>
      </c>
      <c r="Y76">
        <f>VLOOKUP(Table58[[#This Row],[Location]],$G$3:$H$10,2,FALSE)+4</f>
        <v>5</v>
      </c>
      <c r="AA76" t="s">
        <v>125</v>
      </c>
    </row>
    <row r="77" spans="15:27" hidden="1" x14ac:dyDescent="0.2">
      <c r="O77">
        <v>75</v>
      </c>
      <c r="P77" t="str">
        <f>$F$10&amp;-5</f>
        <v>K8-5</v>
      </c>
      <c r="Q77" t="str">
        <f t="shared" si="8"/>
        <v>Key</v>
      </c>
      <c r="S77" t="str">
        <f>$G$7</f>
        <v>Playground</v>
      </c>
      <c r="T77" t="str">
        <f>$C$4</f>
        <v>PC2</v>
      </c>
      <c r="V77" t="s">
        <v>95</v>
      </c>
      <c r="W77" t="s">
        <v>115</v>
      </c>
      <c r="X77">
        <v>5</v>
      </c>
      <c r="Y77">
        <f>VLOOKUP(Table58[[#This Row],[Location]],$G$3:$H$10,2,FALSE)+4</f>
        <v>6</v>
      </c>
      <c r="AA77" t="s">
        <v>125</v>
      </c>
    </row>
    <row r="78" spans="15:27" hidden="1" x14ac:dyDescent="0.2">
      <c r="O78">
        <v>76</v>
      </c>
      <c r="P78" t="str">
        <f>$F$10&amp;-6</f>
        <v>K8-6</v>
      </c>
      <c r="Q78" t="str">
        <f t="shared" si="8"/>
        <v>Key</v>
      </c>
      <c r="S78" t="str">
        <f>$G$8</f>
        <v>Naproom</v>
      </c>
      <c r="T78" t="str">
        <f>$C$3</f>
        <v>PC1</v>
      </c>
      <c r="V78" t="s">
        <v>96</v>
      </c>
      <c r="W78" t="s">
        <v>115</v>
      </c>
      <c r="X78" t="s">
        <v>122</v>
      </c>
      <c r="Y78">
        <f>VLOOKUP(Table58[[#This Row],[Location]],$G$3:$H$10,2,FALSE)+4</f>
        <v>6</v>
      </c>
      <c r="AA78" t="s">
        <v>125</v>
      </c>
    </row>
    <row r="79" spans="15:27" hidden="1" x14ac:dyDescent="0.2">
      <c r="O79">
        <v>77</v>
      </c>
      <c r="P79" t="str">
        <f>$F$10&amp;-7</f>
        <v>K8-7</v>
      </c>
      <c r="Q79" t="str">
        <f t="shared" si="8"/>
        <v>Key</v>
      </c>
      <c r="S79" t="str">
        <f>$G$9</f>
        <v>Office</v>
      </c>
      <c r="T79" t="str">
        <f>$C$4</f>
        <v>PC2</v>
      </c>
      <c r="V79" t="s">
        <v>97</v>
      </c>
      <c r="W79" t="s">
        <v>115</v>
      </c>
      <c r="X79" t="s">
        <v>121</v>
      </c>
      <c r="Y79">
        <f>VLOOKUP(Table58[[#This Row],[Location]],$G$3:$H$10,2,FALSE)+4</f>
        <v>7</v>
      </c>
      <c r="AA79" t="s">
        <v>125</v>
      </c>
    </row>
    <row r="80" spans="15:27" hidden="1" x14ac:dyDescent="0.2">
      <c r="O80">
        <v>78</v>
      </c>
      <c r="P80" t="str">
        <f>$F$10&amp;-8</f>
        <v>K8-8</v>
      </c>
      <c r="Q80" t="str">
        <f>$L$4</f>
        <v>Side</v>
      </c>
      <c r="S80" t="str">
        <f>$G$3</f>
        <v>Classroom</v>
      </c>
      <c r="T80" t="str">
        <f>$C$5</f>
        <v>PC3</v>
      </c>
      <c r="V80" t="s">
        <v>98</v>
      </c>
      <c r="W80" t="s">
        <v>115</v>
      </c>
      <c r="X80" t="s">
        <v>121</v>
      </c>
      <c r="Y80">
        <f>VLOOKUP(Table58[[#This Row],[Location]],$G$3:$H$10,2,FALSE)+4</f>
        <v>4</v>
      </c>
      <c r="AA80" t="s">
        <v>125</v>
      </c>
    </row>
    <row r="81" spans="15:27" hidden="1" x14ac:dyDescent="0.2">
      <c r="O81">
        <v>79</v>
      </c>
      <c r="P81" t="str">
        <f>$F$10&amp;-9</f>
        <v>K8-9</v>
      </c>
      <c r="Q81" t="str">
        <f>$L$4</f>
        <v>Side</v>
      </c>
      <c r="R81" t="str">
        <f>P78</f>
        <v>K8-6</v>
      </c>
      <c r="S81" t="str">
        <f>$G$6</f>
        <v>Restroom</v>
      </c>
      <c r="T81" t="str">
        <f>$C$3</f>
        <v>PC1</v>
      </c>
      <c r="U81" t="s">
        <v>27</v>
      </c>
      <c r="W81" t="s">
        <v>117</v>
      </c>
      <c r="X81" t="s">
        <v>122</v>
      </c>
      <c r="Y81">
        <f>VLOOKUP(Table58[[#This Row],[Location]],$G$3:$H$10,2,FALSE)+4</f>
        <v>5</v>
      </c>
      <c r="AA81" t="s">
        <v>125</v>
      </c>
    </row>
    <row r="82" spans="15:27" hidden="1" x14ac:dyDescent="0.2">
      <c r="O82">
        <v>80</v>
      </c>
      <c r="P82" t="str">
        <f>$F$10&amp;-10</f>
        <v>K8-10</v>
      </c>
      <c r="Q82" t="str">
        <f>$L$4</f>
        <v>Side</v>
      </c>
      <c r="S82" t="str">
        <f>$G$5</f>
        <v>Hallway2</v>
      </c>
      <c r="T82" t="str">
        <f>$C$4</f>
        <v>PC2</v>
      </c>
      <c r="U82" t="s">
        <v>18</v>
      </c>
      <c r="W82" t="s">
        <v>113</v>
      </c>
      <c r="X82">
        <v>5</v>
      </c>
      <c r="Y82">
        <f>VLOOKUP(Table58[[#This Row],[Location]],$G$3:$H$10,2,FALSE)+4</f>
        <v>5</v>
      </c>
      <c r="AA82" t="s">
        <v>125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BAFA-5A2F-452D-BF9F-285FCC575DA4}">
  <dimension ref="A1:X17"/>
  <sheetViews>
    <sheetView workbookViewId="0">
      <selection activeCell="E23" sqref="E23"/>
    </sheetView>
  </sheetViews>
  <sheetFormatPr baseColWidth="10" defaultColWidth="8.83203125" defaultRowHeight="15" x14ac:dyDescent="0.2"/>
  <cols>
    <col min="1" max="3" width="17.33203125" bestFit="1" customWidth="1"/>
    <col min="4" max="9" width="15.83203125" bestFit="1" customWidth="1"/>
    <col min="10" max="12" width="16.6640625" bestFit="1" customWidth="1"/>
    <col min="13" max="15" width="18.5" bestFit="1" customWidth="1"/>
    <col min="16" max="18" width="16.5" bestFit="1" customWidth="1"/>
    <col min="19" max="21" width="12.83203125" bestFit="1" customWidth="1"/>
    <col min="22" max="24" width="14.83203125" bestFit="1" customWidth="1"/>
  </cols>
  <sheetData>
    <row r="1" spans="1:24" x14ac:dyDescent="0.2">
      <c r="A1" s="24" t="s">
        <v>154</v>
      </c>
      <c r="B1" s="24" t="s">
        <v>155</v>
      </c>
      <c r="C1" s="24" t="s">
        <v>156</v>
      </c>
      <c r="D1" s="24" t="s">
        <v>157</v>
      </c>
      <c r="E1" s="24" t="s">
        <v>158</v>
      </c>
      <c r="F1" s="24" t="s">
        <v>159</v>
      </c>
      <c r="G1" s="24" t="s">
        <v>160</v>
      </c>
      <c r="H1" s="24" t="s">
        <v>161</v>
      </c>
      <c r="I1" s="24" t="s">
        <v>162</v>
      </c>
      <c r="J1" s="24" t="s">
        <v>139</v>
      </c>
      <c r="K1" s="24" t="s">
        <v>140</v>
      </c>
      <c r="L1" s="24" t="s">
        <v>141</v>
      </c>
      <c r="M1" s="24" t="s">
        <v>142</v>
      </c>
      <c r="N1" s="24" t="s">
        <v>143</v>
      </c>
      <c r="O1" s="24" t="s">
        <v>144</v>
      </c>
      <c r="P1" s="24" t="s">
        <v>145</v>
      </c>
      <c r="Q1" s="24" t="s">
        <v>146</v>
      </c>
      <c r="R1" s="24" t="s">
        <v>147</v>
      </c>
      <c r="S1" s="24" t="s">
        <v>148</v>
      </c>
      <c r="T1" s="24" t="s">
        <v>149</v>
      </c>
      <c r="U1" s="24" t="s">
        <v>150</v>
      </c>
      <c r="V1" s="24" t="s">
        <v>151</v>
      </c>
      <c r="W1" s="24" t="s">
        <v>152</v>
      </c>
      <c r="X1" s="24" t="s">
        <v>153</v>
      </c>
    </row>
    <row r="2" spans="1:24" x14ac:dyDescent="0.2">
      <c r="A2" s="25" t="s">
        <v>36</v>
      </c>
      <c r="B2" s="25" t="s">
        <v>31</v>
      </c>
      <c r="C2" s="25" t="s">
        <v>28</v>
      </c>
      <c r="D2" s="25" t="s">
        <v>24</v>
      </c>
      <c r="E2" s="26"/>
      <c r="F2" s="25" t="s">
        <v>27</v>
      </c>
      <c r="G2" s="25" t="s">
        <v>35</v>
      </c>
      <c r="H2" s="25" t="s">
        <v>29</v>
      </c>
      <c r="I2" s="25" t="s">
        <v>39</v>
      </c>
      <c r="J2" s="25" t="s">
        <v>31</v>
      </c>
      <c r="K2" s="25" t="s">
        <v>81</v>
      </c>
      <c r="L2" s="25" t="s">
        <v>39</v>
      </c>
      <c r="M2" s="25" t="s">
        <v>75</v>
      </c>
      <c r="N2" s="25" t="s">
        <v>63</v>
      </c>
      <c r="O2" s="25" t="s">
        <v>26</v>
      </c>
      <c r="P2" s="25" t="s">
        <v>30</v>
      </c>
      <c r="Q2" s="25" t="s">
        <v>27</v>
      </c>
      <c r="R2" s="25" t="s">
        <v>32</v>
      </c>
      <c r="S2" s="25" t="s">
        <v>33</v>
      </c>
      <c r="T2" s="25" t="s">
        <v>30</v>
      </c>
      <c r="U2" s="25" t="s">
        <v>33</v>
      </c>
      <c r="V2" s="25" t="s">
        <v>19</v>
      </c>
      <c r="W2" s="25" t="s">
        <v>26</v>
      </c>
      <c r="X2" s="25" t="s">
        <v>35</v>
      </c>
    </row>
    <row r="3" spans="1:24" x14ac:dyDescent="0.2">
      <c r="A3" s="25" t="s">
        <v>28</v>
      </c>
      <c r="B3" s="25" t="s">
        <v>37</v>
      </c>
      <c r="C3" s="25" t="s">
        <v>22</v>
      </c>
      <c r="D3" s="25" t="s">
        <v>60</v>
      </c>
      <c r="E3" s="26"/>
      <c r="F3" s="25" t="s">
        <v>21</v>
      </c>
      <c r="G3" s="26"/>
      <c r="H3" s="25" t="s">
        <v>18</v>
      </c>
      <c r="I3" s="25" t="s">
        <v>64</v>
      </c>
      <c r="J3" s="25" t="s">
        <v>27</v>
      </c>
      <c r="K3" s="26"/>
      <c r="L3" s="25" t="s">
        <v>74</v>
      </c>
      <c r="M3" s="25" t="s">
        <v>88</v>
      </c>
      <c r="N3" s="25" t="s">
        <v>66</v>
      </c>
      <c r="O3" s="25" t="s">
        <v>34</v>
      </c>
      <c r="P3" s="25" t="s">
        <v>67</v>
      </c>
      <c r="Q3" s="25" t="s">
        <v>25</v>
      </c>
      <c r="R3" s="25" t="s">
        <v>76</v>
      </c>
      <c r="S3" s="25" t="s">
        <v>19</v>
      </c>
      <c r="T3" s="25" t="s">
        <v>68</v>
      </c>
      <c r="U3" s="25" t="s">
        <v>77</v>
      </c>
      <c r="V3" s="25" t="s">
        <v>71</v>
      </c>
      <c r="W3" s="25" t="s">
        <v>33</v>
      </c>
      <c r="X3" s="25" t="s">
        <v>37</v>
      </c>
    </row>
    <row r="4" spans="1:24" x14ac:dyDescent="0.2">
      <c r="A4" s="25" t="s">
        <v>27</v>
      </c>
      <c r="B4" s="25" t="s">
        <v>20</v>
      </c>
      <c r="C4" s="25" t="s">
        <v>20</v>
      </c>
      <c r="D4" s="26"/>
      <c r="E4" s="26"/>
      <c r="F4" s="25" t="s">
        <v>73</v>
      </c>
      <c r="G4" s="26"/>
      <c r="H4" s="25" t="s">
        <v>61</v>
      </c>
      <c r="I4" s="26"/>
      <c r="J4" s="25" t="s">
        <v>62</v>
      </c>
      <c r="K4" s="26"/>
      <c r="L4" s="25" t="s">
        <v>87</v>
      </c>
      <c r="M4" s="26"/>
      <c r="N4" s="25" t="s">
        <v>82</v>
      </c>
      <c r="O4" s="26"/>
      <c r="P4" s="25" t="s">
        <v>69</v>
      </c>
      <c r="Q4" s="25" t="s">
        <v>93</v>
      </c>
      <c r="R4" s="25" t="s">
        <v>83</v>
      </c>
      <c r="S4" s="25" t="s">
        <v>16</v>
      </c>
      <c r="T4" s="25" t="s">
        <v>70</v>
      </c>
      <c r="U4" s="26"/>
      <c r="V4" s="25" t="s">
        <v>78</v>
      </c>
      <c r="W4" s="25" t="s">
        <v>38</v>
      </c>
      <c r="X4" s="25" t="s">
        <v>34</v>
      </c>
    </row>
    <row r="5" spans="1:24" x14ac:dyDescent="0.2">
      <c r="A5" s="25" t="s">
        <v>28</v>
      </c>
      <c r="B5" s="25" t="s">
        <v>23</v>
      </c>
      <c r="C5" s="25" t="s">
        <v>37</v>
      </c>
      <c r="D5" s="26"/>
      <c r="E5" s="26"/>
      <c r="F5" s="25" t="s">
        <v>79</v>
      </c>
      <c r="G5" s="26"/>
      <c r="H5" s="25" t="s">
        <v>86</v>
      </c>
      <c r="I5" s="26"/>
      <c r="J5" s="25" t="s">
        <v>65</v>
      </c>
      <c r="K5" s="26"/>
      <c r="L5" s="26"/>
      <c r="M5" s="26"/>
      <c r="N5" s="25" t="s">
        <v>89</v>
      </c>
      <c r="O5" s="26"/>
      <c r="P5" s="25" t="s">
        <v>96</v>
      </c>
      <c r="Q5" s="26"/>
      <c r="R5" s="25" t="s">
        <v>90</v>
      </c>
      <c r="S5" s="25" t="s">
        <v>91</v>
      </c>
      <c r="T5" s="25" t="s">
        <v>97</v>
      </c>
      <c r="U5" s="26"/>
      <c r="V5" s="25" t="s">
        <v>80</v>
      </c>
      <c r="W5" s="25" t="s">
        <v>92</v>
      </c>
      <c r="X5" s="26"/>
    </row>
    <row r="6" spans="1:24" x14ac:dyDescent="0.2">
      <c r="A6" s="26"/>
      <c r="B6" s="25" t="s">
        <v>72</v>
      </c>
      <c r="C6" s="25" t="s">
        <v>59</v>
      </c>
      <c r="D6" s="26"/>
      <c r="E6" s="26"/>
      <c r="F6" s="26"/>
      <c r="G6" s="26"/>
      <c r="H6" s="26"/>
      <c r="I6" s="26"/>
      <c r="J6" s="25" t="s">
        <v>94</v>
      </c>
      <c r="K6" s="26"/>
      <c r="L6" s="26"/>
      <c r="M6" s="26"/>
      <c r="N6" s="25" t="s">
        <v>95</v>
      </c>
      <c r="O6" s="26"/>
      <c r="P6" s="26"/>
      <c r="Q6" s="26"/>
      <c r="R6" s="26"/>
      <c r="S6" s="26"/>
      <c r="T6" s="26"/>
      <c r="U6" s="26"/>
      <c r="V6" s="25" t="s">
        <v>85</v>
      </c>
      <c r="W6" s="26"/>
      <c r="X6" s="26"/>
    </row>
    <row r="7" spans="1:24" x14ac:dyDescent="0.2">
      <c r="A7" s="26"/>
      <c r="B7" s="25" t="s">
        <v>84</v>
      </c>
      <c r="C7" s="25" t="s">
        <v>98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</row>
    <row r="8" spans="1:24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</row>
    <row r="9" spans="1:24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</row>
    <row r="10" spans="1:24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</row>
    <row r="11" spans="1:24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spans="1:24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spans="1:24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7" spans="3:3" x14ac:dyDescent="0.2">
      <c r="C17" t="s">
        <v>170</v>
      </c>
    </row>
  </sheetData>
  <phoneticPr fontId="2" type="noConversion"/>
  <pageMargins left="0.7" right="0.7" top="0.75" bottom="0.75" header="0.3" footer="0.3"/>
  <tableParts count="2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48</vt:i4>
      </vt:variant>
    </vt:vector>
  </HeadingPairs>
  <TitlesOfParts>
    <vt:vector size="52" baseType="lpstr">
      <vt:lpstr>Game-Prototype</vt:lpstr>
      <vt:lpstr>Database</vt:lpstr>
      <vt:lpstr>Filterable-Database</vt:lpstr>
      <vt:lpstr>For-Data-Validation</vt:lpstr>
      <vt:lpstr>'Game-Prototype'!ClassroomPC1</vt:lpstr>
      <vt:lpstr>ClassroomPC1</vt:lpstr>
      <vt:lpstr>'Game-Prototype'!ClassroomPC2</vt:lpstr>
      <vt:lpstr>ClassroomPC2</vt:lpstr>
      <vt:lpstr>'Game-Prototype'!ClassroomPC3</vt:lpstr>
      <vt:lpstr>ClassroomPC3</vt:lpstr>
      <vt:lpstr>'Game-Prototype'!Hallway1PC1</vt:lpstr>
      <vt:lpstr>Hallway1PC1</vt:lpstr>
      <vt:lpstr>'Game-Prototype'!Hallway1PC2</vt:lpstr>
      <vt:lpstr>Hallway1PC2</vt:lpstr>
      <vt:lpstr>'Game-Prototype'!Hallway1PC3</vt:lpstr>
      <vt:lpstr>Hallway1PC3</vt:lpstr>
      <vt:lpstr>'Game-Prototype'!Hallway2PC1</vt:lpstr>
      <vt:lpstr>Hallway2PC1</vt:lpstr>
      <vt:lpstr>'Game-Prototype'!Hallway2PC2</vt:lpstr>
      <vt:lpstr>Hallway2PC2</vt:lpstr>
      <vt:lpstr>'Game-Prototype'!Hallway2PC3</vt:lpstr>
      <vt:lpstr>Hallway2PC3</vt:lpstr>
      <vt:lpstr>'Game-Prototype'!NaproomPC1</vt:lpstr>
      <vt:lpstr>NaproomPC1</vt:lpstr>
      <vt:lpstr>'Game-Prototype'!NaproomPC2</vt:lpstr>
      <vt:lpstr>NaproomPC2</vt:lpstr>
      <vt:lpstr>'Game-Prototype'!NaproomPC3</vt:lpstr>
      <vt:lpstr>NaproomPC3</vt:lpstr>
      <vt:lpstr>'Game-Prototype'!OfficePC1</vt:lpstr>
      <vt:lpstr>OfficePC1</vt:lpstr>
      <vt:lpstr>'Game-Prototype'!OfficePC2</vt:lpstr>
      <vt:lpstr>OfficePC2</vt:lpstr>
      <vt:lpstr>'Game-Prototype'!OfficePC3</vt:lpstr>
      <vt:lpstr>OfficePC3</vt:lpstr>
      <vt:lpstr>'Game-Prototype'!PlaygroundPC1</vt:lpstr>
      <vt:lpstr>PlaygroundPC1</vt:lpstr>
      <vt:lpstr>'Game-Prototype'!PlaygroundPC2</vt:lpstr>
      <vt:lpstr>PlaygroundPC2</vt:lpstr>
      <vt:lpstr>'Game-Prototype'!PlaygroundPC3</vt:lpstr>
      <vt:lpstr>PlaygroundPC3</vt:lpstr>
      <vt:lpstr>'Game-Prototype'!RestroomPC1</vt:lpstr>
      <vt:lpstr>RestroomPC1</vt:lpstr>
      <vt:lpstr>'Game-Prototype'!RestroomPC2</vt:lpstr>
      <vt:lpstr>RestroomPC2</vt:lpstr>
      <vt:lpstr>'Game-Prototype'!RestroomPC3</vt:lpstr>
      <vt:lpstr>RestroomPC3</vt:lpstr>
      <vt:lpstr>'Game-Prototype'!StoragePC1</vt:lpstr>
      <vt:lpstr>StoragePC1</vt:lpstr>
      <vt:lpstr>'Game-Prototype'!StoragePC2</vt:lpstr>
      <vt:lpstr>StoragePC2</vt:lpstr>
      <vt:lpstr>'Game-Prototype'!StoragePC3</vt:lpstr>
      <vt:lpstr>StoragePC3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RivaWang</dc:creator>
  <cp:lastModifiedBy>Riva</cp:lastModifiedBy>
  <dcterms:created xsi:type="dcterms:W3CDTF">2021-11-17T20:25:32Z</dcterms:created>
  <dcterms:modified xsi:type="dcterms:W3CDTF">2021-12-08T17:26:01Z</dcterms:modified>
</cp:coreProperties>
</file>