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IT Historical Performance" sheetId="1" state="visible" r:id="rId1"/>
    <sheet name="COCOMO Results" sheetId="2" state="visible" r:id="rId2"/>
    <sheet name="SLIM Plots" sheetId="3" state="visible" r:id="rId3"/>
    <sheet name="COCOMO Plo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7C9E2"/>
        <bgColor indexed="64"/>
      </patternFill>
    </fill>
    <fill>
      <patternFill patternType="solid">
        <fgColor rgb="00B7C9E2"/>
        <bgColor rgb="00B7C9E2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1" applyAlignment="1" pivotButton="0" quotePrefix="0" xfId="0">
      <alignment horizontal="centerContinuous" wrapText="1"/>
    </xf>
    <xf numFmtId="0" fontId="0" fillId="0" borderId="2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3" borderId="10" applyAlignment="1" pivotButton="0" quotePrefix="0" xfId="0">
      <alignment horizontal="center"/>
    </xf>
    <xf numFmtId="0" fontId="0" fillId="0" borderId="10" applyAlignment="1" pivotButton="0" quotePrefix="0" xfId="0">
      <alignment horizontal="right"/>
    </xf>
    <xf numFmtId="0" fontId="0" fillId="3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/Relationships>
</file>

<file path=xl/drawings/_rels/drawing2.xml.rels><Relationships xmlns="http://schemas.openxmlformats.org/package/2006/relationships"><Relationship Type="http://schemas.openxmlformats.org/officeDocument/2006/relationships/image" Target="/xl/media/image8.png" Id="rId1" /><Relationship Type="http://schemas.openxmlformats.org/officeDocument/2006/relationships/image" Target="/xl/media/image9.png" Id="rId2" /><Relationship Type="http://schemas.openxmlformats.org/officeDocument/2006/relationships/image" Target="/xl/media/image10.png" Id="rId3" /><Relationship Type="http://schemas.openxmlformats.org/officeDocument/2006/relationships/image" Target="/xl/media/image11.png" Id="rId4" /><Relationship Type="http://schemas.openxmlformats.org/officeDocument/2006/relationships/image" Target="/xl/media/image12.png" Id="rId5" /><Relationship Type="http://schemas.openxmlformats.org/officeDocument/2006/relationships/image" Target="/xl/media/image13.png" Id="rId6" /><Relationship Type="http://schemas.openxmlformats.org/officeDocument/2006/relationships/image" Target="/xl/media/image14.png" Id="rId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62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30</row>
      <rowOff>0</rowOff>
    </from>
    <ext cx="762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60</row>
      <rowOff>0</rowOff>
    </from>
    <ext cx="7620000" cy="571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90</row>
      <rowOff>0</rowOff>
    </from>
    <ext cx="7620000" cy="571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120</row>
      <rowOff>0</rowOff>
    </from>
    <ext cx="7620000" cy="571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150</row>
      <rowOff>0</rowOff>
    </from>
    <ext cx="7620000" cy="5715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180</row>
      <rowOff>0</rowOff>
    </from>
    <ext cx="7620000" cy="57150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62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30</row>
      <rowOff>0</rowOff>
    </from>
    <ext cx="762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60</row>
      <rowOff>0</rowOff>
    </from>
    <ext cx="7620000" cy="571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90</row>
      <rowOff>0</rowOff>
    </from>
    <ext cx="7620000" cy="571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120</row>
      <rowOff>0</rowOff>
    </from>
    <ext cx="7620000" cy="571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150</row>
      <rowOff>0</rowOff>
    </from>
    <ext cx="7620000" cy="5715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180</row>
      <rowOff>0</rowOff>
    </from>
    <ext cx="7620000" cy="57150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V63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SLIM</t>
        </is>
      </c>
      <c r="C1" s="3" t="n"/>
      <c r="D1" s="3" t="n"/>
      <c r="E1" s="3" t="n"/>
      <c r="F1" s="3" t="n"/>
      <c r="G1" s="3" t="n"/>
      <c r="H1" s="3" t="n"/>
      <c r="I1" s="3" t="n"/>
      <c r="J1" s="4" t="n"/>
      <c r="O1" s="1" t="inlineStr">
        <is>
          <t>SLIM</t>
        </is>
      </c>
      <c r="P1" s="3" t="n"/>
      <c r="Q1" s="3" t="n"/>
      <c r="R1" s="3" t="n"/>
      <c r="S1" s="3" t="n"/>
      <c r="T1" s="3" t="n"/>
      <c r="U1" s="3" t="n"/>
      <c r="V1" s="4" t="n"/>
    </row>
    <row r="2">
      <c r="B2" s="1" t="inlineStr">
        <is>
          <t>Project</t>
        </is>
      </c>
      <c r="C2" s="1" t="inlineStr">
        <is>
          <t>Source Lines 
 of Code 
 (SLOC)</t>
        </is>
      </c>
      <c r="D2" s="1" t="inlineStr">
        <is>
          <t>Effort 
 (Labor Yrs) 
 K</t>
        </is>
      </c>
      <c r="E2" s="1" t="inlineStr">
        <is>
          <t>Gaffney 
 (P)</t>
        </is>
      </c>
      <c r="F2" s="1" t="inlineStr">
        <is>
          <t xml:space="preserve">
 K^p 
 </t>
        </is>
      </c>
      <c r="G2" s="1" t="inlineStr">
        <is>
          <t>Dev Time 
 (Yrs) 
 t_d</t>
        </is>
      </c>
      <c r="H2" s="1" t="inlineStr">
        <is>
          <t>Gaffney 
 (Q)</t>
        </is>
      </c>
      <c r="I2" s="1" t="inlineStr">
        <is>
          <t xml:space="preserve"> 
 t_d^q 
</t>
        </is>
      </c>
      <c r="J2" s="1" t="inlineStr">
        <is>
          <t xml:space="preserve"> 
 C 
</t>
        </is>
      </c>
      <c r="O2" s="1" t="inlineStr">
        <is>
          <t>Source Lines 
 of Code 
 (SLOC)</t>
        </is>
      </c>
      <c r="P2" s="1" t="inlineStr">
        <is>
          <t>Effort 
 (Labor Yrs) 
 K</t>
        </is>
      </c>
      <c r="Q2" s="1" t="inlineStr">
        <is>
          <t>Gaffney 
 (P)</t>
        </is>
      </c>
      <c r="R2" s="1" t="inlineStr">
        <is>
          <t xml:space="preserve">
 K^p 
 </t>
        </is>
      </c>
      <c r="S2" s="1" t="inlineStr">
        <is>
          <t>Dev Time 
 (Yrs) 
 t_d</t>
        </is>
      </c>
      <c r="T2" s="1" t="inlineStr">
        <is>
          <t>Gaffney 
 (Q)</t>
        </is>
      </c>
      <c r="U2" s="1" t="inlineStr">
        <is>
          <t xml:space="preserve"> 
 t_d^q 
</t>
        </is>
      </c>
      <c r="V2" s="1" t="inlineStr">
        <is>
          <t xml:space="preserve"> 
 C 
</t>
        </is>
      </c>
    </row>
    <row r="3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O3" s="5" t="n"/>
      <c r="P3" s="5" t="n"/>
      <c r="Q3" s="5" t="n"/>
      <c r="R3" s="5" t="n"/>
      <c r="S3" s="5" t="n"/>
      <c r="T3" s="5" t="n"/>
      <c r="U3" s="5" t="n"/>
      <c r="V3" s="5" t="n"/>
    </row>
    <row r="4"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O4" s="6" t="n"/>
      <c r="P4" s="6" t="n"/>
      <c r="Q4" s="6" t="n"/>
      <c r="R4" s="6" t="n"/>
      <c r="S4" s="6" t="n"/>
      <c r="T4" s="6" t="n"/>
      <c r="U4" s="6" t="n"/>
      <c r="V4" s="6" t="n"/>
    </row>
    <row r="5">
      <c r="B5" s="2" t="inlineStr">
        <is>
          <t>Gold Star</t>
        </is>
      </c>
      <c r="C5" s="2" t="n">
        <v>51000</v>
      </c>
      <c r="D5" s="2" t="n">
        <v>0.7441</v>
      </c>
      <c r="E5" s="2" t="n">
        <v>0.7951</v>
      </c>
      <c r="F5" s="2">
        <f>0.7441^0.7951</f>
        <v/>
      </c>
      <c r="G5" s="2" t="n">
        <v>1.25</v>
      </c>
      <c r="H5" s="2" t="n">
        <v>0.8796</v>
      </c>
      <c r="I5" s="2">
        <f>1.25^0.8796</f>
        <v/>
      </c>
      <c r="J5" s="2" t="n">
        <v>53016.2007</v>
      </c>
      <c r="N5" s="1" t="inlineStr">
        <is>
          <t>AVERAGE</t>
        </is>
      </c>
      <c r="O5" s="2">
        <f>AVERAGE(C5:C63)</f>
        <v/>
      </c>
      <c r="P5" s="2">
        <f>AVERAGE(D5:D63)</f>
        <v/>
      </c>
      <c r="Q5" s="2">
        <f>AVERAGE(E5:E63)</f>
        <v/>
      </c>
      <c r="R5" s="2">
        <f>AVERAGE(F5:F63)</f>
        <v/>
      </c>
      <c r="S5" s="2">
        <f>AVERAGE(G5:G63)</f>
        <v/>
      </c>
      <c r="T5" s="2">
        <f>AVERAGE(H5:H63)</f>
        <v/>
      </c>
      <c r="U5" s="2">
        <f>AVERAGE(I5:I63)</f>
        <v/>
      </c>
      <c r="V5" s="2">
        <f>AVERAGE(J5:J63)</f>
        <v/>
      </c>
    </row>
    <row r="6">
      <c r="B6" s="2" t="inlineStr">
        <is>
          <t>UniStar</t>
        </is>
      </c>
      <c r="C6" s="2" t="n">
        <v>403000</v>
      </c>
      <c r="D6" s="2" t="n">
        <v>2.5866</v>
      </c>
      <c r="E6" s="2" t="n">
        <v>0.7951</v>
      </c>
      <c r="F6" s="2">
        <f>2.5866^0.7951</f>
        <v/>
      </c>
      <c r="G6" s="2" t="n">
        <v>4.25</v>
      </c>
      <c r="H6" s="2" t="n">
        <v>0.8796</v>
      </c>
      <c r="I6" s="2">
        <f>4.25^0.8796</f>
        <v/>
      </c>
      <c r="J6" s="2" t="n">
        <v>53016.2007</v>
      </c>
      <c r="N6" s="1" t="inlineStr">
        <is>
          <t>Variance</t>
        </is>
      </c>
      <c r="P6" s="2" t="inlineStr">
        <is>
          <t>0.1719</t>
        </is>
      </c>
      <c r="R6" s="2" t="inlineStr">
        <is>
          <t>0.0875</t>
        </is>
      </c>
      <c r="S6" s="2" t="inlineStr">
        <is>
          <t>11.7849</t>
        </is>
      </c>
      <c r="U6" s="2" t="inlineStr">
        <is>
          <t>6.2651</t>
        </is>
      </c>
      <c r="V6" s="2" t="inlineStr">
        <is>
          <t>0.0</t>
        </is>
      </c>
    </row>
    <row r="7">
      <c r="B7" s="2" t="inlineStr">
        <is>
          <t>SlipStream</t>
        </is>
      </c>
      <c r="C7" s="2" t="n">
        <v>465000</v>
      </c>
      <c r="D7" s="2" t="n">
        <v>2.7382</v>
      </c>
      <c r="E7" s="2" t="n">
        <v>0.7951</v>
      </c>
      <c r="F7" s="2">
        <f>2.7382^0.7951</f>
        <v/>
      </c>
      <c r="G7" s="2" t="n">
        <v>4.75</v>
      </c>
      <c r="H7" s="2" t="n">
        <v>0.8796</v>
      </c>
      <c r="I7" s="2">
        <f>4.75^0.8796</f>
        <v/>
      </c>
      <c r="J7" s="2" t="n">
        <v>53016.2007</v>
      </c>
    </row>
    <row r="8">
      <c r="B8" s="2" t="inlineStr">
        <is>
          <t>Fargo</t>
        </is>
      </c>
      <c r="C8" s="2" t="n">
        <v>235000</v>
      </c>
      <c r="D8" s="2" t="n">
        <v>2.3609</v>
      </c>
      <c r="E8" s="2" t="n">
        <v>0.7951</v>
      </c>
      <c r="F8" s="2">
        <f>2.3609^0.7951</f>
        <v/>
      </c>
      <c r="G8" s="2" t="n">
        <v>2.5</v>
      </c>
      <c r="H8" s="2" t="n">
        <v>0.8796</v>
      </c>
      <c r="I8" s="2">
        <f>2.5^0.8796</f>
        <v/>
      </c>
      <c r="J8" s="2" t="n">
        <v>53016.2007</v>
      </c>
    </row>
    <row r="9">
      <c r="B9" s="2" t="inlineStr">
        <is>
          <t>Sky Knight</t>
        </is>
      </c>
      <c r="C9" s="2" t="n">
        <v>120000</v>
      </c>
      <c r="D9" s="2" t="n">
        <v>1.1392</v>
      </c>
      <c r="E9" s="2" t="n">
        <v>0.7951</v>
      </c>
      <c r="F9" s="2">
        <f>1.1392^0.7951</f>
        <v/>
      </c>
      <c r="G9" s="2" t="n">
        <v>2.25</v>
      </c>
      <c r="H9" s="2" t="n">
        <v>0.8796</v>
      </c>
      <c r="I9" s="2">
        <f>2.25^0.8796</f>
        <v/>
      </c>
      <c r="J9" s="2" t="n">
        <v>53016.2007</v>
      </c>
    </row>
    <row r="10">
      <c r="B10" s="2" t="inlineStr">
        <is>
          <t>Sky Line</t>
        </is>
      </c>
      <c r="C10" s="2" t="n">
        <v>310000</v>
      </c>
      <c r="D10" s="2" t="n">
        <v>1.9886</v>
      </c>
      <c r="E10" s="2" t="n">
        <v>0.7951</v>
      </c>
      <c r="F10" s="2">
        <f>1.9886^0.7951</f>
        <v/>
      </c>
      <c r="G10" s="2" t="n">
        <v>4</v>
      </c>
      <c r="H10" s="2" t="n">
        <v>0.8796</v>
      </c>
      <c r="I10" s="2">
        <f>4.0^0.8796</f>
        <v/>
      </c>
      <c r="J10" s="2" t="n">
        <v>53016.2007</v>
      </c>
    </row>
    <row r="11">
      <c r="B11" s="2" t="inlineStr">
        <is>
          <t>Deep Water</t>
        </is>
      </c>
      <c r="C11" s="2" t="n">
        <v>76000</v>
      </c>
      <c r="D11" s="2" t="n">
        <v>1.0044</v>
      </c>
      <c r="E11" s="2" t="n">
        <v>0.7951</v>
      </c>
      <c r="F11" s="2">
        <f>1.0044^0.7951</f>
        <v/>
      </c>
      <c r="G11" s="2" t="n">
        <v>1.5</v>
      </c>
      <c r="H11" s="2" t="n">
        <v>0.8796</v>
      </c>
      <c r="I11" s="2">
        <f>1.5^0.8796</f>
        <v/>
      </c>
      <c r="J11" s="2" t="n">
        <v>53016.2007</v>
      </c>
    </row>
    <row r="12">
      <c r="B12" s="2" t="inlineStr">
        <is>
          <t>Brilliant Dove</t>
        </is>
      </c>
      <c r="C12" s="2" t="n">
        <v>64500</v>
      </c>
      <c r="D12" s="2" t="n">
        <v>0.8171</v>
      </c>
      <c r="E12" s="2" t="n">
        <v>0.7951</v>
      </c>
      <c r="F12" s="2">
        <f>0.8171^0.7951</f>
        <v/>
      </c>
      <c r="G12" s="2" t="n">
        <v>1.5</v>
      </c>
      <c r="H12" s="2" t="n">
        <v>0.8796</v>
      </c>
      <c r="I12" s="2">
        <f>1.5^0.8796</f>
        <v/>
      </c>
      <c r="J12" s="2" t="n">
        <v>53016.2007</v>
      </c>
    </row>
    <row r="13">
      <c r="B13" s="2" t="inlineStr">
        <is>
          <t>Night Reaver</t>
        </is>
      </c>
      <c r="C13" s="2" t="n">
        <v>198000</v>
      </c>
      <c r="D13" s="2" t="n">
        <v>2.4362</v>
      </c>
      <c r="E13" s="2" t="n">
        <v>0.7951</v>
      </c>
      <c r="F13" s="2">
        <f>2.4362^0.7951</f>
        <v/>
      </c>
      <c r="G13" s="2" t="n">
        <v>2</v>
      </c>
      <c r="H13" s="2" t="n">
        <v>0.8796</v>
      </c>
      <c r="I13" s="2">
        <f>2.0^0.8796</f>
        <v/>
      </c>
      <c r="J13" s="2" t="n">
        <v>53016.2007</v>
      </c>
      <c r="O13" s="1" t="inlineStr">
        <is>
          <t>SLOC(X) and K(Y)</t>
        </is>
      </c>
      <c r="P13" s="1" t="inlineStr">
        <is>
          <t>SLOC(X) and td(Y)</t>
        </is>
      </c>
      <c r="Q13" s="1" t="inlineStr">
        <is>
          <t>SLOC(X) and C(Y)</t>
        </is>
      </c>
      <c r="R13" s="1" t="inlineStr">
        <is>
          <t>K(X) and td(Y)</t>
        </is>
      </c>
      <c r="S13" s="1" t="inlineStr">
        <is>
          <t>Kp(X) and tdq(Y)</t>
        </is>
      </c>
      <c r="T13" s="1" t="inlineStr">
        <is>
          <t>K(X) and C(Y)</t>
        </is>
      </c>
      <c r="U13" s="1" t="inlineStr">
        <is>
          <t>td(X) and C(Y)</t>
        </is>
      </c>
    </row>
    <row r="14">
      <c r="B14" s="2" t="inlineStr">
        <is>
          <t>project1</t>
        </is>
      </c>
      <c r="C14" s="2" t="n">
        <v>561500</v>
      </c>
      <c r="D14" s="2" t="n">
        <v>2.2567</v>
      </c>
      <c r="E14" s="2" t="n">
        <v>0.7951</v>
      </c>
      <c r="F14" s="2">
        <f>2.2567^0.7951</f>
        <v/>
      </c>
      <c r="G14" s="2" t="n">
        <v>7.01</v>
      </c>
      <c r="H14" s="2" t="n">
        <v>0.8796</v>
      </c>
      <c r="I14" s="2">
        <f>7.01^0.8796</f>
        <v/>
      </c>
      <c r="J14" s="2" t="n">
        <v>53016.2007</v>
      </c>
      <c r="O14" s="6" t="n"/>
      <c r="P14" s="6" t="n"/>
      <c r="Q14" s="6" t="n"/>
      <c r="R14" s="6" t="n"/>
      <c r="S14" s="6" t="n"/>
      <c r="T14" s="6" t="n"/>
      <c r="U14" s="6" t="n"/>
    </row>
    <row r="15">
      <c r="B15" s="2" t="inlineStr">
        <is>
          <t>project2</t>
        </is>
      </c>
      <c r="C15" s="2" t="n">
        <v>387600</v>
      </c>
      <c r="D15" s="2" t="n">
        <v>2.133</v>
      </c>
      <c r="E15" s="2" t="n">
        <v>0.7951</v>
      </c>
      <c r="F15" s="2">
        <f>2.133^0.7951</f>
        <v/>
      </c>
      <c r="G15" s="2" t="n">
        <v>4.84</v>
      </c>
      <c r="H15" s="2" t="n">
        <v>0.8796</v>
      </c>
      <c r="I15" s="2">
        <f>4.84^0.8796</f>
        <v/>
      </c>
      <c r="J15" s="2" t="n">
        <v>53016.2007</v>
      </c>
      <c r="N15" s="1" t="inlineStr">
        <is>
          <t>R^2</t>
        </is>
      </c>
      <c r="O15" s="2">
        <f>RSQ(D5:D63, C5:C63)</f>
        <v/>
      </c>
      <c r="P15" s="2">
        <f>RSQ(G5:G63, C5:C63)</f>
        <v/>
      </c>
      <c r="Q15" s="2">
        <f>RSQ(J5:J63, C5:C63)</f>
        <v/>
      </c>
      <c r="R15" s="2">
        <f>RSQ(G5:G63, D5:D63)</f>
        <v/>
      </c>
      <c r="S15" s="2">
        <f>RSQ(I5:I63, F5:F63)</f>
        <v/>
      </c>
      <c r="T15" s="2">
        <f>RSQ(J5:J63, D5:D63)</f>
        <v/>
      </c>
      <c r="U15" s="2">
        <f>RSQ(J5:J63, G5:G63)</f>
        <v/>
      </c>
    </row>
    <row r="16">
      <c r="B16" s="2" t="inlineStr">
        <is>
          <t>project3</t>
        </is>
      </c>
      <c r="C16" s="2" t="n">
        <v>690000</v>
      </c>
      <c r="D16" s="2" t="n">
        <v>2.3295</v>
      </c>
      <c r="E16" s="2" t="n">
        <v>0.7951</v>
      </c>
      <c r="F16" s="2">
        <f>2.3295^0.7951</f>
        <v/>
      </c>
      <c r="G16" s="2" t="n">
        <v>8.609999999999999</v>
      </c>
      <c r="H16" s="2" t="n">
        <v>0.8796</v>
      </c>
      <c r="I16" s="2">
        <f>8.61^0.8796</f>
        <v/>
      </c>
      <c r="J16" s="2" t="n">
        <v>53016.2007</v>
      </c>
    </row>
    <row r="17">
      <c r="B17" s="2" t="inlineStr">
        <is>
          <t>project4</t>
        </is>
      </c>
      <c r="C17" s="2" t="n">
        <v>375800</v>
      </c>
      <c r="D17" s="2" t="n">
        <v>2.1244</v>
      </c>
      <c r="E17" s="2" t="n">
        <v>0.7951</v>
      </c>
      <c r="F17" s="2">
        <f>2.1244^0.7951</f>
        <v/>
      </c>
      <c r="G17" s="2" t="n">
        <v>4.69</v>
      </c>
      <c r="H17" s="2" t="n">
        <v>0.8796</v>
      </c>
      <c r="I17" s="2">
        <f>4.69^0.8796</f>
        <v/>
      </c>
      <c r="J17" s="2" t="n">
        <v>53016.2007</v>
      </c>
    </row>
    <row r="18">
      <c r="B18" s="2" t="inlineStr">
        <is>
          <t>project5</t>
        </is>
      </c>
      <c r="C18" s="2" t="n">
        <v>186400</v>
      </c>
      <c r="D18" s="2" t="n">
        <v>1.907</v>
      </c>
      <c r="E18" s="2" t="n">
        <v>0.7951</v>
      </c>
      <c r="F18" s="2">
        <f>1.907^0.7951</f>
        <v/>
      </c>
      <c r="G18" s="2" t="n">
        <v>2.33</v>
      </c>
      <c r="H18" s="2" t="n">
        <v>0.8796</v>
      </c>
      <c r="I18" s="2">
        <f>2.33^0.8796</f>
        <v/>
      </c>
      <c r="J18" s="2" t="n">
        <v>53016.2007</v>
      </c>
    </row>
    <row r="19">
      <c r="B19" s="2" t="inlineStr">
        <is>
          <t>project6</t>
        </is>
      </c>
      <c r="C19" s="2" t="n">
        <v>607400</v>
      </c>
      <c r="D19" s="2" t="n">
        <v>2.2847</v>
      </c>
      <c r="E19" s="2" t="n">
        <v>0.7951</v>
      </c>
      <c r="F19" s="2">
        <f>2.2847^0.7951</f>
        <v/>
      </c>
      <c r="G19" s="2" t="n">
        <v>7.58</v>
      </c>
      <c r="H19" s="2" t="n">
        <v>0.8796</v>
      </c>
      <c r="I19" s="2">
        <f>7.58^0.8796</f>
        <v/>
      </c>
      <c r="J19" s="2" t="n">
        <v>53016.2007</v>
      </c>
    </row>
    <row r="20">
      <c r="B20" s="2" t="inlineStr">
        <is>
          <t>project7</t>
        </is>
      </c>
      <c r="C20" s="2" t="n">
        <v>853700</v>
      </c>
      <c r="D20" s="2" t="n">
        <v>2.404</v>
      </c>
      <c r="E20" s="2" t="n">
        <v>0.7951</v>
      </c>
      <c r="F20" s="2">
        <f>2.404^0.7951</f>
        <v/>
      </c>
      <c r="G20" s="2" t="n">
        <v>10.66</v>
      </c>
      <c r="H20" s="2" t="n">
        <v>0.8796</v>
      </c>
      <c r="I20" s="2">
        <f>10.66^0.8796</f>
        <v/>
      </c>
      <c r="J20" s="2" t="n">
        <v>53016.2007</v>
      </c>
    </row>
    <row r="21">
      <c r="B21" s="2" t="inlineStr">
        <is>
          <t>project8</t>
        </is>
      </c>
      <c r="C21" s="2" t="n">
        <v>832600</v>
      </c>
      <c r="D21" s="2" t="n">
        <v>2.3966</v>
      </c>
      <c r="E21" s="2" t="n">
        <v>0.7951</v>
      </c>
      <c r="F21" s="2">
        <f>2.3966^0.7951</f>
        <v/>
      </c>
      <c r="G21" s="2" t="n">
        <v>10.39</v>
      </c>
      <c r="H21" s="2" t="n">
        <v>0.8796</v>
      </c>
      <c r="I21" s="2">
        <f>10.39^0.8796</f>
        <v/>
      </c>
      <c r="J21" s="2" t="n">
        <v>53016.2007</v>
      </c>
    </row>
    <row r="22">
      <c r="B22" s="2" t="inlineStr">
        <is>
          <t>project9</t>
        </is>
      </c>
      <c r="C22" s="2" t="n">
        <v>709000</v>
      </c>
      <c r="D22" s="2" t="n">
        <v>2.3383</v>
      </c>
      <c r="E22" s="2" t="n">
        <v>0.7951</v>
      </c>
      <c r="F22" s="2">
        <f>2.3383^0.7951</f>
        <v/>
      </c>
      <c r="G22" s="2" t="n">
        <v>8.85</v>
      </c>
      <c r="H22" s="2" t="n">
        <v>0.8796</v>
      </c>
      <c r="I22" s="2">
        <f>8.85^0.8796</f>
        <v/>
      </c>
      <c r="J22" s="2" t="n">
        <v>53016.2007</v>
      </c>
    </row>
    <row r="23">
      <c r="B23" s="2" t="inlineStr">
        <is>
          <t>project10</t>
        </is>
      </c>
      <c r="C23" s="2" t="n">
        <v>47100</v>
      </c>
      <c r="D23" s="2" t="n">
        <v>1.5448</v>
      </c>
      <c r="E23" s="2" t="n">
        <v>0.7951</v>
      </c>
      <c r="F23" s="2">
        <f>1.5448^0.7951</f>
        <v/>
      </c>
      <c r="G23" s="2" t="n">
        <v>0.59</v>
      </c>
      <c r="H23" s="2" t="n">
        <v>0.8796</v>
      </c>
      <c r="I23" s="2">
        <f>0.59^0.8796</f>
        <v/>
      </c>
      <c r="J23" s="2" t="n">
        <v>53016.2007</v>
      </c>
    </row>
    <row r="24">
      <c r="B24" s="2" t="inlineStr">
        <is>
          <t>project11</t>
        </is>
      </c>
      <c r="C24" s="2" t="n">
        <v>897400</v>
      </c>
      <c r="D24" s="2" t="n">
        <v>2.4236</v>
      </c>
      <c r="E24" s="2" t="n">
        <v>0.7951</v>
      </c>
      <c r="F24" s="2">
        <f>2.4236^0.7951</f>
        <v/>
      </c>
      <c r="G24" s="2" t="n">
        <v>11.2</v>
      </c>
      <c r="H24" s="2" t="n">
        <v>0.8796</v>
      </c>
      <c r="I24" s="2">
        <f>11.2^0.8796</f>
        <v/>
      </c>
      <c r="J24" s="2" t="n">
        <v>53016.2007</v>
      </c>
    </row>
    <row r="25">
      <c r="B25" s="2" t="inlineStr">
        <is>
          <t>project12</t>
        </is>
      </c>
      <c r="C25" s="2" t="n">
        <v>550700</v>
      </c>
      <c r="D25" s="2" t="n">
        <v>2.2519</v>
      </c>
      <c r="E25" s="2" t="n">
        <v>0.7951</v>
      </c>
      <c r="F25" s="2">
        <f>2.2519^0.7951</f>
        <v/>
      </c>
      <c r="G25" s="2" t="n">
        <v>6.87</v>
      </c>
      <c r="H25" s="2" t="n">
        <v>0.8796</v>
      </c>
      <c r="I25" s="2">
        <f>6.87^0.8796</f>
        <v/>
      </c>
      <c r="J25" s="2" t="n">
        <v>53016.2007</v>
      </c>
    </row>
    <row r="26">
      <c r="B26" s="2" t="inlineStr">
        <is>
          <t>project13</t>
        </is>
      </c>
      <c r="C26" s="2" t="n">
        <v>774100</v>
      </c>
      <c r="D26" s="2" t="n">
        <v>2.3703</v>
      </c>
      <c r="E26" s="2" t="n">
        <v>0.7951</v>
      </c>
      <c r="F26" s="2">
        <f>2.3703^0.7951</f>
        <v/>
      </c>
      <c r="G26" s="2" t="n">
        <v>9.66</v>
      </c>
      <c r="H26" s="2" t="n">
        <v>0.8796</v>
      </c>
      <c r="I26" s="2">
        <f>9.66^0.8796</f>
        <v/>
      </c>
      <c r="J26" s="2" t="n">
        <v>53016.2007</v>
      </c>
    </row>
    <row r="27">
      <c r="B27" s="2" t="inlineStr">
        <is>
          <t>project14</t>
        </is>
      </c>
      <c r="C27" s="2" t="n">
        <v>197200</v>
      </c>
      <c r="D27" s="2" t="n">
        <v>1.9277</v>
      </c>
      <c r="E27" s="2" t="n">
        <v>0.7951</v>
      </c>
      <c r="F27" s="2">
        <f>1.9277^0.7951</f>
        <v/>
      </c>
      <c r="G27" s="2" t="n">
        <v>2.46</v>
      </c>
      <c r="H27" s="2" t="n">
        <v>0.8796</v>
      </c>
      <c r="I27" s="2">
        <f>2.46^0.8796</f>
        <v/>
      </c>
      <c r="J27" s="2" t="n">
        <v>53016.2007</v>
      </c>
    </row>
    <row r="28">
      <c r="B28" s="2" t="inlineStr">
        <is>
          <t>project15</t>
        </is>
      </c>
      <c r="C28" s="2" t="n">
        <v>576800</v>
      </c>
      <c r="D28" s="2" t="n">
        <v>2.2663</v>
      </c>
      <c r="E28" s="2" t="n">
        <v>0.7951</v>
      </c>
      <c r="F28" s="2">
        <f>2.2663^0.7951</f>
        <v/>
      </c>
      <c r="G28" s="2" t="n">
        <v>7.2</v>
      </c>
      <c r="H28" s="2" t="n">
        <v>0.8796</v>
      </c>
      <c r="I28" s="2">
        <f>7.2^0.8796</f>
        <v/>
      </c>
      <c r="J28" s="2" t="n">
        <v>53016.2007</v>
      </c>
    </row>
    <row r="29">
      <c r="B29" s="2" t="inlineStr">
        <is>
          <t>project16</t>
        </is>
      </c>
      <c r="C29" s="2" t="n">
        <v>767900</v>
      </c>
      <c r="D29" s="2" t="n">
        <v>2.3654</v>
      </c>
      <c r="E29" s="2" t="n">
        <v>0.7951</v>
      </c>
      <c r="F29" s="2">
        <f>2.3654^0.7951</f>
        <v/>
      </c>
      <c r="G29" s="2" t="n">
        <v>9.59</v>
      </c>
      <c r="H29" s="2" t="n">
        <v>0.8796</v>
      </c>
      <c r="I29" s="2">
        <f>9.59^0.8796</f>
        <v/>
      </c>
      <c r="J29" s="2" t="n">
        <v>53016.2007</v>
      </c>
    </row>
    <row r="30">
      <c r="B30" s="2" t="inlineStr">
        <is>
          <t>project17</t>
        </is>
      </c>
      <c r="C30" s="2" t="n">
        <v>210900</v>
      </c>
      <c r="D30" s="2" t="n">
        <v>1.9481</v>
      </c>
      <c r="E30" s="2" t="n">
        <v>0.7951</v>
      </c>
      <c r="F30" s="2">
        <f>1.9481^0.7951</f>
        <v/>
      </c>
      <c r="G30" s="2" t="n">
        <v>2.63</v>
      </c>
      <c r="H30" s="2" t="n">
        <v>0.8796</v>
      </c>
      <c r="I30" s="2">
        <f>2.63^0.8796</f>
        <v/>
      </c>
      <c r="J30" s="2" t="n">
        <v>53016.2007</v>
      </c>
    </row>
    <row r="31">
      <c r="B31" s="2" t="inlineStr">
        <is>
          <t>project18</t>
        </is>
      </c>
      <c r="C31" s="2" t="n">
        <v>753400</v>
      </c>
      <c r="D31" s="2" t="n">
        <v>2.3583</v>
      </c>
      <c r="E31" s="2" t="n">
        <v>0.7951</v>
      </c>
      <c r="F31" s="2">
        <f>2.3583^0.7951</f>
        <v/>
      </c>
      <c r="G31" s="2" t="n">
        <v>9.41</v>
      </c>
      <c r="H31" s="2" t="n">
        <v>0.8796</v>
      </c>
      <c r="I31" s="2">
        <f>9.41^0.8796</f>
        <v/>
      </c>
      <c r="J31" s="2" t="n">
        <v>53016.2007</v>
      </c>
    </row>
    <row r="32">
      <c r="B32" s="2" t="inlineStr">
        <is>
          <t>project19</t>
        </is>
      </c>
      <c r="C32" s="2" t="n">
        <v>646100</v>
      </c>
      <c r="D32" s="2" t="n">
        <v>2.304</v>
      </c>
      <c r="E32" s="2" t="n">
        <v>0.7951</v>
      </c>
      <c r="F32" s="2">
        <f>2.304^0.7951</f>
        <v/>
      </c>
      <c r="G32" s="2" t="n">
        <v>8.07</v>
      </c>
      <c r="H32" s="2" t="n">
        <v>0.8796</v>
      </c>
      <c r="I32" s="2">
        <f>8.07^0.8796</f>
        <v/>
      </c>
      <c r="J32" s="2" t="n">
        <v>53016.2007</v>
      </c>
    </row>
    <row r="33">
      <c r="B33" s="2" t="inlineStr">
        <is>
          <t>project20</t>
        </is>
      </c>
      <c r="C33" s="2" t="n">
        <v>486800</v>
      </c>
      <c r="D33" s="2" t="n">
        <v>2.2074</v>
      </c>
      <c r="E33" s="2" t="n">
        <v>0.7951</v>
      </c>
      <c r="F33" s="2">
        <f>2.2074^0.7951</f>
        <v/>
      </c>
      <c r="G33" s="2" t="n">
        <v>6.08</v>
      </c>
      <c r="H33" s="2" t="n">
        <v>0.8796</v>
      </c>
      <c r="I33" s="2">
        <f>6.08^0.8796</f>
        <v/>
      </c>
      <c r="J33" s="2" t="n">
        <v>53016.2007</v>
      </c>
    </row>
    <row r="34">
      <c r="B34" s="2" t="inlineStr">
        <is>
          <t>project21</t>
        </is>
      </c>
      <c r="C34" s="2" t="n">
        <v>66700</v>
      </c>
      <c r="D34" s="2" t="n">
        <v>1.6404</v>
      </c>
      <c r="E34" s="2" t="n">
        <v>0.7951</v>
      </c>
      <c r="F34" s="2">
        <f>1.6404^0.7951</f>
        <v/>
      </c>
      <c r="G34" s="2" t="n">
        <v>0.83</v>
      </c>
      <c r="H34" s="2" t="n">
        <v>0.8796</v>
      </c>
      <c r="I34" s="2">
        <f>0.83^0.8796</f>
        <v/>
      </c>
      <c r="J34" s="2" t="n">
        <v>53016.2007</v>
      </c>
    </row>
    <row r="35">
      <c r="B35" s="2" t="inlineStr">
        <is>
          <t>project22</t>
        </is>
      </c>
      <c r="C35" s="2" t="n">
        <v>103800</v>
      </c>
      <c r="D35" s="2" t="n">
        <v>1.7415</v>
      </c>
      <c r="E35" s="2" t="n">
        <v>0.7951</v>
      </c>
      <c r="F35" s="2">
        <f>1.7415^0.7951</f>
        <v/>
      </c>
      <c r="G35" s="2" t="n">
        <v>1.3</v>
      </c>
      <c r="H35" s="2" t="n">
        <v>0.8796</v>
      </c>
      <c r="I35" s="2">
        <f>1.3^0.8796</f>
        <v/>
      </c>
      <c r="J35" s="2" t="n">
        <v>53016.2007</v>
      </c>
    </row>
    <row r="36">
      <c r="B36" s="2" t="inlineStr">
        <is>
          <t>project23</t>
        </is>
      </c>
      <c r="C36" s="2" t="n">
        <v>180900</v>
      </c>
      <c r="D36" s="2" t="n">
        <v>1.8996</v>
      </c>
      <c r="E36" s="2" t="n">
        <v>0.7951</v>
      </c>
      <c r="F36" s="2">
        <f>1.8996^0.7951</f>
        <v/>
      </c>
      <c r="G36" s="2" t="n">
        <v>2.26</v>
      </c>
      <c r="H36" s="2" t="n">
        <v>0.8796</v>
      </c>
      <c r="I36" s="2">
        <f>2.26^0.8796</f>
        <v/>
      </c>
      <c r="J36" s="2" t="n">
        <v>53016.2007</v>
      </c>
    </row>
    <row r="37">
      <c r="B37" s="2" t="inlineStr">
        <is>
          <t>project24</t>
        </is>
      </c>
      <c r="C37" s="2" t="n">
        <v>597900</v>
      </c>
      <c r="D37" s="2" t="n">
        <v>2.2798</v>
      </c>
      <c r="E37" s="2" t="n">
        <v>0.7951</v>
      </c>
      <c r="F37" s="2">
        <f>2.2798^0.7951</f>
        <v/>
      </c>
      <c r="G37" s="2" t="n">
        <v>7.46</v>
      </c>
      <c r="H37" s="2" t="n">
        <v>0.8796</v>
      </c>
      <c r="I37" s="2">
        <f>7.46^0.8796</f>
        <v/>
      </c>
      <c r="J37" s="2" t="n">
        <v>53016.2007</v>
      </c>
    </row>
    <row r="38">
      <c r="B38" s="2" t="inlineStr">
        <is>
          <t>project25</t>
        </is>
      </c>
      <c r="C38" s="2" t="n">
        <v>83500</v>
      </c>
      <c r="D38" s="2" t="n">
        <v>1.6954</v>
      </c>
      <c r="E38" s="2" t="n">
        <v>0.7951</v>
      </c>
      <c r="F38" s="2">
        <f>1.6954^0.7951</f>
        <v/>
      </c>
      <c r="G38" s="2" t="n">
        <v>1.04</v>
      </c>
      <c r="H38" s="2" t="n">
        <v>0.8796</v>
      </c>
      <c r="I38" s="2">
        <f>1.04^0.8796</f>
        <v/>
      </c>
      <c r="J38" s="2" t="n">
        <v>53016.2007</v>
      </c>
    </row>
    <row r="39">
      <c r="B39" s="2" t="inlineStr">
        <is>
          <t>project26</t>
        </is>
      </c>
      <c r="C39" s="2" t="n">
        <v>299300</v>
      </c>
      <c r="D39" s="2" t="n">
        <v>2.0496</v>
      </c>
      <c r="E39" s="2" t="n">
        <v>0.7951</v>
      </c>
      <c r="F39" s="2">
        <f>2.0496^0.7951</f>
        <v/>
      </c>
      <c r="G39" s="2" t="n">
        <v>3.74</v>
      </c>
      <c r="H39" s="2" t="n">
        <v>0.8796</v>
      </c>
      <c r="I39" s="2">
        <f>3.74^0.8796</f>
        <v/>
      </c>
      <c r="J39" s="2" t="n">
        <v>53016.2007</v>
      </c>
    </row>
    <row r="40">
      <c r="B40" s="2" t="inlineStr">
        <is>
          <t>project27</t>
        </is>
      </c>
      <c r="C40" s="2" t="n">
        <v>95800</v>
      </c>
      <c r="D40" s="2" t="n">
        <v>1.7202</v>
      </c>
      <c r="E40" s="2" t="n">
        <v>0.7951</v>
      </c>
      <c r="F40" s="2">
        <f>1.7202^0.7951</f>
        <v/>
      </c>
      <c r="G40" s="2" t="n">
        <v>1.2</v>
      </c>
      <c r="H40" s="2" t="n">
        <v>0.8796</v>
      </c>
      <c r="I40" s="2">
        <f>1.2^0.8796</f>
        <v/>
      </c>
      <c r="J40" s="2" t="n">
        <v>53016.2007</v>
      </c>
    </row>
    <row r="41">
      <c r="B41" s="2" t="inlineStr">
        <is>
          <t>project28</t>
        </is>
      </c>
      <c r="C41" s="2" t="n">
        <v>895100</v>
      </c>
      <c r="D41" s="2" t="n">
        <v>2.423</v>
      </c>
      <c r="E41" s="2" t="n">
        <v>0.7951</v>
      </c>
      <c r="F41" s="2">
        <f>2.423^0.7951</f>
        <v/>
      </c>
      <c r="G41" s="2" t="n">
        <v>11.17</v>
      </c>
      <c r="H41" s="2" t="n">
        <v>0.8796</v>
      </c>
      <c r="I41" s="2">
        <f>11.17^0.8796</f>
        <v/>
      </c>
      <c r="J41" s="2" t="n">
        <v>53016.2007</v>
      </c>
    </row>
    <row r="42">
      <c r="B42" s="2" t="inlineStr">
        <is>
          <t>project29</t>
        </is>
      </c>
      <c r="C42" s="2" t="n">
        <v>530600</v>
      </c>
      <c r="D42" s="2" t="n">
        <v>2.239</v>
      </c>
      <c r="E42" s="2" t="n">
        <v>0.7951</v>
      </c>
      <c r="F42" s="2">
        <f>2.239^0.7951</f>
        <v/>
      </c>
      <c r="G42" s="2" t="n">
        <v>6.62</v>
      </c>
      <c r="H42" s="2" t="n">
        <v>0.8796</v>
      </c>
      <c r="I42" s="2">
        <f>6.62^0.8796</f>
        <v/>
      </c>
      <c r="J42" s="2" t="n">
        <v>53016.2007</v>
      </c>
    </row>
    <row r="43">
      <c r="B43" s="2" t="inlineStr">
        <is>
          <t>project30</t>
        </is>
      </c>
      <c r="C43" s="2" t="n">
        <v>889600</v>
      </c>
      <c r="D43" s="2" t="n">
        <v>2.4186</v>
      </c>
      <c r="E43" s="2" t="n">
        <v>0.7951</v>
      </c>
      <c r="F43" s="2">
        <f>2.4186^0.7951</f>
        <v/>
      </c>
      <c r="G43" s="2" t="n">
        <v>11.11</v>
      </c>
      <c r="H43" s="2" t="n">
        <v>0.8796</v>
      </c>
      <c r="I43" s="2">
        <f>11.11^0.8796</f>
        <v/>
      </c>
      <c r="J43" s="2" t="n">
        <v>53016.2007</v>
      </c>
    </row>
    <row r="44">
      <c r="B44" s="2" t="inlineStr">
        <is>
          <t>project31</t>
        </is>
      </c>
      <c r="C44" s="2" t="n">
        <v>132400</v>
      </c>
      <c r="D44" s="2" t="n">
        <v>1.8168</v>
      </c>
      <c r="E44" s="2" t="n">
        <v>0.7951</v>
      </c>
      <c r="F44" s="2">
        <f>1.8168^0.7951</f>
        <v/>
      </c>
      <c r="G44" s="2" t="n">
        <v>1.65</v>
      </c>
      <c r="H44" s="2" t="n">
        <v>0.8796</v>
      </c>
      <c r="I44" s="2">
        <f>1.65^0.8796</f>
        <v/>
      </c>
      <c r="J44" s="2" t="n">
        <v>53016.2007</v>
      </c>
    </row>
    <row r="45">
      <c r="B45" s="2" t="inlineStr">
        <is>
          <t>project32</t>
        </is>
      </c>
      <c r="C45" s="2" t="n">
        <v>47100</v>
      </c>
      <c r="D45" s="2" t="n">
        <v>1.5448</v>
      </c>
      <c r="E45" s="2" t="n">
        <v>0.7951</v>
      </c>
      <c r="F45" s="2">
        <f>1.5448^0.7951</f>
        <v/>
      </c>
      <c r="G45" s="2" t="n">
        <v>0.59</v>
      </c>
      <c r="H45" s="2" t="n">
        <v>0.8796</v>
      </c>
      <c r="I45" s="2">
        <f>0.59^0.8796</f>
        <v/>
      </c>
      <c r="J45" s="2" t="n">
        <v>53016.2007</v>
      </c>
    </row>
    <row r="46">
      <c r="B46" s="2" t="inlineStr">
        <is>
          <t>project33</t>
        </is>
      </c>
      <c r="C46" s="2" t="n">
        <v>608200</v>
      </c>
      <c r="D46" s="2" t="n">
        <v>2.2852</v>
      </c>
      <c r="E46" s="2" t="n">
        <v>0.7951</v>
      </c>
      <c r="F46" s="2">
        <f>2.2852^0.7951</f>
        <v/>
      </c>
      <c r="G46" s="2" t="n">
        <v>7.59</v>
      </c>
      <c r="H46" s="2" t="n">
        <v>0.8796</v>
      </c>
      <c r="I46" s="2">
        <f>7.59^0.8796</f>
        <v/>
      </c>
      <c r="J46" s="2" t="n">
        <v>53016.2007</v>
      </c>
    </row>
    <row r="47">
      <c r="B47" s="2" t="inlineStr">
        <is>
          <t>project34</t>
        </is>
      </c>
      <c r="C47" s="2" t="n">
        <v>742500</v>
      </c>
      <c r="D47" s="2" t="n">
        <v>2.3541</v>
      </c>
      <c r="E47" s="2" t="n">
        <v>0.7951</v>
      </c>
      <c r="F47" s="2">
        <f>2.3541^0.7951</f>
        <v/>
      </c>
      <c r="G47" s="2" t="n">
        <v>9.27</v>
      </c>
      <c r="H47" s="2" t="n">
        <v>0.8796</v>
      </c>
      <c r="I47" s="2">
        <f>9.27^0.8796</f>
        <v/>
      </c>
      <c r="J47" s="2" t="n">
        <v>53016.2007</v>
      </c>
    </row>
    <row r="48">
      <c r="B48" s="2" t="inlineStr">
        <is>
          <t>project35</t>
        </is>
      </c>
      <c r="C48" s="2" t="n">
        <v>129300</v>
      </c>
      <c r="D48" s="2" t="n">
        <v>1.812</v>
      </c>
      <c r="E48" s="2" t="n">
        <v>0.7951</v>
      </c>
      <c r="F48" s="2">
        <f>1.812^0.7951</f>
        <v/>
      </c>
      <c r="G48" s="2" t="n">
        <v>1.61</v>
      </c>
      <c r="H48" s="2" t="n">
        <v>0.8796</v>
      </c>
      <c r="I48" s="2">
        <f>1.61^0.8796</f>
        <v/>
      </c>
      <c r="J48" s="2" t="n">
        <v>53016.2007</v>
      </c>
    </row>
    <row r="49">
      <c r="B49" s="2" t="inlineStr">
        <is>
          <t>project36</t>
        </is>
      </c>
      <c r="C49" s="2" t="n">
        <v>58200</v>
      </c>
      <c r="D49" s="2" t="n">
        <v>1.5928</v>
      </c>
      <c r="E49" s="2" t="n">
        <v>0.7951</v>
      </c>
      <c r="F49" s="2">
        <f>1.5928^0.7951</f>
        <v/>
      </c>
      <c r="G49" s="2" t="n">
        <v>0.73</v>
      </c>
      <c r="H49" s="2" t="n">
        <v>0.8796</v>
      </c>
      <c r="I49" s="2">
        <f>0.73^0.8796</f>
        <v/>
      </c>
      <c r="J49" s="2" t="n">
        <v>53016.2007</v>
      </c>
    </row>
    <row r="50">
      <c r="B50" s="2" t="inlineStr">
        <is>
          <t>project37</t>
        </is>
      </c>
      <c r="C50" s="2" t="n">
        <v>119100</v>
      </c>
      <c r="D50" s="2" t="n">
        <v>1.7803</v>
      </c>
      <c r="E50" s="2" t="n">
        <v>0.7951</v>
      </c>
      <c r="F50" s="2">
        <f>1.7803^0.7951</f>
        <v/>
      </c>
      <c r="G50" s="2" t="n">
        <v>1.49</v>
      </c>
      <c r="H50" s="2" t="n">
        <v>0.8796</v>
      </c>
      <c r="I50" s="2">
        <f>1.49^0.8796</f>
        <v/>
      </c>
      <c r="J50" s="2" t="n">
        <v>53016.2007</v>
      </c>
    </row>
    <row r="51">
      <c r="B51" s="2" t="inlineStr">
        <is>
          <t>project38</t>
        </is>
      </c>
      <c r="C51" s="2" t="n">
        <v>505600</v>
      </c>
      <c r="D51" s="2" t="n">
        <v>2.222</v>
      </c>
      <c r="E51" s="2" t="n">
        <v>0.7951</v>
      </c>
      <c r="F51" s="2">
        <f>2.222^0.7951</f>
        <v/>
      </c>
      <c r="G51" s="2" t="n">
        <v>6.31</v>
      </c>
      <c r="H51" s="2" t="n">
        <v>0.8796</v>
      </c>
      <c r="I51" s="2">
        <f>6.31^0.8796</f>
        <v/>
      </c>
      <c r="J51" s="2" t="n">
        <v>53016.2007</v>
      </c>
    </row>
    <row r="52">
      <c r="B52" s="2" t="inlineStr">
        <is>
          <t>project39</t>
        </is>
      </c>
      <c r="C52" s="2" t="n">
        <v>671300</v>
      </c>
      <c r="D52" s="2" t="n">
        <v>2.3188</v>
      </c>
      <c r="E52" s="2" t="n">
        <v>0.7951</v>
      </c>
      <c r="F52" s="2">
        <f>2.3188^0.7951</f>
        <v/>
      </c>
      <c r="G52" s="2" t="n">
        <v>8.380000000000001</v>
      </c>
      <c r="H52" s="2" t="n">
        <v>0.8796</v>
      </c>
      <c r="I52" s="2">
        <f>8.38^0.8796</f>
        <v/>
      </c>
      <c r="J52" s="2" t="n">
        <v>53016.2007</v>
      </c>
    </row>
    <row r="53">
      <c r="B53" s="2" t="inlineStr">
        <is>
          <t>project40</t>
        </is>
      </c>
      <c r="C53" s="2" t="n">
        <v>228600</v>
      </c>
      <c r="D53" s="2" t="n">
        <v>1.9726</v>
      </c>
      <c r="E53" s="2" t="n">
        <v>0.7951</v>
      </c>
      <c r="F53" s="2">
        <f>1.9726^0.7951</f>
        <v/>
      </c>
      <c r="G53" s="2" t="n">
        <v>2.85</v>
      </c>
      <c r="H53" s="2" t="n">
        <v>0.8796</v>
      </c>
      <c r="I53" s="2">
        <f>2.85^0.8796</f>
        <v/>
      </c>
      <c r="J53" s="2" t="n">
        <v>53016.2007</v>
      </c>
    </row>
    <row r="54">
      <c r="B54" s="2" t="inlineStr">
        <is>
          <t>project41</t>
        </is>
      </c>
      <c r="C54" s="2" t="n">
        <v>827400</v>
      </c>
      <c r="D54" s="2" t="n">
        <v>2.393</v>
      </c>
      <c r="E54" s="2" t="n">
        <v>0.7951</v>
      </c>
      <c r="F54" s="2">
        <f>2.393^0.7951</f>
        <v/>
      </c>
      <c r="G54" s="2" t="n">
        <v>10.33</v>
      </c>
      <c r="H54" s="2" t="n">
        <v>0.8796</v>
      </c>
      <c r="I54" s="2">
        <f>10.33^0.8796</f>
        <v/>
      </c>
      <c r="J54" s="2" t="n">
        <v>53016.2007</v>
      </c>
    </row>
    <row r="55">
      <c r="B55" s="2" t="inlineStr">
        <is>
          <t>project42</t>
        </is>
      </c>
      <c r="C55" s="2" t="n">
        <v>53700</v>
      </c>
      <c r="D55" s="2" t="n">
        <v>1.5827</v>
      </c>
      <c r="E55" s="2" t="n">
        <v>0.7951</v>
      </c>
      <c r="F55" s="2">
        <f>1.5827^0.7951</f>
        <v/>
      </c>
      <c r="G55" s="2" t="n">
        <v>0.67</v>
      </c>
      <c r="H55" s="2" t="n">
        <v>0.8796</v>
      </c>
      <c r="I55" s="2">
        <f>0.67^0.8796</f>
        <v/>
      </c>
      <c r="J55" s="2" t="n">
        <v>53016.2007</v>
      </c>
    </row>
    <row r="56">
      <c r="B56" s="2" t="inlineStr">
        <is>
          <t>project43</t>
        </is>
      </c>
      <c r="C56" s="2" t="n">
        <v>318300</v>
      </c>
      <c r="D56" s="2" t="n">
        <v>2.073</v>
      </c>
      <c r="E56" s="2" t="n">
        <v>0.7951</v>
      </c>
      <c r="F56" s="2">
        <f>2.073^0.7951</f>
        <v/>
      </c>
      <c r="G56" s="2" t="n">
        <v>3.97</v>
      </c>
      <c r="H56" s="2" t="n">
        <v>0.8796</v>
      </c>
      <c r="I56" s="2">
        <f>3.97^0.8796</f>
        <v/>
      </c>
      <c r="J56" s="2" t="n">
        <v>53016.2007</v>
      </c>
    </row>
    <row r="57">
      <c r="B57" s="2" t="inlineStr">
        <is>
          <t>project44</t>
        </is>
      </c>
      <c r="C57" s="2" t="n">
        <v>621100</v>
      </c>
      <c r="D57" s="2" t="n">
        <v>2.2928</v>
      </c>
      <c r="E57" s="2" t="n">
        <v>0.7951</v>
      </c>
      <c r="F57" s="2">
        <f>2.2928^0.7951</f>
        <v/>
      </c>
      <c r="G57" s="2" t="n">
        <v>7.75</v>
      </c>
      <c r="H57" s="2" t="n">
        <v>0.8796</v>
      </c>
      <c r="I57" s="2">
        <f>7.75^0.8796</f>
        <v/>
      </c>
      <c r="J57" s="2" t="n">
        <v>53016.2007</v>
      </c>
    </row>
    <row r="58">
      <c r="B58" s="2" t="inlineStr">
        <is>
          <t>project45</t>
        </is>
      </c>
      <c r="C58" s="2" t="n">
        <v>424600</v>
      </c>
      <c r="D58" s="2" t="n">
        <v>2.1636</v>
      </c>
      <c r="E58" s="2" t="n">
        <v>0.7951</v>
      </c>
      <c r="F58" s="2">
        <f>2.1636^0.7951</f>
        <v/>
      </c>
      <c r="G58" s="2" t="n">
        <v>5.3</v>
      </c>
      <c r="H58" s="2" t="n">
        <v>0.8796</v>
      </c>
      <c r="I58" s="2">
        <f>5.3^0.8796</f>
        <v/>
      </c>
      <c r="J58" s="2" t="n">
        <v>53016.2007</v>
      </c>
    </row>
    <row r="59">
      <c r="B59" s="2" t="inlineStr">
        <is>
          <t>project46</t>
        </is>
      </c>
      <c r="C59" s="2" t="n">
        <v>536700</v>
      </c>
      <c r="D59" s="2" t="n">
        <v>2.2415</v>
      </c>
      <c r="E59" s="2" t="n">
        <v>0.7951</v>
      </c>
      <c r="F59" s="2">
        <f>2.2415^0.7951</f>
        <v/>
      </c>
      <c r="G59" s="2" t="n">
        <v>6.7</v>
      </c>
      <c r="H59" s="2" t="n">
        <v>0.8796</v>
      </c>
      <c r="I59" s="2">
        <f>6.7^0.8796</f>
        <v/>
      </c>
      <c r="J59" s="2" t="n">
        <v>53016.2007</v>
      </c>
    </row>
    <row r="60">
      <c r="B60" s="2" t="inlineStr">
        <is>
          <t>project47</t>
        </is>
      </c>
      <c r="C60" s="2" t="n">
        <v>757500</v>
      </c>
      <c r="D60" s="2" t="n">
        <v>2.3605</v>
      </c>
      <c r="E60" s="2" t="n">
        <v>0.7951</v>
      </c>
      <c r="F60" s="2">
        <f>2.3605^0.7951</f>
        <v/>
      </c>
      <c r="G60" s="2" t="n">
        <v>9.460000000000001</v>
      </c>
      <c r="H60" s="2" t="n">
        <v>0.8796</v>
      </c>
      <c r="I60" s="2">
        <f>9.46^0.8796</f>
        <v/>
      </c>
      <c r="J60" s="2" t="n">
        <v>53016.2007</v>
      </c>
    </row>
    <row r="61">
      <c r="B61" s="2" t="inlineStr">
        <is>
          <t>project48</t>
        </is>
      </c>
      <c r="C61" s="2" t="n">
        <v>64400</v>
      </c>
      <c r="D61" s="2" t="n">
        <v>1.6348</v>
      </c>
      <c r="E61" s="2" t="n">
        <v>0.7951</v>
      </c>
      <c r="F61" s="2">
        <f>1.6348^0.7951</f>
        <v/>
      </c>
      <c r="G61" s="2" t="n">
        <v>0.8</v>
      </c>
      <c r="H61" s="2" t="n">
        <v>0.8796</v>
      </c>
      <c r="I61" s="2">
        <f>0.8^0.8796</f>
        <v/>
      </c>
      <c r="J61" s="2" t="n">
        <v>53016.2007</v>
      </c>
    </row>
    <row r="62">
      <c r="B62" s="2" t="inlineStr">
        <is>
          <t>project49</t>
        </is>
      </c>
      <c r="C62" s="2" t="n">
        <v>195800</v>
      </c>
      <c r="D62" s="2" t="n">
        <v>1.9278</v>
      </c>
      <c r="E62" s="2" t="n">
        <v>0.7951</v>
      </c>
      <c r="F62" s="2">
        <f>1.9278^0.7951</f>
        <v/>
      </c>
      <c r="G62" s="2" t="n">
        <v>2.44</v>
      </c>
      <c r="H62" s="2" t="n">
        <v>0.8796</v>
      </c>
      <c r="I62" s="2">
        <f>2.44^0.8796</f>
        <v/>
      </c>
      <c r="J62" s="2" t="n">
        <v>53016.2007</v>
      </c>
    </row>
    <row r="63">
      <c r="B63" s="2" t="inlineStr">
        <is>
          <t>project50</t>
        </is>
      </c>
      <c r="C63" s="2" t="n">
        <v>540800</v>
      </c>
      <c r="D63" s="2" t="n">
        <v>2.2445</v>
      </c>
      <c r="E63" s="2" t="n">
        <v>0.7951</v>
      </c>
      <c r="F63" s="2">
        <f>2.2445^0.7951</f>
        <v/>
      </c>
      <c r="G63" s="2" t="n">
        <v>6.75</v>
      </c>
      <c r="H63" s="2" t="n">
        <v>0.8796</v>
      </c>
      <c r="I63" s="2">
        <f>6.75^0.8796</f>
        <v/>
      </c>
      <c r="J63" s="2" t="n">
        <v>53016.2007</v>
      </c>
    </row>
  </sheetData>
  <mergeCells count="26">
    <mergeCell ref="R13:R14"/>
    <mergeCell ref="C2:C4"/>
    <mergeCell ref="T2:T4"/>
    <mergeCell ref="B1:J1"/>
    <mergeCell ref="O2:O4"/>
    <mergeCell ref="Q2:Q4"/>
    <mergeCell ref="S13:S14"/>
    <mergeCell ref="U13:U14"/>
    <mergeCell ref="J2:J4"/>
    <mergeCell ref="V2:V4"/>
    <mergeCell ref="O1:V1"/>
    <mergeCell ref="R2:R4"/>
    <mergeCell ref="I2:I4"/>
    <mergeCell ref="U2:U4"/>
    <mergeCell ref="P13:P14"/>
    <mergeCell ref="T13:T14"/>
    <mergeCell ref="G2:G4"/>
    <mergeCell ref="B2:B4"/>
    <mergeCell ref="S2:S4"/>
    <mergeCell ref="D2:D4"/>
    <mergeCell ref="P2:P4"/>
    <mergeCell ref="O13:O14"/>
    <mergeCell ref="Q13:Q14"/>
    <mergeCell ref="F2:F4"/>
    <mergeCell ref="H2:H4"/>
    <mergeCell ref="E2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3"/>
  <sheetViews>
    <sheetView workbookViewId="0">
      <selection activeCell="A1" sqref="A1"/>
    </sheetView>
  </sheetViews>
  <sheetFormatPr baseColWidth="8" defaultRowHeight="15"/>
  <cols>
    <col width="10" customWidth="1" min="1" max="1"/>
    <col width="22" customWidth="1" min="2" max="2"/>
    <col width="20" customWidth="1" min="3" max="3"/>
    <col width="19" customWidth="1" min="4" max="4"/>
    <col width="24" customWidth="1" min="5" max="5"/>
    <col width="24" customWidth="1" min="6" max="6"/>
    <col width="21" customWidth="1" min="7" max="7"/>
    <col width="19" customWidth="1" min="8" max="8"/>
    <col width="24" customWidth="1" min="9" max="9"/>
    <col width="19" customWidth="1" min="10" max="10"/>
    <col width="24" customWidth="1" min="11" max="11"/>
  </cols>
  <sheetData>
    <row r="1">
      <c r="B1" s="7" t="inlineStr">
        <is>
          <t>Source Lines of Code</t>
        </is>
      </c>
      <c r="C1" s="7" t="inlineStr">
        <is>
          <t>Effort (Labor Yrs)</t>
        </is>
      </c>
      <c r="D1" s="7" t="inlineStr">
        <is>
          <t>COCOMO (a)</t>
        </is>
      </c>
      <c r="E1" s="7" t="inlineStr">
        <is>
          <t>COCOMO (b)</t>
        </is>
      </c>
      <c r="F1" s="7" t="inlineStr">
        <is>
          <t>KLOC^b</t>
        </is>
      </c>
      <c r="G1" s="7" t="inlineStr">
        <is>
          <t>Dev Time (Yrs) t_d</t>
        </is>
      </c>
      <c r="H1" s="7" t="inlineStr">
        <is>
          <t>COCOMO (c)</t>
        </is>
      </c>
      <c r="I1" s="7" t="inlineStr">
        <is>
          <t>Effort^d</t>
        </is>
      </c>
      <c r="J1" s="7" t="inlineStr">
        <is>
          <t>Predicted Effort</t>
        </is>
      </c>
      <c r="K1" s="7" t="inlineStr">
        <is>
          <t>Predicted Time</t>
        </is>
      </c>
    </row>
    <row r="2">
      <c r="B2" s="8" t="n">
        <v>378100</v>
      </c>
      <c r="C2" s="8" t="n">
        <v>85685916.2</v>
      </c>
      <c r="D2" s="8" t="n">
        <v>79105748.98263805</v>
      </c>
      <c r="E2" s="8" t="n">
        <v>-0.00248927013161219</v>
      </c>
      <c r="F2" s="8" t="n">
        <v>0.9853343898839151</v>
      </c>
      <c r="G2" s="8" t="n">
        <v>6.49</v>
      </c>
      <c r="H2" s="8" t="n">
        <v>4.483900919376751</v>
      </c>
      <c r="I2" s="8" t="n">
        <v>1.336933162264659</v>
      </c>
      <c r="J2" s="8" t="n">
        <v>77945614.91011779</v>
      </c>
      <c r="K2" s="8" t="n">
        <v>5.994675835423769</v>
      </c>
    </row>
    <row r="3">
      <c r="B3" s="8" t="n">
        <v>351400</v>
      </c>
      <c r="C3" s="8" t="n">
        <v>86119102.55</v>
      </c>
      <c r="D3" s="8" t="n">
        <v>79105748.98263805</v>
      </c>
      <c r="E3" s="8" t="n">
        <v>-0.00248927013161219</v>
      </c>
      <c r="F3" s="8" t="n">
        <v>0.9855140307970273</v>
      </c>
      <c r="G3" s="8" t="n">
        <v>5.5</v>
      </c>
      <c r="H3" s="8" t="n">
        <v>4.483900919376751</v>
      </c>
      <c r="I3" s="8" t="n">
        <v>1.337040342058824</v>
      </c>
      <c r="J3" s="8" t="n">
        <v>77959825.53909746</v>
      </c>
      <c r="K3" s="8" t="n">
        <v>5.995156419001368</v>
      </c>
    </row>
    <row r="4">
      <c r="B4" s="8" t="n">
        <v>87000</v>
      </c>
      <c r="C4" s="8" t="n">
        <v>82371848.34</v>
      </c>
      <c r="D4" s="8" t="n">
        <v>79105748.98263805</v>
      </c>
      <c r="E4" s="8" t="n">
        <v>-0.00248927013161219</v>
      </c>
      <c r="F4" s="8" t="n">
        <v>0.9889447121622024</v>
      </c>
      <c r="G4" s="8" t="n">
        <v>5.91</v>
      </c>
      <c r="H4" s="8" t="n">
        <v>4.483900919376751</v>
      </c>
      <c r="I4" s="8" t="n">
        <v>1.336095095464538</v>
      </c>
      <c r="J4" s="8" t="n">
        <v>78231212.15801041</v>
      </c>
      <c r="K4" s="8" t="n">
        <v>5.990918026928211</v>
      </c>
    </row>
    <row r="5">
      <c r="B5" s="8" t="n">
        <v>472100</v>
      </c>
      <c r="C5" s="8" t="n">
        <v>79880419.7</v>
      </c>
      <c r="D5" s="8" t="n">
        <v>79105748.98263805</v>
      </c>
      <c r="E5" s="8" t="n">
        <v>-0.00248927013161219</v>
      </c>
      <c r="F5" s="8" t="n">
        <v>0.9847899480896</v>
      </c>
      <c r="G5" s="8" t="n">
        <v>5.65</v>
      </c>
      <c r="H5" s="8" t="n">
        <v>4.483900919376751</v>
      </c>
      <c r="I5" s="8" t="n">
        <v>1.335442912960828</v>
      </c>
      <c r="J5" s="8" t="n">
        <v>77902546.43420105</v>
      </c>
      <c r="K5" s="8" t="n">
        <v>5.987993705200222</v>
      </c>
    </row>
    <row r="6">
      <c r="B6" s="8" t="n">
        <v>53100</v>
      </c>
      <c r="C6" s="8" t="n">
        <v>82508752.77</v>
      </c>
      <c r="D6" s="8" t="n">
        <v>79105748.98263805</v>
      </c>
      <c r="E6" s="8" t="n">
        <v>-0.00248927013161219</v>
      </c>
      <c r="F6" s="8" t="n">
        <v>0.9901609023979793</v>
      </c>
      <c r="G6" s="8" t="n">
        <v>5.58</v>
      </c>
      <c r="H6" s="8" t="n">
        <v>4.483900919376751</v>
      </c>
      <c r="I6" s="8" t="n">
        <v>1.336130368035761</v>
      </c>
      <c r="J6" s="8" t="n">
        <v>78327419.79751691</v>
      </c>
      <c r="K6" s="8" t="n">
        <v>5.991076185642745</v>
      </c>
    </row>
    <row r="7">
      <c r="B7" s="8" t="n">
        <v>750200</v>
      </c>
      <c r="C7" s="8" t="n">
        <v>75611716.52</v>
      </c>
      <c r="D7" s="8" t="n">
        <v>79105748.98263805</v>
      </c>
      <c r="E7" s="8" t="n">
        <v>-0.00248927013161219</v>
      </c>
      <c r="F7" s="8" t="n">
        <v>0.9836552350394455</v>
      </c>
      <c r="G7" s="8" t="n">
        <v>6.69</v>
      </c>
      <c r="H7" s="8" t="n">
        <v>4.483900919376751</v>
      </c>
      <c r="I7" s="8" t="n">
        <v>1.334277503864302</v>
      </c>
      <c r="J7" s="8" t="n">
        <v>77812784.1084882</v>
      </c>
      <c r="K7" s="8" t="n">
        <v>5.982768126280858</v>
      </c>
    </row>
    <row r="8">
      <c r="B8" s="8" t="n">
        <v>500600</v>
      </c>
      <c r="C8" s="8" t="n">
        <v>82104519.41</v>
      </c>
      <c r="D8" s="8" t="n">
        <v>79105748.98263805</v>
      </c>
      <c r="E8" s="8" t="n">
        <v>-0.00248927013161219</v>
      </c>
      <c r="F8" s="8" t="n">
        <v>0.9846462654773092</v>
      </c>
      <c r="G8" s="8" t="n">
        <v>5.93</v>
      </c>
      <c r="H8" s="8" t="n">
        <v>4.483900919376751</v>
      </c>
      <c r="I8" s="8" t="n">
        <v>1.336026053210401</v>
      </c>
      <c r="J8" s="8" t="n">
        <v>77891180.31354</v>
      </c>
      <c r="K8" s="8" t="n">
        <v>5.990608448301411</v>
      </c>
    </row>
    <row r="9">
      <c r="B9" s="8" t="n">
        <v>680600</v>
      </c>
      <c r="C9" s="8" t="n">
        <v>83752997.02</v>
      </c>
      <c r="D9" s="8" t="n">
        <v>79105748.98263805</v>
      </c>
      <c r="E9" s="8" t="n">
        <v>-0.00248927013161219</v>
      </c>
      <c r="F9" s="8" t="n">
        <v>0.9838936704597619</v>
      </c>
      <c r="G9" s="8" t="n">
        <v>6.03</v>
      </c>
      <c r="H9" s="8" t="n">
        <v>4.483900919376751</v>
      </c>
      <c r="I9" s="8" t="n">
        <v>1.336448324665448</v>
      </c>
      <c r="J9" s="8" t="n">
        <v>77831645.72099632</v>
      </c>
      <c r="K9" s="8" t="n">
        <v>5.992501871666922</v>
      </c>
    </row>
    <row r="10">
      <c r="B10" s="8" t="n">
        <v>663400</v>
      </c>
      <c r="C10" s="8" t="n">
        <v>79007528.31</v>
      </c>
      <c r="D10" s="8" t="n">
        <v>79105748.98263805</v>
      </c>
      <c r="E10" s="8" t="n">
        <v>-0.00248927013161219</v>
      </c>
      <c r="F10" s="8" t="n">
        <v>0.9839563631513493</v>
      </c>
      <c r="G10" s="8" t="n">
        <v>5.59</v>
      </c>
      <c r="H10" s="8" t="n">
        <v>4.483900919376751</v>
      </c>
      <c r="I10" s="8" t="n">
        <v>1.335209670830562</v>
      </c>
      <c r="J10" s="8" t="n">
        <v>77836605.07332008</v>
      </c>
      <c r="K10" s="8" t="n">
        <v>5.986947870597887</v>
      </c>
    </row>
    <row r="11">
      <c r="B11" s="8" t="n">
        <v>487700</v>
      </c>
      <c r="C11" s="8" t="n">
        <v>78610619.90000001</v>
      </c>
      <c r="D11" s="8" t="n">
        <v>79105748.98263805</v>
      </c>
      <c r="E11" s="8" t="n">
        <v>-0.00248927013161219</v>
      </c>
      <c r="F11" s="8" t="n">
        <v>0.9847102569278182</v>
      </c>
      <c r="G11" s="8" t="n">
        <v>5.81</v>
      </c>
      <c r="H11" s="8" t="n">
        <v>4.483900919376751</v>
      </c>
      <c r="I11" s="8" t="n">
        <v>1.335102774435411</v>
      </c>
      <c r="J11" s="8" t="n">
        <v>77896242.40516101</v>
      </c>
      <c r="K11" s="8" t="n">
        <v>5.98646855775339</v>
      </c>
    </row>
    <row r="12">
      <c r="B12" s="8" t="n">
        <v>202500</v>
      </c>
      <c r="C12" s="8" t="n">
        <v>83935919.56</v>
      </c>
      <c r="D12" s="8" t="n">
        <v>79105748.98263805</v>
      </c>
      <c r="E12" s="8" t="n">
        <v>-0.00248927013161219</v>
      </c>
      <c r="F12" s="8" t="n">
        <v>0.9868671324624284</v>
      </c>
      <c r="G12" s="8" t="n">
        <v>6.29</v>
      </c>
      <c r="H12" s="8" t="n">
        <v>4.483900919376751</v>
      </c>
      <c r="I12" s="8" t="n">
        <v>1.336494676690905</v>
      </c>
      <c r="J12" s="8" t="n">
        <v>78066863.65978867</v>
      </c>
      <c r="K12" s="8" t="n">
        <v>5.992709709556484</v>
      </c>
    </row>
    <row r="13">
      <c r="B13" s="8" t="n">
        <v>607600</v>
      </c>
      <c r="C13" s="8" t="n">
        <v>82098977.40000001</v>
      </c>
      <c r="D13" s="8" t="n">
        <v>79105748.98263805</v>
      </c>
      <c r="E13" s="8" t="n">
        <v>-0.00248927013161219</v>
      </c>
      <c r="F13" s="8" t="n">
        <v>0.9841715884209923</v>
      </c>
      <c r="G13" s="8" t="n">
        <v>6.6</v>
      </c>
      <c r="H13" s="8" t="n">
        <v>4.483900919376751</v>
      </c>
      <c r="I13" s="8" t="n">
        <v>1.336024619552358</v>
      </c>
      <c r="J13" s="8" t="n">
        <v>77853630.62947518</v>
      </c>
      <c r="K13" s="8" t="n">
        <v>5.990602019920792</v>
      </c>
    </row>
    <row r="14">
      <c r="B14" s="8" t="n">
        <v>348400</v>
      </c>
      <c r="C14" s="8" t="n">
        <v>74058613.34</v>
      </c>
      <c r="D14" s="8" t="n">
        <v>79105748.98263805</v>
      </c>
      <c r="E14" s="8" t="n">
        <v>-0.00248927013161219</v>
      </c>
      <c r="F14" s="8" t="n">
        <v>0.9855350646797005</v>
      </c>
      <c r="G14" s="8" t="n">
        <v>6.4</v>
      </c>
      <c r="H14" s="8" t="n">
        <v>4.483900919376751</v>
      </c>
      <c r="I14" s="8" t="n">
        <v>1.333837353889657</v>
      </c>
      <c r="J14" s="8" t="n">
        <v>77961489.44014034</v>
      </c>
      <c r="K14" s="8" t="n">
        <v>5.980794537404886</v>
      </c>
    </row>
    <row r="15">
      <c r="B15" s="8" t="n">
        <v>765500</v>
      </c>
      <c r="C15" s="8" t="n">
        <v>75443332.86</v>
      </c>
      <c r="D15" s="8" t="n">
        <v>79105748.98263805</v>
      </c>
      <c r="E15" s="8" t="n">
        <v>-0.00248927013161219</v>
      </c>
      <c r="F15" s="8" t="n">
        <v>0.9836058009032118</v>
      </c>
      <c r="G15" s="8" t="n">
        <v>5.69</v>
      </c>
      <c r="H15" s="8" t="n">
        <v>4.483900919376751</v>
      </c>
      <c r="I15" s="8" t="n">
        <v>1.334230216041031</v>
      </c>
      <c r="J15" s="8" t="n">
        <v>77808873.58411613</v>
      </c>
      <c r="K15" s="8" t="n">
        <v>5.982556092366618</v>
      </c>
    </row>
    <row r="16">
      <c r="B16" s="8" t="n">
        <v>253500</v>
      </c>
      <c r="C16" s="8" t="n">
        <v>79261287.23999999</v>
      </c>
      <c r="D16" s="8" t="n">
        <v>79105748.98263805</v>
      </c>
      <c r="E16" s="8" t="n">
        <v>-0.00248927013161219</v>
      </c>
      <c r="F16" s="8" t="n">
        <v>0.9863154802872918</v>
      </c>
      <c r="G16" s="8" t="n">
        <v>5.78</v>
      </c>
      <c r="H16" s="8" t="n">
        <v>4.483900919376751</v>
      </c>
      <c r="I16" s="8" t="n">
        <v>1.335277737244528</v>
      </c>
      <c r="J16" s="8" t="n">
        <v>78023224.80129659</v>
      </c>
      <c r="K16" s="8" t="n">
        <v>5.987253073654045</v>
      </c>
    </row>
    <row r="17">
      <c r="B17" s="8" t="n">
        <v>639300</v>
      </c>
      <c r="C17" s="8" t="n">
        <v>83880503.8</v>
      </c>
      <c r="D17" s="8" t="n">
        <v>79105748.98263805</v>
      </c>
      <c r="E17" s="8" t="n">
        <v>-0.00248927013161219</v>
      </c>
      <c r="F17" s="8" t="n">
        <v>0.9840470031827938</v>
      </c>
      <c r="G17" s="8" t="n">
        <v>6.37</v>
      </c>
      <c r="H17" s="8" t="n">
        <v>4.483900919376751</v>
      </c>
      <c r="I17" s="8" t="n">
        <v>1.336480645007417</v>
      </c>
      <c r="J17" s="8" t="n">
        <v>77843775.22089531</v>
      </c>
      <c r="K17" s="8" t="n">
        <v>5.992646792877991</v>
      </c>
    </row>
    <row r="18">
      <c r="B18" s="8" t="n">
        <v>592800</v>
      </c>
      <c r="C18" s="8" t="n">
        <v>75904303.29000001</v>
      </c>
      <c r="D18" s="8" t="n">
        <v>79105748.98263805</v>
      </c>
      <c r="E18" s="8" t="n">
        <v>-0.00248927013161219</v>
      </c>
      <c r="F18" s="8" t="n">
        <v>0.984232003300345</v>
      </c>
      <c r="G18" s="8" t="n">
        <v>6.41</v>
      </c>
      <c r="H18" s="8" t="n">
        <v>4.483900919376751</v>
      </c>
      <c r="I18" s="8" t="n">
        <v>1.334359426165785</v>
      </c>
      <c r="J18" s="8" t="n">
        <v>77858409.79375607</v>
      </c>
      <c r="K18" s="8" t="n">
        <v>5.983135457763795</v>
      </c>
    </row>
    <row r="19">
      <c r="B19" s="8" t="n">
        <v>675600</v>
      </c>
      <c r="C19" s="8" t="n">
        <v>75222169.67</v>
      </c>
      <c r="D19" s="8" t="n">
        <v>79105748.98263805</v>
      </c>
      <c r="E19" s="8" t="n">
        <v>-0.00248927013161219</v>
      </c>
      <c r="F19" s="8" t="n">
        <v>0.9839117298219551</v>
      </c>
      <c r="G19" s="8" t="n">
        <v>5.99</v>
      </c>
      <c r="H19" s="8" t="n">
        <v>4.483900919376751</v>
      </c>
      <c r="I19" s="8" t="n">
        <v>1.334167947893183</v>
      </c>
      <c r="J19" s="8" t="n">
        <v>77833074.32036877</v>
      </c>
      <c r="K19" s="8" t="n">
        <v>5.982276888161237</v>
      </c>
    </row>
    <row r="20">
      <c r="B20" s="8" t="n">
        <v>765900</v>
      </c>
      <c r="C20" s="8" t="n">
        <v>80222534.19</v>
      </c>
      <c r="D20" s="8" t="n">
        <v>79105748.98263805</v>
      </c>
      <c r="E20" s="8" t="n">
        <v>-0.00248927013161219</v>
      </c>
      <c r="F20" s="8" t="n">
        <v>0.9836045218335996</v>
      </c>
      <c r="G20" s="8" t="n">
        <v>6.23</v>
      </c>
      <c r="H20" s="8" t="n">
        <v>4.483900919376751</v>
      </c>
      <c r="I20" s="8" t="n">
        <v>1.335533644618015</v>
      </c>
      <c r="J20" s="8" t="n">
        <v>77808772.40235645</v>
      </c>
      <c r="K20" s="8" t="n">
        <v>5.988400536961299</v>
      </c>
    </row>
    <row r="21">
      <c r="B21" s="8" t="n">
        <v>69600</v>
      </c>
      <c r="C21" s="8" t="n">
        <v>83174192.66</v>
      </c>
      <c r="D21" s="8" t="n">
        <v>79105748.98263805</v>
      </c>
      <c r="E21" s="8" t="n">
        <v>-0.00248927013161219</v>
      </c>
      <c r="F21" s="8" t="n">
        <v>0.9894941885119607</v>
      </c>
      <c r="G21" s="8" t="n">
        <v>6.18</v>
      </c>
      <c r="H21" s="8" t="n">
        <v>4.483900919376751</v>
      </c>
      <c r="I21" s="8" t="n">
        <v>1.336300998236448</v>
      </c>
      <c r="J21" s="8" t="n">
        <v>78274678.89620629</v>
      </c>
      <c r="K21" s="8" t="n">
        <v>5.99184127455648</v>
      </c>
    </row>
    <row r="22">
      <c r="B22" s="8" t="n">
        <v>740400</v>
      </c>
      <c r="C22" s="8" t="n">
        <v>76961097.61</v>
      </c>
      <c r="D22" s="8" t="n">
        <v>79105748.98263805</v>
      </c>
      <c r="E22" s="8" t="n">
        <v>-0.00248927013161219</v>
      </c>
      <c r="F22" s="8" t="n">
        <v>0.9836874326212578</v>
      </c>
      <c r="G22" s="8" t="n">
        <v>5.64</v>
      </c>
      <c r="H22" s="8" t="n">
        <v>4.483900919376751</v>
      </c>
      <c r="I22" s="8" t="n">
        <v>1.334652754979382</v>
      </c>
      <c r="J22" s="8" t="n">
        <v>77815331.12231289</v>
      </c>
      <c r="K22" s="8" t="n">
        <v>5.984450715100765</v>
      </c>
    </row>
    <row r="23">
      <c r="B23" s="8" t="n">
        <v>640400</v>
      </c>
      <c r="C23" s="8" t="n">
        <v>76493402.79000001</v>
      </c>
      <c r="D23" s="8" t="n">
        <v>79105748.98263805</v>
      </c>
      <c r="E23" s="8" t="n">
        <v>-0.00248927013161219</v>
      </c>
      <c r="F23" s="8" t="n">
        <v>0.9840427920245652</v>
      </c>
      <c r="G23" s="8" t="n">
        <v>6.38</v>
      </c>
      <c r="H23" s="8" t="n">
        <v>4.483900919376751</v>
      </c>
      <c r="I23" s="8" t="n">
        <v>1.334523431465002</v>
      </c>
      <c r="J23" s="8" t="n">
        <v>77843442.09406956</v>
      </c>
      <c r="K23" s="8" t="n">
        <v>5.983870841275739</v>
      </c>
    </row>
    <row r="24">
      <c r="B24" s="8" t="n">
        <v>516400</v>
      </c>
      <c r="C24" s="8" t="n">
        <v>71760289.98</v>
      </c>
      <c r="D24" s="8" t="n">
        <v>79105748.98263805</v>
      </c>
      <c r="E24" s="8" t="n">
        <v>-0.00248927013161219</v>
      </c>
      <c r="F24" s="8" t="n">
        <v>0.9845701037923101</v>
      </c>
      <c r="G24" s="8" t="n">
        <v>5.85</v>
      </c>
      <c r="H24" s="8" t="n">
        <v>4.483900919376751</v>
      </c>
      <c r="I24" s="8" t="n">
        <v>1.333169051056744</v>
      </c>
      <c r="J24" s="8" t="n">
        <v>77885155.48640437</v>
      </c>
      <c r="K24" s="8" t="n">
        <v>5.977797933717965</v>
      </c>
    </row>
    <row r="25">
      <c r="B25" s="8" t="n">
        <v>708800</v>
      </c>
      <c r="C25" s="8" t="n">
        <v>81982885.56999999</v>
      </c>
      <c r="D25" s="8" t="n">
        <v>79105748.98263805</v>
      </c>
      <c r="E25" s="8" t="n">
        <v>-0.00248927013161219</v>
      </c>
      <c r="F25" s="8" t="n">
        <v>0.9837942422303448</v>
      </c>
      <c r="G25" s="8" t="n">
        <v>6.42</v>
      </c>
      <c r="H25" s="8" t="n">
        <v>4.483900919376751</v>
      </c>
      <c r="I25" s="8" t="n">
        <v>1.335994565938275</v>
      </c>
      <c r="J25" s="8" t="n">
        <v>77823780.37643827</v>
      </c>
      <c r="K25" s="8" t="n">
        <v>5.990467262492974</v>
      </c>
    </row>
    <row r="26">
      <c r="B26" s="8" t="n">
        <v>89100</v>
      </c>
      <c r="C26" s="8" t="n">
        <v>83960753.66</v>
      </c>
      <c r="D26" s="8" t="n">
        <v>79105748.98263805</v>
      </c>
      <c r="E26" s="8" t="n">
        <v>-0.00248927013161219</v>
      </c>
      <c r="F26" s="8" t="n">
        <v>0.9888859981619249</v>
      </c>
      <c r="G26" s="8" t="n">
        <v>5.69</v>
      </c>
      <c r="H26" s="8" t="n">
        <v>4.483900919376751</v>
      </c>
      <c r="I26" s="8" t="n">
        <v>1.336500961912151</v>
      </c>
      <c r="J26" s="8" t="n">
        <v>78226567.5430427</v>
      </c>
      <c r="K26" s="8" t="n">
        <v>5.992737891865807</v>
      </c>
    </row>
    <row r="27">
      <c r="B27" s="8" t="n">
        <v>107900</v>
      </c>
      <c r="C27" s="8" t="n">
        <v>70666870.5</v>
      </c>
      <c r="D27" s="8" t="n">
        <v>79105748.98263805</v>
      </c>
      <c r="E27" s="8" t="n">
        <v>-0.00248927013161219</v>
      </c>
      <c r="F27" s="8" t="n">
        <v>0.98841484726248</v>
      </c>
      <c r="G27" s="8" t="n">
        <v>5.9</v>
      </c>
      <c r="H27" s="8" t="n">
        <v>4.483900919376751</v>
      </c>
      <c r="I27" s="8" t="n">
        <v>1.332843678648604</v>
      </c>
      <c r="J27" s="8" t="n">
        <v>78189296.79825826</v>
      </c>
      <c r="K27" s="8" t="n">
        <v>5.976338996077965</v>
      </c>
    </row>
    <row r="28">
      <c r="B28" s="8" t="n">
        <v>567400</v>
      </c>
      <c r="C28" s="8" t="n">
        <v>74642524.43000001</v>
      </c>
      <c r="D28" s="8" t="n">
        <v>79105748.98263805</v>
      </c>
      <c r="E28" s="8" t="n">
        <v>-0.00248927013161219</v>
      </c>
      <c r="F28" s="8" t="n">
        <v>0.9843393017464975</v>
      </c>
      <c r="G28" s="8" t="n">
        <v>6.64</v>
      </c>
      <c r="H28" s="8" t="n">
        <v>4.483900919376751</v>
      </c>
      <c r="I28" s="8" t="n">
        <v>1.334003890847942</v>
      </c>
      <c r="J28" s="8" t="n">
        <v>77866897.71770364</v>
      </c>
      <c r="K28" s="8" t="n">
        <v>5.981541272625251</v>
      </c>
    </row>
    <row r="29">
      <c r="B29" s="8" t="n">
        <v>314600</v>
      </c>
      <c r="C29" s="8" t="n">
        <v>76077996.45999999</v>
      </c>
      <c r="D29" s="8" t="n">
        <v>79105748.98263805</v>
      </c>
      <c r="E29" s="8" t="n">
        <v>-0.00248927013161219</v>
      </c>
      <c r="F29" s="8" t="n">
        <v>0.9857854501407345</v>
      </c>
      <c r="G29" s="8" t="n">
        <v>5.89</v>
      </c>
      <c r="H29" s="8" t="n">
        <v>4.483900919376751</v>
      </c>
      <c r="I29" s="8" t="n">
        <v>1.334407912194501</v>
      </c>
      <c r="J29" s="8" t="n">
        <v>77981296.36956979</v>
      </c>
      <c r="K29" s="8" t="n">
        <v>5.983352864312535</v>
      </c>
    </row>
    <row r="30">
      <c r="B30" s="8" t="n">
        <v>831700</v>
      </c>
      <c r="C30" s="8" t="n">
        <v>80146211.56999999</v>
      </c>
      <c r="D30" s="8" t="n">
        <v>79105748.98263805</v>
      </c>
      <c r="E30" s="8" t="n">
        <v>-0.00248927013161219</v>
      </c>
      <c r="F30" s="8" t="n">
        <v>0.9834027402229616</v>
      </c>
      <c r="G30" s="8" t="n">
        <v>6.27</v>
      </c>
      <c r="H30" s="8" t="n">
        <v>4.483900919376751</v>
      </c>
      <c r="I30" s="8" t="n">
        <v>1.335513436256822</v>
      </c>
      <c r="J30" s="8" t="n">
        <v>77792810.316916</v>
      </c>
      <c r="K30" s="8" t="n">
        <v>5.988309924671967</v>
      </c>
    </row>
    <row r="31">
      <c r="B31" s="8" t="n">
        <v>437600</v>
      </c>
      <c r="C31" s="8" t="n">
        <v>71243804.48999999</v>
      </c>
      <c r="D31" s="8" t="n">
        <v>79105748.98263805</v>
      </c>
      <c r="E31" s="8" t="n">
        <v>-0.00248927013161219</v>
      </c>
      <c r="F31" s="8" t="n">
        <v>0.9849759921855215</v>
      </c>
      <c r="G31" s="8" t="n">
        <v>5.56</v>
      </c>
      <c r="H31" s="8" t="n">
        <v>4.483900919376751</v>
      </c>
      <c r="I31" s="8" t="n">
        <v>1.333015971284649</v>
      </c>
      <c r="J31" s="8" t="n">
        <v>77917263.59175271</v>
      </c>
      <c r="K31" s="8" t="n">
        <v>5.977111539187129</v>
      </c>
    </row>
    <row r="32">
      <c r="B32" s="8" t="n">
        <v>260000</v>
      </c>
      <c r="C32" s="8" t="n">
        <v>79698841.72</v>
      </c>
      <c r="D32" s="8" t="n">
        <v>79105748.98263805</v>
      </c>
      <c r="E32" s="8" t="n">
        <v>-0.00248927013161219</v>
      </c>
      <c r="F32" s="8" t="n">
        <v>0.9862533218204155</v>
      </c>
      <c r="G32" s="8" t="n">
        <v>5.96</v>
      </c>
      <c r="H32" s="8" t="n">
        <v>4.483900919376751</v>
      </c>
      <c r="I32" s="8" t="n">
        <v>1.335394601478094</v>
      </c>
      <c r="J32" s="8" t="n">
        <v>78018307.70921873</v>
      </c>
      <c r="K32" s="8" t="n">
        <v>5.987777081298374</v>
      </c>
    </row>
    <row r="33">
      <c r="B33" s="8" t="n">
        <v>640100</v>
      </c>
      <c r="C33" s="8" t="n">
        <v>84281555.77</v>
      </c>
      <c r="D33" s="8" t="n">
        <v>79105748.98263805</v>
      </c>
      <c r="E33" s="8" t="n">
        <v>-0.00248927013161219</v>
      </c>
      <c r="F33" s="8" t="n">
        <v>0.9840439398026849</v>
      </c>
      <c r="G33" s="8" t="n">
        <v>5.47</v>
      </c>
      <c r="H33" s="8" t="n">
        <v>4.483900919376751</v>
      </c>
      <c r="I33" s="8" t="n">
        <v>1.336581989132198</v>
      </c>
      <c r="J33" s="8" t="n">
        <v>77843532.88991737</v>
      </c>
      <c r="K33" s="8" t="n">
        <v>5.993101209892271</v>
      </c>
    </row>
    <row r="34">
      <c r="B34" s="8" t="n">
        <v>580500</v>
      </c>
      <c r="C34" s="8" t="n">
        <v>80806921.18000001</v>
      </c>
      <c r="D34" s="8" t="n">
        <v>79105748.98263805</v>
      </c>
      <c r="E34" s="8" t="n">
        <v>-0.00248927013161219</v>
      </c>
      <c r="F34" s="8" t="n">
        <v>0.984283374864688</v>
      </c>
      <c r="G34" s="8" t="n">
        <v>5.71</v>
      </c>
      <c r="H34" s="8" t="n">
        <v>4.483900919376751</v>
      </c>
      <c r="I34" s="8" t="n">
        <v>1.33568775183852</v>
      </c>
      <c r="J34" s="8" t="n">
        <v>77862473.57982983</v>
      </c>
      <c r="K34" s="8" t="n">
        <v>5.989091538469006</v>
      </c>
    </row>
    <row r="35">
      <c r="B35" s="8" t="n">
        <v>864000</v>
      </c>
      <c r="C35" s="8" t="n">
        <v>73094265.70999999</v>
      </c>
      <c r="D35" s="8" t="n">
        <v>79105748.98263805</v>
      </c>
      <c r="E35" s="8" t="n">
        <v>-0.00248927013161219</v>
      </c>
      <c r="F35" s="8" t="n">
        <v>0.9833094751833712</v>
      </c>
      <c r="G35" s="8" t="n">
        <v>6.58</v>
      </c>
      <c r="H35" s="8" t="n">
        <v>4.483900919376751</v>
      </c>
      <c r="I35" s="8" t="n">
        <v>1.333559462762603</v>
      </c>
      <c r="J35" s="8" t="n">
        <v>77785432.51610532</v>
      </c>
      <c r="K35" s="8" t="n">
        <v>5.979548501124801</v>
      </c>
    </row>
    <row r="36">
      <c r="B36" s="8" t="n">
        <v>356900</v>
      </c>
      <c r="C36" s="8" t="n">
        <v>85395901.15000001</v>
      </c>
      <c r="D36" s="8" t="n">
        <v>79105748.98263805</v>
      </c>
      <c r="E36" s="8" t="n">
        <v>-0.00248927013161219</v>
      </c>
      <c r="F36" s="8" t="n">
        <v>0.9854759320566333</v>
      </c>
      <c r="G36" s="8" t="n">
        <v>5.56</v>
      </c>
      <c r="H36" s="8" t="n">
        <v>4.483900919376751</v>
      </c>
      <c r="I36" s="8" t="n">
        <v>1.33686110777164</v>
      </c>
      <c r="J36" s="8" t="n">
        <v>77956811.7097033</v>
      </c>
      <c r="K36" s="8" t="n">
        <v>5.994352750216279</v>
      </c>
    </row>
    <row r="37">
      <c r="B37" s="8" t="n">
        <v>439600</v>
      </c>
      <c r="C37" s="8" t="n">
        <v>76384461.02</v>
      </c>
      <c r="D37" s="8" t="n">
        <v>79105748.98263805</v>
      </c>
      <c r="E37" s="8" t="n">
        <v>-0.00248927013161219</v>
      </c>
      <c r="F37" s="8" t="n">
        <v>0.9849648117858375</v>
      </c>
      <c r="G37" s="8" t="n">
        <v>6.36</v>
      </c>
      <c r="H37" s="8" t="n">
        <v>4.483900919376751</v>
      </c>
      <c r="I37" s="8" t="n">
        <v>1.334493195964907</v>
      </c>
      <c r="J37" s="8" t="n">
        <v>77916379.15786178</v>
      </c>
      <c r="K37" s="8" t="n">
        <v>5.983735268289064</v>
      </c>
    </row>
    <row r="38">
      <c r="B38" s="8" t="n">
        <v>279400</v>
      </c>
      <c r="C38" s="8" t="n">
        <v>85386348.13</v>
      </c>
      <c r="D38" s="8" t="n">
        <v>79105748.98263805</v>
      </c>
      <c r="E38" s="8" t="n">
        <v>-0.00248927013161219</v>
      </c>
      <c r="F38" s="8" t="n">
        <v>0.9860766652652438</v>
      </c>
      <c r="G38" s="8" t="n">
        <v>5.88</v>
      </c>
      <c r="H38" s="8" t="n">
        <v>4.483900919376751</v>
      </c>
      <c r="I38" s="8" t="n">
        <v>1.336858730220657</v>
      </c>
      <c r="J38" s="8" t="n">
        <v>78004333.16010918</v>
      </c>
      <c r="K38" s="8" t="n">
        <v>5.994342089513238</v>
      </c>
    </row>
    <row r="39">
      <c r="B39" s="8" t="n">
        <v>589100</v>
      </c>
      <c r="C39" s="8" t="n">
        <v>72582440.87</v>
      </c>
      <c r="D39" s="8" t="n">
        <v>79105748.98263805</v>
      </c>
      <c r="E39" s="8" t="n">
        <v>-0.00248927013161219</v>
      </c>
      <c r="F39" s="8" t="n">
        <v>0.9842473432982668</v>
      </c>
      <c r="G39" s="8" t="n">
        <v>5.65</v>
      </c>
      <c r="H39" s="8" t="n">
        <v>4.483900919376751</v>
      </c>
      <c r="I39" s="8" t="n">
        <v>1.333410503628763</v>
      </c>
      <c r="J39" s="8" t="n">
        <v>77859623.27578107</v>
      </c>
      <c r="K39" s="8" t="n">
        <v>5.978880583127628</v>
      </c>
    </row>
    <row r="40">
      <c r="B40" s="8" t="n">
        <v>424600</v>
      </c>
      <c r="C40" s="8" t="n">
        <v>84974157.59</v>
      </c>
      <c r="D40" s="8" t="n">
        <v>79105748.98263805</v>
      </c>
      <c r="E40" s="8" t="n">
        <v>-0.00248927013161219</v>
      </c>
      <c r="F40" s="8" t="n">
        <v>0.9850499377652047</v>
      </c>
      <c r="G40" s="8" t="n">
        <v>5.97</v>
      </c>
      <c r="H40" s="8" t="n">
        <v>4.483900919376751</v>
      </c>
      <c r="I40" s="8" t="n">
        <v>1.336755894324525</v>
      </c>
      <c r="J40" s="8" t="n">
        <v>77923113.11221752</v>
      </c>
      <c r="K40" s="8" t="n">
        <v>5.99388098354403</v>
      </c>
    </row>
    <row r="41">
      <c r="B41" s="8" t="n">
        <v>727200</v>
      </c>
      <c r="C41" s="8" t="n">
        <v>77709470.58</v>
      </c>
      <c r="D41" s="8" t="n">
        <v>79105748.98263805</v>
      </c>
      <c r="E41" s="8" t="n">
        <v>-0.00248927013161219</v>
      </c>
      <c r="F41" s="8" t="n">
        <v>0.9837314827122768</v>
      </c>
      <c r="G41" s="8" t="n">
        <v>6.15</v>
      </c>
      <c r="H41" s="8" t="n">
        <v>4.483900919376751</v>
      </c>
      <c r="I41" s="8" t="n">
        <v>1.334858089265093</v>
      </c>
      <c r="J41" s="8" t="n">
        <v>77818815.73775572</v>
      </c>
      <c r="K41" s="8" t="n">
        <v>5.985371413693244</v>
      </c>
    </row>
    <row r="42">
      <c r="B42" s="8" t="n">
        <v>193200</v>
      </c>
      <c r="C42" s="8" t="n">
        <v>82907244.76000001</v>
      </c>
      <c r="D42" s="8" t="n">
        <v>79105748.98263805</v>
      </c>
      <c r="E42" s="8" t="n">
        <v>-0.00248927013161219</v>
      </c>
      <c r="F42" s="8" t="n">
        <v>0.9869826327335812</v>
      </c>
      <c r="G42" s="8" t="n">
        <v>6.2</v>
      </c>
      <c r="H42" s="8" t="n">
        <v>4.483900919376751</v>
      </c>
      <c r="I42" s="8" t="n">
        <v>1.336232710147164</v>
      </c>
      <c r="J42" s="8" t="n">
        <v>78076000.39524591</v>
      </c>
      <c r="K42" s="8" t="n">
        <v>5.991535077530156</v>
      </c>
    </row>
    <row r="43">
      <c r="B43" s="8" t="n">
        <v>85600</v>
      </c>
      <c r="C43" s="8" t="n">
        <v>75536743.34</v>
      </c>
      <c r="D43" s="8" t="n">
        <v>79105748.98263805</v>
      </c>
      <c r="E43" s="8" t="n">
        <v>-0.00248927013161219</v>
      </c>
      <c r="F43" s="8" t="n">
        <v>0.9889846495425618</v>
      </c>
      <c r="G43" s="8" t="n">
        <v>5.7</v>
      </c>
      <c r="H43" s="8" t="n">
        <v>4.483900919376751</v>
      </c>
      <c r="I43" s="8" t="n">
        <v>1.334256461673313</v>
      </c>
      <c r="J43" s="8" t="n">
        <v>78234371.43439615</v>
      </c>
      <c r="K43" s="8" t="n">
        <v>5.982673775181341</v>
      </c>
    </row>
    <row r="44">
      <c r="B44" s="8" t="n">
        <v>222300</v>
      </c>
      <c r="C44" s="8" t="n">
        <v>74639181.62</v>
      </c>
      <c r="D44" s="8" t="n">
        <v>79105748.98263805</v>
      </c>
      <c r="E44" s="8" t="n">
        <v>-0.00248927013161219</v>
      </c>
      <c r="F44" s="8" t="n">
        <v>0.9866379898999148</v>
      </c>
      <c r="G44" s="8" t="n">
        <v>5.66</v>
      </c>
      <c r="H44" s="8" t="n">
        <v>4.483900919376751</v>
      </c>
      <c r="I44" s="8" t="n">
        <v>1.334002941100741</v>
      </c>
      <c r="J44" s="8" t="n">
        <v>78048737.16575724</v>
      </c>
      <c r="K44" s="8" t="n">
        <v>5.981537014052903</v>
      </c>
    </row>
    <row r="45">
      <c r="B45" s="8" t="n">
        <v>191900</v>
      </c>
      <c r="C45" s="8" t="n">
        <v>85544858.47</v>
      </c>
      <c r="D45" s="8" t="n">
        <v>79105748.98263805</v>
      </c>
      <c r="E45" s="8" t="n">
        <v>-0.00248927013161219</v>
      </c>
      <c r="F45" s="8" t="n">
        <v>0.986999220452492</v>
      </c>
      <c r="G45" s="8" t="n">
        <v>5.91</v>
      </c>
      <c r="H45" s="8" t="n">
        <v>4.483900919376751</v>
      </c>
      <c r="I45" s="8" t="n">
        <v>1.336898146375932</v>
      </c>
      <c r="J45" s="8" t="n">
        <v>78077312.57917427</v>
      </c>
      <c r="K45" s="8" t="n">
        <v>5.994518827648116</v>
      </c>
    </row>
    <row r="46">
      <c r="B46" s="8" t="n">
        <v>101500</v>
      </c>
      <c r="C46" s="8" t="n">
        <v>82243382.90000001</v>
      </c>
      <c r="D46" s="8" t="n">
        <v>79105748.98263805</v>
      </c>
      <c r="E46" s="8" t="n">
        <v>-0.00248927013161219</v>
      </c>
      <c r="F46" s="8" t="n">
        <v>0.9885653044421814</v>
      </c>
      <c r="G46" s="8" t="n">
        <v>5.5</v>
      </c>
      <c r="H46" s="8" t="n">
        <v>4.483900919376751</v>
      </c>
      <c r="I46" s="8" t="n">
        <v>1.336061944639603</v>
      </c>
      <c r="J46" s="8" t="n">
        <v>78201198.82614836</v>
      </c>
      <c r="K46" s="8" t="n">
        <v>5.990769381913804</v>
      </c>
    </row>
    <row r="47">
      <c r="B47" s="8" t="n">
        <v>346600</v>
      </c>
      <c r="C47" s="8" t="n">
        <v>80659268.97</v>
      </c>
      <c r="D47" s="8" t="n">
        <v>79105748.98263805</v>
      </c>
      <c r="E47" s="8" t="n">
        <v>-0.00248927013161219</v>
      </c>
      <c r="F47" s="8" t="n">
        <v>0.9855477723393936</v>
      </c>
      <c r="G47" s="8" t="n">
        <v>5.99</v>
      </c>
      <c r="H47" s="8" t="n">
        <v>4.483900919376751</v>
      </c>
      <c r="I47" s="8" t="n">
        <v>1.335648918647194</v>
      </c>
      <c r="J47" s="8" t="n">
        <v>77962494.68907818</v>
      </c>
      <c r="K47" s="8" t="n">
        <v>5.988917414286719</v>
      </c>
    </row>
    <row r="48">
      <c r="B48" s="8" t="n">
        <v>308700</v>
      </c>
      <c r="C48" s="8" t="n">
        <v>84580891.44</v>
      </c>
      <c r="D48" s="8" t="n">
        <v>79105748.98263805</v>
      </c>
      <c r="E48" s="8" t="n">
        <v>-0.00248927013161219</v>
      </c>
      <c r="F48" s="8" t="n">
        <v>0.9858319083555086</v>
      </c>
      <c r="G48" s="8" t="n">
        <v>6.3</v>
      </c>
      <c r="H48" s="8" t="n">
        <v>4.483900919376751</v>
      </c>
      <c r="I48" s="8" t="n">
        <v>1.336657321161867</v>
      </c>
      <c r="J48" s="8" t="n">
        <v>77984971.48144589</v>
      </c>
      <c r="K48" s="8" t="n">
        <v>5.993438991249361</v>
      </c>
    </row>
    <row r="49">
      <c r="B49" s="8" t="n">
        <v>607700</v>
      </c>
      <c r="C49" s="8" t="n">
        <v>82877794.44</v>
      </c>
      <c r="D49" s="8" t="n">
        <v>79105748.98263805</v>
      </c>
      <c r="E49" s="8" t="n">
        <v>-0.00248927013161219</v>
      </c>
      <c r="F49" s="8" t="n">
        <v>0.984171185250015</v>
      </c>
      <c r="G49" s="8" t="n">
        <v>6.69</v>
      </c>
      <c r="H49" s="8" t="n">
        <v>4.483900919376751</v>
      </c>
      <c r="I49" s="8" t="n">
        <v>1.336225163196059</v>
      </c>
      <c r="J49" s="8" t="n">
        <v>77853598.73633306</v>
      </c>
      <c r="K49" s="8" t="n">
        <v>5.991501237749159</v>
      </c>
    </row>
    <row r="50">
      <c r="B50" s="8" t="n">
        <v>473500</v>
      </c>
      <c r="C50" s="8" t="n">
        <v>72737318.81</v>
      </c>
      <c r="D50" s="8" t="n">
        <v>79105748.98263805</v>
      </c>
      <c r="E50" s="8" t="n">
        <v>-0.00248927013161219</v>
      </c>
      <c r="F50" s="8" t="n">
        <v>0.9847826892881102</v>
      </c>
      <c r="G50" s="8" t="n">
        <v>5.51</v>
      </c>
      <c r="H50" s="8" t="n">
        <v>4.483900919376751</v>
      </c>
      <c r="I50" s="8" t="n">
        <v>1.333455687377977</v>
      </c>
      <c r="J50" s="8" t="n">
        <v>77901972.22127248</v>
      </c>
      <c r="K50" s="8" t="n">
        <v>5.979083182582269</v>
      </c>
    </row>
    <row r="51">
      <c r="B51" s="8" t="n">
        <v>717600</v>
      </c>
      <c r="C51" s="8" t="n">
        <v>80583594.75</v>
      </c>
      <c r="D51" s="8" t="n">
        <v>79105748.98263805</v>
      </c>
      <c r="E51" s="8" t="n">
        <v>-0.00248927013161219</v>
      </c>
      <c r="F51" s="8" t="n">
        <v>0.9837640255686253</v>
      </c>
      <c r="G51" s="8" t="n">
        <v>5.79</v>
      </c>
      <c r="H51" s="8" t="n">
        <v>4.483900919376751</v>
      </c>
      <c r="I51" s="8" t="n">
        <v>1.335628988865726</v>
      </c>
      <c r="J51" s="8" t="n">
        <v>77821390.06478119</v>
      </c>
      <c r="K51" s="8" t="n">
        <v>5.988828051121267</v>
      </c>
    </row>
    <row r="52">
      <c r="A52" s="9" t="inlineStr">
        <is>
          <t>AVERAGE</t>
        </is>
      </c>
      <c r="B52" s="8" t="n">
        <v>454184</v>
      </c>
      <c r="C52" s="8" t="n">
        <v>79508314.70019999</v>
      </c>
      <c r="D52" s="8" t="n">
        <v>79105748.98263805</v>
      </c>
      <c r="E52" s="8" t="n">
        <v>-0.00248927013161219</v>
      </c>
      <c r="F52" s="8" t="n">
        <v>0.9853798570121257</v>
      </c>
      <c r="G52" s="8" t="n">
        <v>5.997999999999999</v>
      </c>
      <c r="H52" s="8" t="n">
        <v>4.483900919376752</v>
      </c>
      <c r="I52" s="8" t="n">
        <v>1.335311374745734</v>
      </c>
      <c r="J52" s="8" t="n">
        <v>77949211.62134901</v>
      </c>
      <c r="K52" s="8" t="n">
        <v>5.987403900876631</v>
      </c>
    </row>
    <row r="53">
      <c r="A53" s="9" t="inlineStr">
        <is>
          <t>Variance</t>
        </is>
      </c>
      <c r="C53" s="8" t="n">
        <v>19343494470265.37</v>
      </c>
      <c r="F53" s="8" t="n">
        <v>3.184247313108719e-06</v>
      </c>
      <c r="G53" s="8" t="n">
        <v>0.128596</v>
      </c>
      <c r="I53" s="8" t="n">
        <v>1.40846411611612e-06</v>
      </c>
      <c r="J53" s="8" t="n">
        <v>19926126574.44793</v>
      </c>
      <c r="K53" s="8" t="n">
        <v>2.831768860139769e-05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2025-02-24T01:53:01Z</dcterms:created>
  <dcterms:modified xsi:type="dcterms:W3CDTF">2025-02-24T01:53:04Z</dcterms:modified>
</cp:coreProperties>
</file>