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IT Historical Performance" sheetId="1" state="visible" r:id="rId1"/>
    <sheet name="COCOMO Results" sheetId="2" state="visible" r:id="rId2"/>
    <sheet name="SLIM Plots" sheetId="3" state="visible" r:id="rId3"/>
    <sheet name="COCOMO Plo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7C9E2"/>
        <bgColor indexed="64"/>
      </patternFill>
    </fill>
    <fill>
      <patternFill patternType="solid">
        <fgColor rgb="00B7C9E2"/>
        <bgColor rgb="00B7C9E2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1" applyAlignment="1" pivotButton="0" quotePrefix="0" xfId="0">
      <alignment horizontal="centerContinuous" wrapText="1"/>
    </xf>
    <xf numFmtId="0" fontId="0" fillId="0" borderId="2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3" borderId="10" applyAlignment="1" pivotButton="0" quotePrefix="0" xfId="0">
      <alignment horizontal="center"/>
    </xf>
    <xf numFmtId="0" fontId="0" fillId="0" borderId="10" applyAlignment="1" pivotButton="0" quotePrefix="0" xfId="0">
      <alignment horizontal="right"/>
    </xf>
    <xf numFmtId="0" fontId="0" fillId="3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Relationship Type="http://schemas.openxmlformats.org/officeDocument/2006/relationships/image" Target="/xl/media/image10.png" Id="rId3" /><Relationship Type="http://schemas.openxmlformats.org/officeDocument/2006/relationships/image" Target="/xl/media/image11.png" Id="rId4" /><Relationship Type="http://schemas.openxmlformats.org/officeDocument/2006/relationships/image" Target="/xl/media/image12.png" Id="rId5" /><Relationship Type="http://schemas.openxmlformats.org/officeDocument/2006/relationships/image" Target="/xl/media/image13.png" Id="rId6" /><Relationship Type="http://schemas.openxmlformats.org/officeDocument/2006/relationships/image" Target="/xl/media/image14.png" Id="rId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762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30</row>
      <rowOff>0</rowOff>
    </from>
    <ext cx="762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60</row>
      <rowOff>0</rowOff>
    </from>
    <ext cx="7620000" cy="571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90</row>
      <rowOff>0</rowOff>
    </from>
    <ext cx="762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120</row>
      <rowOff>0</rowOff>
    </from>
    <ext cx="762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150</row>
      <rowOff>0</rowOff>
    </from>
    <ext cx="7620000" cy="571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180</row>
      <rowOff>0</rowOff>
    </from>
    <ext cx="7620000" cy="571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V63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SLIM</t>
        </is>
      </c>
      <c r="C1" s="3" t="n"/>
      <c r="D1" s="3" t="n"/>
      <c r="E1" s="3" t="n"/>
      <c r="F1" s="3" t="n"/>
      <c r="G1" s="3" t="n"/>
      <c r="H1" s="3" t="n"/>
      <c r="I1" s="3" t="n"/>
      <c r="J1" s="4" t="n"/>
      <c r="O1" s="1" t="inlineStr">
        <is>
          <t>SLIM</t>
        </is>
      </c>
      <c r="P1" s="3" t="n"/>
      <c r="Q1" s="3" t="n"/>
      <c r="R1" s="3" t="n"/>
      <c r="S1" s="3" t="n"/>
      <c r="T1" s="3" t="n"/>
      <c r="U1" s="3" t="n"/>
      <c r="V1" s="4" t="n"/>
    </row>
    <row r="2">
      <c r="B2" s="1" t="inlineStr">
        <is>
          <t>Project</t>
        </is>
      </c>
      <c r="C2" s="1" t="inlineStr">
        <is>
          <t>Source Lines 
 of Code 
 (SLOC)</t>
        </is>
      </c>
      <c r="D2" s="1" t="inlineStr">
        <is>
          <t>Effort 
 (Labor Yrs) 
 K</t>
        </is>
      </c>
      <c r="E2" s="1" t="inlineStr">
        <is>
          <t>Gaffney 
 (P)</t>
        </is>
      </c>
      <c r="F2" s="1" t="inlineStr">
        <is>
          <t xml:space="preserve">
 K^p 
 </t>
        </is>
      </c>
      <c r="G2" s="1" t="inlineStr">
        <is>
          <t>Dev Time 
 (Yrs) 
 t_d</t>
        </is>
      </c>
      <c r="H2" s="1" t="inlineStr">
        <is>
          <t>Gaffney 
 (Q)</t>
        </is>
      </c>
      <c r="I2" s="1" t="inlineStr">
        <is>
          <t xml:space="preserve"> 
 t_d^q 
</t>
        </is>
      </c>
      <c r="J2" s="1" t="inlineStr">
        <is>
          <t xml:space="preserve"> 
 C 
</t>
        </is>
      </c>
      <c r="O2" s="1" t="inlineStr">
        <is>
          <t>Source Lines 
 of Code 
 (SLOC)</t>
        </is>
      </c>
      <c r="P2" s="1" t="inlineStr">
        <is>
          <t>Effort 
 (Labor Yrs) 
 K</t>
        </is>
      </c>
      <c r="Q2" s="1" t="inlineStr">
        <is>
          <t>Gaffney 
 (P)</t>
        </is>
      </c>
      <c r="R2" s="1" t="inlineStr">
        <is>
          <t xml:space="preserve">
 K^p 
 </t>
        </is>
      </c>
      <c r="S2" s="1" t="inlineStr">
        <is>
          <t>Dev Time 
 (Yrs) 
 t_d</t>
        </is>
      </c>
      <c r="T2" s="1" t="inlineStr">
        <is>
          <t>Gaffney 
 (Q)</t>
        </is>
      </c>
      <c r="U2" s="1" t="inlineStr">
        <is>
          <t xml:space="preserve"> 
 t_d^q 
</t>
        </is>
      </c>
      <c r="V2" s="1" t="inlineStr">
        <is>
          <t xml:space="preserve"> 
 C 
</t>
        </is>
      </c>
    </row>
    <row r="3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O3" s="5" t="n"/>
      <c r="P3" s="5" t="n"/>
      <c r="Q3" s="5" t="n"/>
      <c r="R3" s="5" t="n"/>
      <c r="S3" s="5" t="n"/>
      <c r="T3" s="5" t="n"/>
      <c r="U3" s="5" t="n"/>
      <c r="V3" s="5" t="n"/>
    </row>
    <row r="4"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O4" s="6" t="n"/>
      <c r="P4" s="6" t="n"/>
      <c r="Q4" s="6" t="n"/>
      <c r="R4" s="6" t="n"/>
      <c r="S4" s="6" t="n"/>
      <c r="T4" s="6" t="n"/>
      <c r="U4" s="6" t="n"/>
      <c r="V4" s="6" t="n"/>
    </row>
    <row r="5">
      <c r="B5" s="2" t="inlineStr">
        <is>
          <t>Gold Star</t>
        </is>
      </c>
      <c r="C5" s="2" t="n">
        <v>51000</v>
      </c>
      <c r="D5" s="2" t="n">
        <v>0.9926</v>
      </c>
      <c r="E5" s="2" t="n">
        <v>0.6288</v>
      </c>
      <c r="F5" s="2">
        <f>0.9926^0.6288</f>
        <v/>
      </c>
      <c r="G5" s="2" t="n">
        <v>1.25</v>
      </c>
      <c r="H5" s="2" t="n">
        <v>0.5555</v>
      </c>
      <c r="I5" s="2">
        <f>1.25^0.5555</f>
        <v/>
      </c>
      <c r="J5" s="2" t="n">
        <v>45264.63210238009</v>
      </c>
      <c r="N5" s="1" t="inlineStr">
        <is>
          <t>AVERAGE</t>
        </is>
      </c>
      <c r="O5" s="2">
        <f>AVERAGE(C5:C63)</f>
        <v/>
      </c>
      <c r="P5" s="2">
        <f>AVERAGE(D5:D63)</f>
        <v/>
      </c>
      <c r="Q5" s="2">
        <f>AVERAGE(E5:E63)</f>
        <v/>
      </c>
      <c r="R5" s="2">
        <f>AVERAGE(F5:F63)</f>
        <v/>
      </c>
      <c r="S5" s="2">
        <f>AVERAGE(G5:G63)</f>
        <v/>
      </c>
      <c r="T5" s="2">
        <f>AVERAGE(H5:H63)</f>
        <v/>
      </c>
      <c r="U5" s="2">
        <f>AVERAGE(I5:I63)</f>
        <v/>
      </c>
      <c r="V5" s="2">
        <f>AVERAGE(J5:J63)</f>
        <v/>
      </c>
    </row>
    <row r="6">
      <c r="B6" s="2" t="inlineStr">
        <is>
          <t>UniStar</t>
        </is>
      </c>
      <c r="C6" s="2" t="n">
        <v>403000</v>
      </c>
      <c r="D6" s="2" t="n">
        <v>9.014799999999999</v>
      </c>
      <c r="E6" s="2" t="n">
        <v>0.6288</v>
      </c>
      <c r="F6" s="2">
        <f>9.0148^0.6288</f>
        <v/>
      </c>
      <c r="G6" s="2" t="n">
        <v>4.25</v>
      </c>
      <c r="H6" s="2" t="n">
        <v>0.5555</v>
      </c>
      <c r="I6" s="2">
        <f>4.25^0.5555</f>
        <v/>
      </c>
      <c r="J6" s="2" t="n">
        <v>45264.63210238009</v>
      </c>
      <c r="N6" s="1" t="inlineStr">
        <is>
          <t>Variance</t>
        </is>
      </c>
      <c r="P6" s="2" t="inlineStr">
        <is>
          <t>10.9722</t>
        </is>
      </c>
      <c r="R6" s="2" t="inlineStr">
        <is>
          <t>1.0904</t>
        </is>
      </c>
      <c r="S6" s="2" t="inlineStr">
        <is>
          <t>8.194</t>
        </is>
      </c>
      <c r="U6" s="2" t="inlineStr">
        <is>
          <t>0.6103</t>
        </is>
      </c>
      <c r="V6" s="2" t="inlineStr">
        <is>
          <t>0.0</t>
        </is>
      </c>
    </row>
    <row r="7">
      <c r="B7" s="2" t="inlineStr">
        <is>
          <t>SlipStream</t>
        </is>
      </c>
      <c r="C7" s="2" t="n">
        <v>465000</v>
      </c>
      <c r="D7" s="2" t="n">
        <v>10.2593</v>
      </c>
      <c r="E7" s="2" t="n">
        <v>0.6288</v>
      </c>
      <c r="F7" s="2">
        <f>10.2593^0.6288</f>
        <v/>
      </c>
      <c r="G7" s="2" t="n">
        <v>4.75</v>
      </c>
      <c r="H7" s="2" t="n">
        <v>0.5555</v>
      </c>
      <c r="I7" s="2">
        <f>4.75^0.5555</f>
        <v/>
      </c>
      <c r="J7" s="2" t="n">
        <v>45264.63210238009</v>
      </c>
    </row>
    <row r="8">
      <c r="B8" s="2" t="inlineStr">
        <is>
          <t>Fargo</t>
        </is>
      </c>
      <c r="C8" s="2" t="n">
        <v>235000</v>
      </c>
      <c r="D8" s="2" t="n">
        <v>6.1098</v>
      </c>
      <c r="E8" s="2" t="n">
        <v>0.6288</v>
      </c>
      <c r="F8" s="2">
        <f>6.1098^0.6288</f>
        <v/>
      </c>
      <c r="G8" s="2" t="n">
        <v>2.5</v>
      </c>
      <c r="H8" s="2" t="n">
        <v>0.5555</v>
      </c>
      <c r="I8" s="2">
        <f>2.5^0.5555</f>
        <v/>
      </c>
      <c r="J8" s="2" t="n">
        <v>45264.63210238009</v>
      </c>
    </row>
    <row r="9">
      <c r="B9" s="2" t="inlineStr">
        <is>
          <t>Sky Knight</t>
        </is>
      </c>
      <c r="C9" s="2" t="n">
        <v>120000</v>
      </c>
      <c r="D9" s="2" t="n">
        <v>2.3028</v>
      </c>
      <c r="E9" s="2" t="n">
        <v>0.6288</v>
      </c>
      <c r="F9" s="2">
        <f>2.3028^0.6288</f>
        <v/>
      </c>
      <c r="G9" s="2" t="n">
        <v>2.25</v>
      </c>
      <c r="H9" s="2" t="n">
        <v>0.5555</v>
      </c>
      <c r="I9" s="2">
        <f>2.25^0.5555</f>
        <v/>
      </c>
      <c r="J9" s="2" t="n">
        <v>45264.63210238009</v>
      </c>
    </row>
    <row r="10">
      <c r="B10" s="2" t="inlineStr">
        <is>
          <t>Sky Line</t>
        </is>
      </c>
      <c r="C10" s="2" t="n">
        <v>310000</v>
      </c>
      <c r="D10" s="2" t="n">
        <v>6.2662</v>
      </c>
      <c r="E10" s="2" t="n">
        <v>0.6288</v>
      </c>
      <c r="F10" s="2">
        <f>6.2662^0.6288</f>
        <v/>
      </c>
      <c r="G10" s="2" t="n">
        <v>4</v>
      </c>
      <c r="H10" s="2" t="n">
        <v>0.5555</v>
      </c>
      <c r="I10" s="2">
        <f>4.0^0.5555</f>
        <v/>
      </c>
      <c r="J10" s="2" t="n">
        <v>45264.63210238009</v>
      </c>
    </row>
    <row r="11">
      <c r="B11" s="2" t="inlineStr">
        <is>
          <t>Deep Water</t>
        </is>
      </c>
      <c r="C11" s="2" t="n">
        <v>76000</v>
      </c>
      <c r="D11" s="2" t="n">
        <v>1.5935</v>
      </c>
      <c r="E11" s="2" t="n">
        <v>0.6288</v>
      </c>
      <c r="F11" s="2">
        <f>1.5935^0.6288</f>
        <v/>
      </c>
      <c r="G11" s="2" t="n">
        <v>1.5</v>
      </c>
      <c r="H11" s="2" t="n">
        <v>0.5555</v>
      </c>
      <c r="I11" s="2">
        <f>1.5^0.5555</f>
        <v/>
      </c>
      <c r="J11" s="2" t="n">
        <v>45264.63210238009</v>
      </c>
    </row>
    <row r="12">
      <c r="B12" s="2" t="inlineStr">
        <is>
          <t>Brilliant Dove</t>
        </is>
      </c>
      <c r="C12" s="2" t="n">
        <v>64500</v>
      </c>
      <c r="D12" s="2" t="n">
        <v>1.2275</v>
      </c>
      <c r="E12" s="2" t="n">
        <v>0.6288</v>
      </c>
      <c r="F12" s="2">
        <f>1.2275^0.6288</f>
        <v/>
      </c>
      <c r="G12" s="2" t="n">
        <v>1.5</v>
      </c>
      <c r="H12" s="2" t="n">
        <v>0.5555</v>
      </c>
      <c r="I12" s="2">
        <f>1.5^0.5555</f>
        <v/>
      </c>
      <c r="J12" s="2" t="n">
        <v>45264.63210238009</v>
      </c>
    </row>
    <row r="13">
      <c r="B13" s="2" t="inlineStr">
        <is>
          <t>Night Reaver</t>
        </is>
      </c>
      <c r="C13" s="2" t="n">
        <v>198000</v>
      </c>
      <c r="D13" s="2" t="n">
        <v>5.6665</v>
      </c>
      <c r="E13" s="2" t="n">
        <v>0.6288</v>
      </c>
      <c r="F13" s="2">
        <f>5.6665^0.6288</f>
        <v/>
      </c>
      <c r="G13" s="2" t="n">
        <v>2</v>
      </c>
      <c r="H13" s="2" t="n">
        <v>0.5555</v>
      </c>
      <c r="I13" s="2">
        <f>2.0^0.5555</f>
        <v/>
      </c>
      <c r="J13" s="2" t="n">
        <v>45264.63210238009</v>
      </c>
      <c r="O13" s="1" t="inlineStr">
        <is>
          <t>SLOC(X) and K(Y)</t>
        </is>
      </c>
      <c r="P13" s="1" t="inlineStr">
        <is>
          <t>SLOC(X) and td(Y)</t>
        </is>
      </c>
      <c r="Q13" s="1" t="inlineStr">
        <is>
          <t>SLOC(X) and C(Y)</t>
        </is>
      </c>
      <c r="R13" s="1" t="inlineStr">
        <is>
          <t>K(X) and td(Y)</t>
        </is>
      </c>
      <c r="S13" s="1" t="inlineStr">
        <is>
          <t>Kp(X) and tdq(Y)</t>
        </is>
      </c>
      <c r="T13" s="1" t="inlineStr">
        <is>
          <t>K(X) and C(Y)</t>
        </is>
      </c>
      <c r="U13" s="1" t="inlineStr">
        <is>
          <t>td(X) and C(Y)</t>
        </is>
      </c>
    </row>
    <row r="14">
      <c r="B14" s="2" t="inlineStr">
        <is>
          <t>project1</t>
        </is>
      </c>
      <c r="C14" s="2" t="n">
        <v>512500</v>
      </c>
      <c r="D14" s="2" t="n">
        <v>9.202400000000001</v>
      </c>
      <c r="E14" s="2" t="n">
        <v>0.6288</v>
      </c>
      <c r="F14" s="2">
        <f>9.2024^0.6288</f>
        <v/>
      </c>
      <c r="G14" s="2" t="n">
        <v>6.4</v>
      </c>
      <c r="H14" s="2" t="n">
        <v>0.5555</v>
      </c>
      <c r="I14" s="2">
        <f>6.4^0.5555</f>
        <v/>
      </c>
      <c r="J14" s="2" t="n">
        <v>45264.63210238009</v>
      </c>
      <c r="O14" s="6" t="n"/>
      <c r="P14" s="6" t="n"/>
      <c r="Q14" s="6" t="n"/>
      <c r="R14" s="6" t="n"/>
      <c r="S14" s="6" t="n"/>
      <c r="T14" s="6" t="n"/>
      <c r="U14" s="6" t="n"/>
    </row>
    <row r="15">
      <c r="B15" s="2" t="inlineStr">
        <is>
          <t>project2</t>
        </is>
      </c>
      <c r="C15" s="2" t="n">
        <v>810000</v>
      </c>
      <c r="D15" s="2" t="n">
        <v>12.724</v>
      </c>
      <c r="E15" s="2" t="n">
        <v>0.6288</v>
      </c>
      <c r="F15" s="2">
        <f>12.724^0.6288</f>
        <v/>
      </c>
      <c r="G15" s="2" t="n">
        <v>10.11</v>
      </c>
      <c r="H15" s="2" t="n">
        <v>0.5555</v>
      </c>
      <c r="I15" s="2">
        <f>10.11^0.5555</f>
        <v/>
      </c>
      <c r="J15" s="2" t="n">
        <v>45264.63210238009</v>
      </c>
      <c r="N15" s="1" t="inlineStr">
        <is>
          <t>R^2</t>
        </is>
      </c>
      <c r="O15" s="2">
        <f>RSQ(D5:D63, C5:C63)</f>
        <v/>
      </c>
      <c r="P15" s="2">
        <f>RSQ(G5:G63, C5:C63)</f>
        <v/>
      </c>
      <c r="Q15" s="2">
        <f>RSQ(J5:J63, C5:C63)</f>
        <v/>
      </c>
      <c r="R15" s="2">
        <f>RSQ(G5:G63, D5:D63)</f>
        <v/>
      </c>
      <c r="S15" s="2">
        <f>RSQ(I5:I63, F5:F63)</f>
        <v/>
      </c>
      <c r="T15" s="2">
        <f>RSQ(J5:J63, D5:D63)</f>
        <v/>
      </c>
      <c r="U15" s="2">
        <f>RSQ(J5:J63, G5:G63)</f>
        <v/>
      </c>
    </row>
    <row r="16">
      <c r="B16" s="2" t="inlineStr">
        <is>
          <t>project3</t>
        </is>
      </c>
      <c r="C16" s="2" t="n">
        <v>612300</v>
      </c>
      <c r="D16" s="2" t="n">
        <v>10.4434</v>
      </c>
      <c r="E16" s="2" t="n">
        <v>0.6288</v>
      </c>
      <c r="F16" s="2">
        <f>10.4434^0.6288</f>
        <v/>
      </c>
      <c r="G16" s="2" t="n">
        <v>7.64</v>
      </c>
      <c r="H16" s="2" t="n">
        <v>0.5555</v>
      </c>
      <c r="I16" s="2">
        <f>7.64^0.5555</f>
        <v/>
      </c>
      <c r="J16" s="2" t="n">
        <v>45264.63210238009</v>
      </c>
    </row>
    <row r="17">
      <c r="B17" s="2" t="inlineStr">
        <is>
          <t>project4</t>
        </is>
      </c>
      <c r="C17" s="2" t="n">
        <v>657800</v>
      </c>
      <c r="D17" s="2" t="n">
        <v>10.9835</v>
      </c>
      <c r="E17" s="2" t="n">
        <v>0.6288</v>
      </c>
      <c r="F17" s="2">
        <f>10.9835^0.6288</f>
        <v/>
      </c>
      <c r="G17" s="2" t="n">
        <v>8.210000000000001</v>
      </c>
      <c r="H17" s="2" t="n">
        <v>0.5555</v>
      </c>
      <c r="I17" s="2">
        <f>8.21^0.5555</f>
        <v/>
      </c>
      <c r="J17" s="2" t="n">
        <v>45264.63210238009</v>
      </c>
    </row>
    <row r="18">
      <c r="B18" s="2" t="inlineStr">
        <is>
          <t>project5</t>
        </is>
      </c>
      <c r="C18" s="2" t="n">
        <v>60900</v>
      </c>
      <c r="D18" s="2" t="n">
        <v>2.0428</v>
      </c>
      <c r="E18" s="2" t="n">
        <v>0.6288</v>
      </c>
      <c r="F18" s="2">
        <f>2.0428^0.6288</f>
        <v/>
      </c>
      <c r="G18" s="2" t="n">
        <v>0.76</v>
      </c>
      <c r="H18" s="2" t="n">
        <v>0.5555</v>
      </c>
      <c r="I18" s="2">
        <f>0.76^0.5555</f>
        <v/>
      </c>
      <c r="J18" s="2" t="n">
        <v>45264.63210238009</v>
      </c>
    </row>
    <row r="19">
      <c r="B19" s="2" t="inlineStr">
        <is>
          <t>project6</t>
        </is>
      </c>
      <c r="C19" s="2" t="n">
        <v>529000</v>
      </c>
      <c r="D19" s="2" t="n">
        <v>9.4185</v>
      </c>
      <c r="E19" s="2" t="n">
        <v>0.6288</v>
      </c>
      <c r="F19" s="2">
        <f>9.4185^0.6288</f>
        <v/>
      </c>
      <c r="G19" s="2" t="n">
        <v>6.6</v>
      </c>
      <c r="H19" s="2" t="n">
        <v>0.5555</v>
      </c>
      <c r="I19" s="2">
        <f>6.6^0.5555</f>
        <v/>
      </c>
      <c r="J19" s="2" t="n">
        <v>45264.63210238009</v>
      </c>
    </row>
    <row r="20">
      <c r="B20" s="2" t="inlineStr">
        <is>
          <t>project7</t>
        </is>
      </c>
      <c r="C20" s="2" t="n">
        <v>413400</v>
      </c>
      <c r="D20" s="2" t="n">
        <v>7.9089</v>
      </c>
      <c r="E20" s="2" t="n">
        <v>0.6288</v>
      </c>
      <c r="F20" s="2">
        <f>7.9089^0.6288</f>
        <v/>
      </c>
      <c r="G20" s="2" t="n">
        <v>5.16</v>
      </c>
      <c r="H20" s="2" t="n">
        <v>0.5555</v>
      </c>
      <c r="I20" s="2">
        <f>5.16^0.5555</f>
        <v/>
      </c>
      <c r="J20" s="2" t="n">
        <v>45264.63210238009</v>
      </c>
    </row>
    <row r="21">
      <c r="B21" s="2" t="inlineStr">
        <is>
          <t>project8</t>
        </is>
      </c>
      <c r="C21" s="2" t="n">
        <v>518000</v>
      </c>
      <c r="D21" s="2" t="n">
        <v>9.2705</v>
      </c>
      <c r="E21" s="2" t="n">
        <v>0.6288</v>
      </c>
      <c r="F21" s="2">
        <f>9.2705^0.6288</f>
        <v/>
      </c>
      <c r="G21" s="2" t="n">
        <v>6.47</v>
      </c>
      <c r="H21" s="2" t="n">
        <v>0.5555</v>
      </c>
      <c r="I21" s="2">
        <f>6.47^0.5555</f>
        <v/>
      </c>
      <c r="J21" s="2" t="n">
        <v>45264.63210238009</v>
      </c>
    </row>
    <row r="22">
      <c r="B22" s="2" t="inlineStr">
        <is>
          <t>project9</t>
        </is>
      </c>
      <c r="C22" s="2" t="n">
        <v>299400</v>
      </c>
      <c r="D22" s="2" t="n">
        <v>6.2916</v>
      </c>
      <c r="E22" s="2" t="n">
        <v>0.6288</v>
      </c>
      <c r="F22" s="2">
        <f>6.2916^0.6288</f>
        <v/>
      </c>
      <c r="G22" s="2" t="n">
        <v>3.74</v>
      </c>
      <c r="H22" s="2" t="n">
        <v>0.5555</v>
      </c>
      <c r="I22" s="2">
        <f>3.74^0.5555</f>
        <v/>
      </c>
      <c r="J22" s="2" t="n">
        <v>45264.63210238009</v>
      </c>
    </row>
    <row r="23">
      <c r="B23" s="2" t="inlineStr">
        <is>
          <t>project10</t>
        </is>
      </c>
      <c r="C23" s="2" t="n">
        <v>423600</v>
      </c>
      <c r="D23" s="2" t="n">
        <v>8.0427</v>
      </c>
      <c r="E23" s="2" t="n">
        <v>0.6288</v>
      </c>
      <c r="F23" s="2">
        <f>8.0427^0.6288</f>
        <v/>
      </c>
      <c r="G23" s="2" t="n">
        <v>5.29</v>
      </c>
      <c r="H23" s="2" t="n">
        <v>0.5555</v>
      </c>
      <c r="I23" s="2">
        <f>5.29^0.5555</f>
        <v/>
      </c>
      <c r="J23" s="2" t="n">
        <v>45264.63210238009</v>
      </c>
    </row>
    <row r="24">
      <c r="B24" s="2" t="inlineStr">
        <is>
          <t>project11</t>
        </is>
      </c>
      <c r="C24" s="2" t="n">
        <v>716700</v>
      </c>
      <c r="D24" s="2" t="n">
        <v>11.6643</v>
      </c>
      <c r="E24" s="2" t="n">
        <v>0.6288</v>
      </c>
      <c r="F24" s="2">
        <f>11.6643^0.6288</f>
        <v/>
      </c>
      <c r="G24" s="2" t="n">
        <v>8.949999999999999</v>
      </c>
      <c r="H24" s="2" t="n">
        <v>0.5555</v>
      </c>
      <c r="I24" s="2">
        <f>8.95^0.5555</f>
        <v/>
      </c>
      <c r="J24" s="2" t="n">
        <v>45264.63210238009</v>
      </c>
    </row>
    <row r="25">
      <c r="B25" s="2" t="inlineStr">
        <is>
          <t>project12</t>
        </is>
      </c>
      <c r="C25" s="2" t="n">
        <v>890600</v>
      </c>
      <c r="D25" s="2" t="n">
        <v>13.6022</v>
      </c>
      <c r="E25" s="2" t="n">
        <v>0.6288</v>
      </c>
      <c r="F25" s="2">
        <f>13.6022^0.6288</f>
        <v/>
      </c>
      <c r="G25" s="2" t="n">
        <v>11.12</v>
      </c>
      <c r="H25" s="2" t="n">
        <v>0.5555</v>
      </c>
      <c r="I25" s="2">
        <f>11.12^0.5555</f>
        <v/>
      </c>
      <c r="J25" s="2" t="n">
        <v>45264.63210238009</v>
      </c>
    </row>
    <row r="26">
      <c r="B26" s="2" t="inlineStr">
        <is>
          <t>project13</t>
        </is>
      </c>
      <c r="C26" s="2" t="n">
        <v>125000</v>
      </c>
      <c r="D26" s="2" t="n">
        <v>3.396</v>
      </c>
      <c r="E26" s="2" t="n">
        <v>0.6288</v>
      </c>
      <c r="F26" s="2">
        <f>3.396^0.6288</f>
        <v/>
      </c>
      <c r="G26" s="2" t="n">
        <v>1.56</v>
      </c>
      <c r="H26" s="2" t="n">
        <v>0.5555</v>
      </c>
      <c r="I26" s="2">
        <f>1.56^0.5555</f>
        <v/>
      </c>
      <c r="J26" s="2" t="n">
        <v>45264.63210238009</v>
      </c>
    </row>
    <row r="27">
      <c r="B27" s="2" t="inlineStr">
        <is>
          <t>project14</t>
        </is>
      </c>
      <c r="C27" s="2" t="n">
        <v>172200</v>
      </c>
      <c r="D27" s="2" t="n">
        <v>4.2574</v>
      </c>
      <c r="E27" s="2" t="n">
        <v>0.6288</v>
      </c>
      <c r="F27" s="2">
        <f>4.2574^0.6288</f>
        <v/>
      </c>
      <c r="G27" s="2" t="n">
        <v>2.15</v>
      </c>
      <c r="H27" s="2" t="n">
        <v>0.5555</v>
      </c>
      <c r="I27" s="2">
        <f>2.15^0.5555</f>
        <v/>
      </c>
      <c r="J27" s="2" t="n">
        <v>45264.63210238009</v>
      </c>
    </row>
    <row r="28">
      <c r="B28" s="2" t="inlineStr">
        <is>
          <t>project15</t>
        </is>
      </c>
      <c r="C28" s="2" t="n">
        <v>619100</v>
      </c>
      <c r="D28" s="2" t="n">
        <v>10.519</v>
      </c>
      <c r="E28" s="2" t="n">
        <v>0.6288</v>
      </c>
      <c r="F28" s="2">
        <f>10.519^0.6288</f>
        <v/>
      </c>
      <c r="G28" s="2" t="n">
        <v>7.73</v>
      </c>
      <c r="H28" s="2" t="n">
        <v>0.5555</v>
      </c>
      <c r="I28" s="2">
        <f>7.73^0.5555</f>
        <v/>
      </c>
      <c r="J28" s="2" t="n">
        <v>45264.63210238009</v>
      </c>
    </row>
    <row r="29">
      <c r="B29" s="2" t="inlineStr">
        <is>
          <t>project16</t>
        </is>
      </c>
      <c r="C29" s="2" t="n">
        <v>200000</v>
      </c>
      <c r="D29" s="2" t="n">
        <v>4.7276</v>
      </c>
      <c r="E29" s="2" t="n">
        <v>0.6288</v>
      </c>
      <c r="F29" s="2">
        <f>4.7276^0.6288</f>
        <v/>
      </c>
      <c r="G29" s="2" t="n">
        <v>2.5</v>
      </c>
      <c r="H29" s="2" t="n">
        <v>0.5555</v>
      </c>
      <c r="I29" s="2">
        <f>2.5^0.5555</f>
        <v/>
      </c>
      <c r="J29" s="2" t="n">
        <v>45264.63210238009</v>
      </c>
    </row>
    <row r="30">
      <c r="B30" s="2" t="inlineStr">
        <is>
          <t>project17</t>
        </is>
      </c>
      <c r="C30" s="2" t="n">
        <v>616600</v>
      </c>
      <c r="D30" s="2" t="n">
        <v>10.4875</v>
      </c>
      <c r="E30" s="2" t="n">
        <v>0.6288</v>
      </c>
      <c r="F30" s="2">
        <f>10.4875^0.6288</f>
        <v/>
      </c>
      <c r="G30" s="2" t="n">
        <v>7.7</v>
      </c>
      <c r="H30" s="2" t="n">
        <v>0.5555</v>
      </c>
      <c r="I30" s="2">
        <f>7.7^0.5555</f>
        <v/>
      </c>
      <c r="J30" s="2" t="n">
        <v>45264.63210238009</v>
      </c>
    </row>
    <row r="31">
      <c r="B31" s="2" t="inlineStr">
        <is>
          <t>project18</t>
        </is>
      </c>
      <c r="C31" s="2" t="n">
        <v>414800</v>
      </c>
      <c r="D31" s="2" t="n">
        <v>7.9244</v>
      </c>
      <c r="E31" s="2" t="n">
        <v>0.6288</v>
      </c>
      <c r="F31" s="2">
        <f>7.9244^0.6288</f>
        <v/>
      </c>
      <c r="G31" s="2" t="n">
        <v>5.18</v>
      </c>
      <c r="H31" s="2" t="n">
        <v>0.5555</v>
      </c>
      <c r="I31" s="2">
        <f>5.18^0.5555</f>
        <v/>
      </c>
      <c r="J31" s="2" t="n">
        <v>45264.63210238009</v>
      </c>
    </row>
    <row r="32">
      <c r="B32" s="2" t="inlineStr">
        <is>
          <t>project19</t>
        </is>
      </c>
      <c r="C32" s="2" t="n">
        <v>392100</v>
      </c>
      <c r="D32" s="2" t="n">
        <v>7.6243</v>
      </c>
      <c r="E32" s="2" t="n">
        <v>0.6288</v>
      </c>
      <c r="F32" s="2">
        <f>7.6243^0.6288</f>
        <v/>
      </c>
      <c r="G32" s="2" t="n">
        <v>4.89</v>
      </c>
      <c r="H32" s="2" t="n">
        <v>0.5555</v>
      </c>
      <c r="I32" s="2">
        <f>4.89^0.5555</f>
        <v/>
      </c>
      <c r="J32" s="2" t="n">
        <v>45264.63210238009</v>
      </c>
    </row>
    <row r="33">
      <c r="B33" s="2" t="inlineStr">
        <is>
          <t>project20</t>
        </is>
      </c>
      <c r="C33" s="2" t="n">
        <v>133900</v>
      </c>
      <c r="D33" s="2" t="n">
        <v>3.5672</v>
      </c>
      <c r="E33" s="2" t="n">
        <v>0.6288</v>
      </c>
      <c r="F33" s="2">
        <f>3.5672^0.6288</f>
        <v/>
      </c>
      <c r="G33" s="2" t="n">
        <v>1.67</v>
      </c>
      <c r="H33" s="2" t="n">
        <v>0.5555</v>
      </c>
      <c r="I33" s="2">
        <f>1.67^0.5555</f>
        <v/>
      </c>
      <c r="J33" s="2" t="n">
        <v>45264.63210238009</v>
      </c>
    </row>
    <row r="34">
      <c r="B34" s="2" t="inlineStr">
        <is>
          <t>project21</t>
        </is>
      </c>
      <c r="C34" s="2" t="n">
        <v>182200</v>
      </c>
      <c r="D34" s="2" t="n">
        <v>4.4391</v>
      </c>
      <c r="E34" s="2" t="n">
        <v>0.6288</v>
      </c>
      <c r="F34" s="2">
        <f>4.4391^0.6288</f>
        <v/>
      </c>
      <c r="G34" s="2" t="n">
        <v>2.27</v>
      </c>
      <c r="H34" s="2" t="n">
        <v>0.5555</v>
      </c>
      <c r="I34" s="2">
        <f>2.27^0.5555</f>
        <v/>
      </c>
      <c r="J34" s="2" t="n">
        <v>45264.63210238009</v>
      </c>
    </row>
    <row r="35">
      <c r="B35" s="2" t="inlineStr">
        <is>
          <t>project22</t>
        </is>
      </c>
      <c r="C35" s="2" t="n">
        <v>496400</v>
      </c>
      <c r="D35" s="2" t="n">
        <v>8.995799999999999</v>
      </c>
      <c r="E35" s="2" t="n">
        <v>0.6288</v>
      </c>
      <c r="F35" s="2">
        <f>8.9958^0.6288</f>
        <v/>
      </c>
      <c r="G35" s="2" t="n">
        <v>6.2</v>
      </c>
      <c r="H35" s="2" t="n">
        <v>0.5555</v>
      </c>
      <c r="I35" s="2">
        <f>6.2^0.5555</f>
        <v/>
      </c>
      <c r="J35" s="2" t="n">
        <v>45264.63210238009</v>
      </c>
    </row>
    <row r="36">
      <c r="B36" s="2" t="inlineStr">
        <is>
          <t>project23</t>
        </is>
      </c>
      <c r="C36" s="2" t="n">
        <v>669900</v>
      </c>
      <c r="D36" s="2" t="n">
        <v>11.1271</v>
      </c>
      <c r="E36" s="2" t="n">
        <v>0.6288</v>
      </c>
      <c r="F36" s="2">
        <f>11.1271^0.6288</f>
        <v/>
      </c>
      <c r="G36" s="2" t="n">
        <v>8.359999999999999</v>
      </c>
      <c r="H36" s="2" t="n">
        <v>0.5555</v>
      </c>
      <c r="I36" s="2">
        <f>8.36^0.5555</f>
        <v/>
      </c>
      <c r="J36" s="2" t="n">
        <v>45264.63210238009</v>
      </c>
    </row>
    <row r="37">
      <c r="B37" s="2" t="inlineStr">
        <is>
          <t>project24</t>
        </is>
      </c>
      <c r="C37" s="2" t="n">
        <v>559800</v>
      </c>
      <c r="D37" s="2" t="n">
        <v>9.7958</v>
      </c>
      <c r="E37" s="2" t="n">
        <v>0.6288</v>
      </c>
      <c r="F37" s="2">
        <f>9.7958^0.6288</f>
        <v/>
      </c>
      <c r="G37" s="2" t="n">
        <v>6.99</v>
      </c>
      <c r="H37" s="2" t="n">
        <v>0.5555</v>
      </c>
      <c r="I37" s="2">
        <f>6.99^0.5555</f>
        <v/>
      </c>
      <c r="J37" s="2" t="n">
        <v>45264.63210238009</v>
      </c>
    </row>
    <row r="38">
      <c r="B38" s="2" t="inlineStr">
        <is>
          <t>project25</t>
        </is>
      </c>
      <c r="C38" s="2" t="n">
        <v>594700</v>
      </c>
      <c r="D38" s="2" t="n">
        <v>10.2307</v>
      </c>
      <c r="E38" s="2" t="n">
        <v>0.6288</v>
      </c>
      <c r="F38" s="2">
        <f>10.2307^0.6288</f>
        <v/>
      </c>
      <c r="G38" s="2" t="n">
        <v>7.42</v>
      </c>
      <c r="H38" s="2" t="n">
        <v>0.5555</v>
      </c>
      <c r="I38" s="2">
        <f>7.42^0.5555</f>
        <v/>
      </c>
      <c r="J38" s="2" t="n">
        <v>45264.63210238009</v>
      </c>
    </row>
    <row r="39">
      <c r="B39" s="2" t="inlineStr">
        <is>
          <t>project26</t>
        </is>
      </c>
      <c r="C39" s="2" t="n">
        <v>777000</v>
      </c>
      <c r="D39" s="2" t="n">
        <v>12.3532</v>
      </c>
      <c r="E39" s="2" t="n">
        <v>0.6288</v>
      </c>
      <c r="F39" s="2">
        <f>12.3532^0.6288</f>
        <v/>
      </c>
      <c r="G39" s="2" t="n">
        <v>9.699999999999999</v>
      </c>
      <c r="H39" s="2" t="n">
        <v>0.5555</v>
      </c>
      <c r="I39" s="2">
        <f>9.7^0.5555</f>
        <v/>
      </c>
      <c r="J39" s="2" t="n">
        <v>45264.63210238009</v>
      </c>
    </row>
    <row r="40">
      <c r="B40" s="2" t="inlineStr">
        <is>
          <t>project27</t>
        </is>
      </c>
      <c r="C40" s="2" t="n">
        <v>846000</v>
      </c>
      <c r="D40" s="2" t="n">
        <v>13.1204</v>
      </c>
      <c r="E40" s="2" t="n">
        <v>0.6288</v>
      </c>
      <c r="F40" s="2">
        <f>13.1204^0.6288</f>
        <v/>
      </c>
      <c r="G40" s="2" t="n">
        <v>10.56</v>
      </c>
      <c r="H40" s="2" t="n">
        <v>0.5555</v>
      </c>
      <c r="I40" s="2">
        <f>10.56^0.5555</f>
        <v/>
      </c>
      <c r="J40" s="2" t="n">
        <v>45264.63210238009</v>
      </c>
    </row>
    <row r="41">
      <c r="B41" s="2" t="inlineStr">
        <is>
          <t>project28</t>
        </is>
      </c>
      <c r="C41" s="2" t="n">
        <v>703800</v>
      </c>
      <c r="D41" s="2" t="n">
        <v>11.5142</v>
      </c>
      <c r="E41" s="2" t="n">
        <v>0.6288</v>
      </c>
      <c r="F41" s="2">
        <f>11.5142^0.6288</f>
        <v/>
      </c>
      <c r="G41" s="2" t="n">
        <v>8.789999999999999</v>
      </c>
      <c r="H41" s="2" t="n">
        <v>0.5555</v>
      </c>
      <c r="I41" s="2">
        <f>8.79^0.5555</f>
        <v/>
      </c>
      <c r="J41" s="2" t="n">
        <v>45264.63210238009</v>
      </c>
    </row>
    <row r="42">
      <c r="B42" s="2" t="inlineStr">
        <is>
          <t>project29</t>
        </is>
      </c>
      <c r="C42" s="2" t="n">
        <v>349100</v>
      </c>
      <c r="D42" s="2" t="n">
        <v>7.0143</v>
      </c>
      <c r="E42" s="2" t="n">
        <v>0.6288</v>
      </c>
      <c r="F42" s="2">
        <f>7.0143^0.6288</f>
        <v/>
      </c>
      <c r="G42" s="2" t="n">
        <v>4.36</v>
      </c>
      <c r="H42" s="2" t="n">
        <v>0.5555</v>
      </c>
      <c r="I42" s="2">
        <f>4.36^0.5555</f>
        <v/>
      </c>
      <c r="J42" s="2" t="n">
        <v>45264.63210238009</v>
      </c>
    </row>
    <row r="43">
      <c r="B43" s="2" t="inlineStr">
        <is>
          <t>project30</t>
        </is>
      </c>
      <c r="C43" s="2" t="n">
        <v>340300</v>
      </c>
      <c r="D43" s="2" t="n">
        <v>6.889</v>
      </c>
      <c r="E43" s="2" t="n">
        <v>0.6288</v>
      </c>
      <c r="F43" s="2">
        <f>6.889^0.6288</f>
        <v/>
      </c>
      <c r="G43" s="2" t="n">
        <v>4.25</v>
      </c>
      <c r="H43" s="2" t="n">
        <v>0.5555</v>
      </c>
      <c r="I43" s="2">
        <f>4.25^0.5555</f>
        <v/>
      </c>
      <c r="J43" s="2" t="n">
        <v>45264.63210238009</v>
      </c>
    </row>
    <row r="44">
      <c r="B44" s="2" t="inlineStr">
        <is>
          <t>project31</t>
        </is>
      </c>
      <c r="C44" s="2" t="n">
        <v>532100</v>
      </c>
      <c r="D44" s="2" t="n">
        <v>9.4558</v>
      </c>
      <c r="E44" s="2" t="n">
        <v>0.6288</v>
      </c>
      <c r="F44" s="2">
        <f>9.4558^0.6288</f>
        <v/>
      </c>
      <c r="G44" s="2" t="n">
        <v>6.64</v>
      </c>
      <c r="H44" s="2" t="n">
        <v>0.5555</v>
      </c>
      <c r="I44" s="2">
        <f>6.64^0.5555</f>
        <v/>
      </c>
      <c r="J44" s="2" t="n">
        <v>45264.63210238009</v>
      </c>
    </row>
    <row r="45">
      <c r="B45" s="2" t="inlineStr">
        <is>
          <t>project32</t>
        </is>
      </c>
      <c r="C45" s="2" t="n">
        <v>204400</v>
      </c>
      <c r="D45" s="2" t="n">
        <v>4.8092</v>
      </c>
      <c r="E45" s="2" t="n">
        <v>0.6288</v>
      </c>
      <c r="F45" s="2">
        <f>4.8092^0.6288</f>
        <v/>
      </c>
      <c r="G45" s="2" t="n">
        <v>2.55</v>
      </c>
      <c r="H45" s="2" t="n">
        <v>0.5555</v>
      </c>
      <c r="I45" s="2">
        <f>2.55^0.5555</f>
        <v/>
      </c>
      <c r="J45" s="2" t="n">
        <v>45264.63210238009</v>
      </c>
    </row>
    <row r="46">
      <c r="B46" s="2" t="inlineStr">
        <is>
          <t>project33</t>
        </is>
      </c>
      <c r="C46" s="2" t="n">
        <v>777600</v>
      </c>
      <c r="D46" s="2" t="n">
        <v>12.3571</v>
      </c>
      <c r="E46" s="2" t="n">
        <v>0.6288</v>
      </c>
      <c r="F46" s="2">
        <f>12.3571^0.6288</f>
        <v/>
      </c>
      <c r="G46" s="2" t="n">
        <v>9.710000000000001</v>
      </c>
      <c r="H46" s="2" t="n">
        <v>0.5555</v>
      </c>
      <c r="I46" s="2">
        <f>9.71^0.5555</f>
        <v/>
      </c>
      <c r="J46" s="2" t="n">
        <v>45264.63210238009</v>
      </c>
    </row>
    <row r="47">
      <c r="B47" s="2" t="inlineStr">
        <is>
          <t>project34</t>
        </is>
      </c>
      <c r="C47" s="2" t="n">
        <v>882100</v>
      </c>
      <c r="D47" s="2" t="n">
        <v>13.5144</v>
      </c>
      <c r="E47" s="2" t="n">
        <v>0.6288</v>
      </c>
      <c r="F47" s="2">
        <f>13.5144^0.6288</f>
        <v/>
      </c>
      <c r="G47" s="2" t="n">
        <v>11.01</v>
      </c>
      <c r="H47" s="2" t="n">
        <v>0.5555</v>
      </c>
      <c r="I47" s="2">
        <f>11.01^0.5555</f>
        <v/>
      </c>
      <c r="J47" s="2" t="n">
        <v>45264.63210238009</v>
      </c>
    </row>
    <row r="48">
      <c r="B48" s="2" t="inlineStr">
        <is>
          <t>project35</t>
        </is>
      </c>
      <c r="C48" s="2" t="n">
        <v>719600</v>
      </c>
      <c r="D48" s="2" t="n">
        <v>11.7048</v>
      </c>
      <c r="E48" s="2" t="n">
        <v>0.6288</v>
      </c>
      <c r="F48" s="2">
        <f>11.7048^0.6288</f>
        <v/>
      </c>
      <c r="G48" s="2" t="n">
        <v>8.98</v>
      </c>
      <c r="H48" s="2" t="n">
        <v>0.5555</v>
      </c>
      <c r="I48" s="2">
        <f>8.98^0.5555</f>
        <v/>
      </c>
      <c r="J48" s="2" t="n">
        <v>45264.63210238009</v>
      </c>
    </row>
    <row r="49">
      <c r="B49" s="2" t="inlineStr">
        <is>
          <t>project36</t>
        </is>
      </c>
      <c r="C49" s="2" t="n">
        <v>735200</v>
      </c>
      <c r="D49" s="2" t="n">
        <v>11.8775</v>
      </c>
      <c r="E49" s="2" t="n">
        <v>0.6288</v>
      </c>
      <c r="F49" s="2">
        <f>11.8775^0.6288</f>
        <v/>
      </c>
      <c r="G49" s="2" t="n">
        <v>9.18</v>
      </c>
      <c r="H49" s="2" t="n">
        <v>0.5555</v>
      </c>
      <c r="I49" s="2">
        <f>9.18^0.5555</f>
        <v/>
      </c>
      <c r="J49" s="2" t="n">
        <v>45264.63210238009</v>
      </c>
    </row>
    <row r="50">
      <c r="B50" s="2" t="inlineStr">
        <is>
          <t>project37</t>
        </is>
      </c>
      <c r="C50" s="2" t="n">
        <v>412700</v>
      </c>
      <c r="D50" s="2" t="n">
        <v>7.9011</v>
      </c>
      <c r="E50" s="2" t="n">
        <v>0.6288</v>
      </c>
      <c r="F50" s="2">
        <f>7.9011^0.6288</f>
        <v/>
      </c>
      <c r="G50" s="2" t="n">
        <v>5.15</v>
      </c>
      <c r="H50" s="2" t="n">
        <v>0.5555</v>
      </c>
      <c r="I50" s="2">
        <f>5.15^0.5555</f>
        <v/>
      </c>
      <c r="J50" s="2" t="n">
        <v>45264.63210238009</v>
      </c>
    </row>
    <row r="51">
      <c r="B51" s="2" t="inlineStr">
        <is>
          <t>project38</t>
        </is>
      </c>
      <c r="C51" s="2" t="n">
        <v>325100</v>
      </c>
      <c r="D51" s="2" t="n">
        <v>6.6703</v>
      </c>
      <c r="E51" s="2" t="n">
        <v>0.6288</v>
      </c>
      <c r="F51" s="2">
        <f>6.6703^0.6288</f>
        <v/>
      </c>
      <c r="G51" s="2" t="n">
        <v>4.06</v>
      </c>
      <c r="H51" s="2" t="n">
        <v>0.5555</v>
      </c>
      <c r="I51" s="2">
        <f>4.06^0.5555</f>
        <v/>
      </c>
      <c r="J51" s="2" t="n">
        <v>45264.63210238009</v>
      </c>
    </row>
    <row r="52">
      <c r="B52" s="2" t="inlineStr">
        <is>
          <t>project39</t>
        </is>
      </c>
      <c r="C52" s="2" t="n">
        <v>658500</v>
      </c>
      <c r="D52" s="2" t="n">
        <v>10.9902</v>
      </c>
      <c r="E52" s="2" t="n">
        <v>0.6288</v>
      </c>
      <c r="F52" s="2">
        <f>10.9902^0.6288</f>
        <v/>
      </c>
      <c r="G52" s="2" t="n">
        <v>8.220000000000001</v>
      </c>
      <c r="H52" s="2" t="n">
        <v>0.5555</v>
      </c>
      <c r="I52" s="2">
        <f>8.22^0.5555</f>
        <v/>
      </c>
      <c r="J52" s="2" t="n">
        <v>45264.63210238009</v>
      </c>
    </row>
    <row r="53">
      <c r="B53" s="2" t="inlineStr">
        <is>
          <t>project40</t>
        </is>
      </c>
      <c r="C53" s="2" t="n">
        <v>324500</v>
      </c>
      <c r="D53" s="2" t="n">
        <v>6.6652</v>
      </c>
      <c r="E53" s="2" t="n">
        <v>0.6288</v>
      </c>
      <c r="F53" s="2">
        <f>6.6652^0.6288</f>
        <v/>
      </c>
      <c r="G53" s="2" t="n">
        <v>4.05</v>
      </c>
      <c r="H53" s="2" t="n">
        <v>0.5555</v>
      </c>
      <c r="I53" s="2">
        <f>4.05^0.5555</f>
        <v/>
      </c>
      <c r="J53" s="2" t="n">
        <v>45264.63210238009</v>
      </c>
    </row>
    <row r="54">
      <c r="B54" s="2" t="inlineStr">
        <is>
          <t>project41</t>
        </is>
      </c>
      <c r="C54" s="2" t="n">
        <v>384100</v>
      </c>
      <c r="D54" s="2" t="n">
        <v>7.5005</v>
      </c>
      <c r="E54" s="2" t="n">
        <v>0.6288</v>
      </c>
      <c r="F54" s="2">
        <f>7.5005^0.6288</f>
        <v/>
      </c>
      <c r="G54" s="2" t="n">
        <v>4.8</v>
      </c>
      <c r="H54" s="2" t="n">
        <v>0.5555</v>
      </c>
      <c r="I54" s="2">
        <f>4.8^0.5555</f>
        <v/>
      </c>
      <c r="J54" s="2" t="n">
        <v>45264.63210238009</v>
      </c>
    </row>
    <row r="55">
      <c r="B55" s="2" t="inlineStr">
        <is>
          <t>project42</t>
        </is>
      </c>
      <c r="C55" s="2" t="n">
        <v>757700</v>
      </c>
      <c r="D55" s="2" t="n">
        <v>12.1344</v>
      </c>
      <c r="E55" s="2" t="n">
        <v>0.6288</v>
      </c>
      <c r="F55" s="2">
        <f>12.1344^0.6288</f>
        <v/>
      </c>
      <c r="G55" s="2" t="n">
        <v>9.460000000000001</v>
      </c>
      <c r="H55" s="2" t="n">
        <v>0.5555</v>
      </c>
      <c r="I55" s="2">
        <f>9.46^0.5555</f>
        <v/>
      </c>
      <c r="J55" s="2" t="n">
        <v>45264.63210238009</v>
      </c>
    </row>
    <row r="56">
      <c r="B56" s="2" t="inlineStr">
        <is>
          <t>project43</t>
        </is>
      </c>
      <c r="C56" s="2" t="n">
        <v>625000</v>
      </c>
      <c r="D56" s="2" t="n">
        <v>10.5942</v>
      </c>
      <c r="E56" s="2" t="n">
        <v>0.6288</v>
      </c>
      <c r="F56" s="2">
        <f>10.5942^0.6288</f>
        <v/>
      </c>
      <c r="G56" s="2" t="n">
        <v>7.8</v>
      </c>
      <c r="H56" s="2" t="n">
        <v>0.5555</v>
      </c>
      <c r="I56" s="2">
        <f>7.8^0.5555</f>
        <v/>
      </c>
      <c r="J56" s="2" t="n">
        <v>45264.63210238009</v>
      </c>
    </row>
    <row r="57">
      <c r="B57" s="2" t="inlineStr">
        <is>
          <t>project44</t>
        </is>
      </c>
      <c r="C57" s="2" t="n">
        <v>582700</v>
      </c>
      <c r="D57" s="2" t="n">
        <v>10.0847</v>
      </c>
      <c r="E57" s="2" t="n">
        <v>0.6288</v>
      </c>
      <c r="F57" s="2">
        <f>10.0847^0.6288</f>
        <v/>
      </c>
      <c r="G57" s="2" t="n">
        <v>7.27</v>
      </c>
      <c r="H57" s="2" t="n">
        <v>0.5555</v>
      </c>
      <c r="I57" s="2">
        <f>7.27^0.5555</f>
        <v/>
      </c>
      <c r="J57" s="2" t="n">
        <v>45264.63210238009</v>
      </c>
    </row>
    <row r="58">
      <c r="B58" s="2" t="inlineStr">
        <is>
          <t>project45</t>
        </is>
      </c>
      <c r="C58" s="2" t="n">
        <v>320200</v>
      </c>
      <c r="D58" s="2" t="n">
        <v>6.5973</v>
      </c>
      <c r="E58" s="2" t="n">
        <v>0.6288</v>
      </c>
      <c r="F58" s="2">
        <f>6.5973^0.6288</f>
        <v/>
      </c>
      <c r="G58" s="2" t="n">
        <v>4</v>
      </c>
      <c r="H58" s="2" t="n">
        <v>0.5555</v>
      </c>
      <c r="I58" s="2">
        <f>4.0^0.5555</f>
        <v/>
      </c>
      <c r="J58" s="2" t="n">
        <v>45264.63210238009</v>
      </c>
    </row>
    <row r="59">
      <c r="B59" s="2" t="inlineStr">
        <is>
          <t>project46</t>
        </is>
      </c>
      <c r="C59" s="2" t="n">
        <v>725200</v>
      </c>
      <c r="D59" s="2" t="n">
        <v>11.769</v>
      </c>
      <c r="E59" s="2" t="n">
        <v>0.6288</v>
      </c>
      <c r="F59" s="2">
        <f>11.769^0.6288</f>
        <v/>
      </c>
      <c r="G59" s="2" t="n">
        <v>9.050000000000001</v>
      </c>
      <c r="H59" s="2" t="n">
        <v>0.5555</v>
      </c>
      <c r="I59" s="2">
        <f>9.05^0.5555</f>
        <v/>
      </c>
      <c r="J59" s="2" t="n">
        <v>45264.63210238009</v>
      </c>
    </row>
    <row r="60">
      <c r="B60" s="2" t="inlineStr">
        <is>
          <t>project47</t>
        </is>
      </c>
      <c r="C60" s="2" t="n">
        <v>184200</v>
      </c>
      <c r="D60" s="2" t="n">
        <v>4.4647</v>
      </c>
      <c r="E60" s="2" t="n">
        <v>0.6288</v>
      </c>
      <c r="F60" s="2">
        <f>4.4647^0.6288</f>
        <v/>
      </c>
      <c r="G60" s="2" t="n">
        <v>2.3</v>
      </c>
      <c r="H60" s="2" t="n">
        <v>0.5555</v>
      </c>
      <c r="I60" s="2">
        <f>2.3^0.5555</f>
        <v/>
      </c>
      <c r="J60" s="2" t="n">
        <v>45264.63210238009</v>
      </c>
    </row>
    <row r="61">
      <c r="B61" s="2" t="inlineStr">
        <is>
          <t>project48</t>
        </is>
      </c>
      <c r="C61" s="2" t="n">
        <v>547300</v>
      </c>
      <c r="D61" s="2" t="n">
        <v>9.6456</v>
      </c>
      <c r="E61" s="2" t="n">
        <v>0.6288</v>
      </c>
      <c r="F61" s="2">
        <f>9.6456^0.6288</f>
        <v/>
      </c>
      <c r="G61" s="2" t="n">
        <v>6.83</v>
      </c>
      <c r="H61" s="2" t="n">
        <v>0.5555</v>
      </c>
      <c r="I61" s="2">
        <f>6.83^0.5555</f>
        <v/>
      </c>
      <c r="J61" s="2" t="n">
        <v>45264.63210238009</v>
      </c>
    </row>
    <row r="62">
      <c r="B62" s="2" t="inlineStr">
        <is>
          <t>project49</t>
        </is>
      </c>
      <c r="C62" s="2" t="n">
        <v>657100</v>
      </c>
      <c r="D62" s="2" t="n">
        <v>10.9767</v>
      </c>
      <c r="E62" s="2" t="n">
        <v>0.6288</v>
      </c>
      <c r="F62" s="2">
        <f>10.9767^0.6288</f>
        <v/>
      </c>
      <c r="G62" s="2" t="n">
        <v>8.199999999999999</v>
      </c>
      <c r="H62" s="2" t="n">
        <v>0.5555</v>
      </c>
      <c r="I62" s="2">
        <f>8.2^0.5555</f>
        <v/>
      </c>
      <c r="J62" s="2" t="n">
        <v>45264.63210238009</v>
      </c>
    </row>
    <row r="63">
      <c r="B63" s="2" t="inlineStr">
        <is>
          <t>project50</t>
        </is>
      </c>
      <c r="C63" s="2" t="n">
        <v>462800</v>
      </c>
      <c r="D63" s="2" t="n">
        <v>8.561400000000001</v>
      </c>
      <c r="E63" s="2" t="n">
        <v>0.6288</v>
      </c>
      <c r="F63" s="2">
        <f>8.5614^0.6288</f>
        <v/>
      </c>
      <c r="G63" s="2" t="n">
        <v>5.78</v>
      </c>
      <c r="H63" s="2" t="n">
        <v>0.5555</v>
      </c>
      <c r="I63" s="2">
        <f>5.78^0.5555</f>
        <v/>
      </c>
      <c r="J63" s="2" t="n">
        <v>45264.63210238009</v>
      </c>
    </row>
  </sheetData>
  <mergeCells count="26">
    <mergeCell ref="R13:R14"/>
    <mergeCell ref="C2:C4"/>
    <mergeCell ref="T2:T4"/>
    <mergeCell ref="B1:J1"/>
    <mergeCell ref="O2:O4"/>
    <mergeCell ref="Q2:Q4"/>
    <mergeCell ref="S13:S14"/>
    <mergeCell ref="U13:U14"/>
    <mergeCell ref="J2:J4"/>
    <mergeCell ref="V2:V4"/>
    <mergeCell ref="O1:V1"/>
    <mergeCell ref="R2:R4"/>
    <mergeCell ref="I2:I4"/>
    <mergeCell ref="U2:U4"/>
    <mergeCell ref="P13:P14"/>
    <mergeCell ref="T13:T14"/>
    <mergeCell ref="G2:G4"/>
    <mergeCell ref="B2:B4"/>
    <mergeCell ref="S2:S4"/>
    <mergeCell ref="D2:D4"/>
    <mergeCell ref="P2:P4"/>
    <mergeCell ref="O13:O14"/>
    <mergeCell ref="Q13:Q14"/>
    <mergeCell ref="F2:F4"/>
    <mergeCell ref="H2:H4"/>
    <mergeCell ref="E2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3"/>
  <sheetViews>
    <sheetView workbookViewId="0">
      <selection activeCell="A1" sqref="A1"/>
    </sheetView>
  </sheetViews>
  <sheetFormatPr baseColWidth="8" defaultRowHeight="15"/>
  <cols>
    <col width="10" customWidth="1" min="1" max="1"/>
    <col width="22" customWidth="1" min="2" max="2"/>
    <col width="20" customWidth="1" min="3" max="3"/>
    <col width="24" customWidth="1" min="4" max="4"/>
    <col width="23" customWidth="1" min="5" max="5"/>
    <col width="20" customWidth="1" min="6" max="6"/>
    <col width="20" customWidth="1" min="7" max="7"/>
    <col width="12" customWidth="1" min="8" max="8"/>
    <col width="20" customWidth="1" min="9" max="9"/>
    <col width="20" customWidth="1" min="10" max="10"/>
    <col width="20" customWidth="1" min="11" max="11"/>
  </cols>
  <sheetData>
    <row r="1">
      <c r="B1" s="7" t="inlineStr">
        <is>
          <t>Source Lines of Code</t>
        </is>
      </c>
      <c r="C1" s="7" t="inlineStr">
        <is>
          <t>Effort (Labor Yrs)</t>
        </is>
      </c>
      <c r="D1" s="7" t="inlineStr">
        <is>
          <t>COCOMO (a)</t>
        </is>
      </c>
      <c r="E1" s="7" t="inlineStr">
        <is>
          <t>COCOMO (b)</t>
        </is>
      </c>
      <c r="F1" s="7" t="inlineStr">
        <is>
          <t>KLOC^b</t>
        </is>
      </c>
      <c r="G1" s="7" t="inlineStr">
        <is>
          <t>Dev Time (Yrs) t_d</t>
        </is>
      </c>
      <c r="H1" s="7" t="inlineStr">
        <is>
          <t>COCOMO (c)</t>
        </is>
      </c>
      <c r="I1" s="7" t="inlineStr">
        <is>
          <t>Effort^d</t>
        </is>
      </c>
      <c r="J1" s="7" t="inlineStr">
        <is>
          <t>Predicted Effort</t>
        </is>
      </c>
      <c r="K1" s="7" t="inlineStr">
        <is>
          <t>Predicted Time</t>
        </is>
      </c>
    </row>
    <row r="2">
      <c r="B2" s="8" t="n">
        <v>777500</v>
      </c>
      <c r="C2" s="8" t="n">
        <v>12.45030954881606</v>
      </c>
      <c r="D2" s="8" t="n">
        <v>2.88</v>
      </c>
      <c r="E2" s="8" t="n">
        <v>1.26</v>
      </c>
      <c r="F2" s="8" t="n">
        <v>4388.160472586344</v>
      </c>
      <c r="G2" s="8" t="n">
        <v>6.191330104944415</v>
      </c>
      <c r="H2" s="8" t="n">
        <v>2.375</v>
      </c>
      <c r="I2" s="8" t="n">
        <v>2.485192497749914</v>
      </c>
      <c r="J2" s="8" t="n">
        <v>12637.90216104867</v>
      </c>
      <c r="K2" s="8" t="n">
        <v>5.902332182156046</v>
      </c>
    </row>
    <row r="3">
      <c r="B3" s="8" t="n">
        <v>680000</v>
      </c>
      <c r="C3" s="8" t="n">
        <v>10.83879377771322</v>
      </c>
      <c r="D3" s="8" t="n">
        <v>2.88</v>
      </c>
      <c r="E3" s="8" t="n">
        <v>1.26</v>
      </c>
      <c r="F3" s="8" t="n">
        <v>3706.476321462204</v>
      </c>
      <c r="G3" s="8" t="n">
        <v>5.429939477455803</v>
      </c>
      <c r="H3" s="8" t="n">
        <v>2.375</v>
      </c>
      <c r="I3" s="8" t="n">
        <v>2.363894684877187</v>
      </c>
      <c r="J3" s="8" t="n">
        <v>10674.65180581115</v>
      </c>
      <c r="K3" s="8" t="n">
        <v>5.61424987658332</v>
      </c>
    </row>
    <row r="4">
      <c r="B4" s="8" t="n">
        <v>499200</v>
      </c>
      <c r="C4" s="8" t="n">
        <v>7.959474250811099</v>
      </c>
      <c r="D4" s="8" t="n">
        <v>2.88</v>
      </c>
      <c r="E4" s="8" t="n">
        <v>1.26</v>
      </c>
      <c r="F4" s="8" t="n">
        <v>2510.880053228557</v>
      </c>
      <c r="G4" s="8" t="n">
        <v>3.999673804753298</v>
      </c>
      <c r="H4" s="8" t="n">
        <v>2.375</v>
      </c>
      <c r="I4" s="8" t="n">
        <v>2.114556344943802</v>
      </c>
      <c r="J4" s="8" t="n">
        <v>7231.334553298245</v>
      </c>
      <c r="K4" s="8" t="n">
        <v>5.02207131924153</v>
      </c>
    </row>
    <row r="5">
      <c r="B5" s="8" t="n">
        <v>814600</v>
      </c>
      <c r="C5" s="8" t="n">
        <v>13.07711108181964</v>
      </c>
      <c r="D5" s="8" t="n">
        <v>2.88</v>
      </c>
      <c r="E5" s="8" t="n">
        <v>1.26</v>
      </c>
      <c r="F5" s="8" t="n">
        <v>4653.609648660838</v>
      </c>
      <c r="G5" s="8" t="n">
        <v>6.495714227012871</v>
      </c>
      <c r="H5" s="8" t="n">
        <v>2.375</v>
      </c>
      <c r="I5" s="8" t="n">
        <v>2.529651908587867</v>
      </c>
      <c r="J5" s="8" t="n">
        <v>13402.39578814321</v>
      </c>
      <c r="K5" s="8" t="n">
        <v>6.007923282896185</v>
      </c>
    </row>
    <row r="6">
      <c r="B6" s="8" t="n">
        <v>117200</v>
      </c>
      <c r="C6" s="8" t="n">
        <v>1.878059974545729</v>
      </c>
      <c r="D6" s="8" t="n">
        <v>2.88</v>
      </c>
      <c r="E6" s="8" t="n">
        <v>1.26</v>
      </c>
      <c r="F6" s="8" t="n">
        <v>404.4350541241275</v>
      </c>
      <c r="G6" s="8" t="n">
        <v>0.9352475394169503</v>
      </c>
      <c r="H6" s="8" t="n">
        <v>2.375</v>
      </c>
      <c r="I6" s="8" t="n">
        <v>1.255478020552574</v>
      </c>
      <c r="J6" s="8" t="n">
        <v>1164.772955877487</v>
      </c>
      <c r="K6" s="8" t="n">
        <v>2.981760298812362</v>
      </c>
    </row>
    <row r="7">
      <c r="B7" s="8" t="n">
        <v>612100</v>
      </c>
      <c r="C7" s="8" t="n">
        <v>9.761731656937627</v>
      </c>
      <c r="D7" s="8" t="n">
        <v>2.88</v>
      </c>
      <c r="E7" s="8" t="n">
        <v>1.26</v>
      </c>
      <c r="F7" s="8" t="n">
        <v>3246.356409023895</v>
      </c>
      <c r="G7" s="8" t="n">
        <v>4.912311336414137</v>
      </c>
      <c r="H7" s="8" t="n">
        <v>2.375</v>
      </c>
      <c r="I7" s="8" t="n">
        <v>2.276246013898781</v>
      </c>
      <c r="J7" s="8" t="n">
        <v>9349.506457988819</v>
      </c>
      <c r="K7" s="8" t="n">
        <v>5.406084283009605</v>
      </c>
    </row>
    <row r="8">
      <c r="B8" s="8" t="n">
        <v>838300</v>
      </c>
      <c r="C8" s="8" t="n">
        <v>13.42536241892246</v>
      </c>
      <c r="D8" s="8" t="n">
        <v>2.88</v>
      </c>
      <c r="E8" s="8" t="n">
        <v>1.26</v>
      </c>
      <c r="F8" s="8" t="n">
        <v>4824.844570426922</v>
      </c>
      <c r="G8" s="8" t="n">
        <v>6.691067462085194</v>
      </c>
      <c r="H8" s="8" t="n">
        <v>2.375</v>
      </c>
      <c r="I8" s="8" t="n">
        <v>2.553767129063342</v>
      </c>
      <c r="J8" s="8" t="n">
        <v>13895.55236282953</v>
      </c>
      <c r="K8" s="8" t="n">
        <v>6.065196931525438</v>
      </c>
    </row>
    <row r="9">
      <c r="B9" s="8" t="n">
        <v>637500</v>
      </c>
      <c r="C9" s="8" t="n">
        <v>10.23797600361774</v>
      </c>
      <c r="D9" s="8" t="n">
        <v>2.88</v>
      </c>
      <c r="E9" s="8" t="n">
        <v>1.26</v>
      </c>
      <c r="F9" s="8" t="n">
        <v>3417.000467943696</v>
      </c>
      <c r="G9" s="8" t="n">
        <v>5.074567818062137</v>
      </c>
      <c r="H9" s="8" t="n">
        <v>2.375</v>
      </c>
      <c r="I9" s="8" t="n">
        <v>2.315726645075761</v>
      </c>
      <c r="J9" s="8" t="n">
        <v>9840.961347677843</v>
      </c>
      <c r="K9" s="8" t="n">
        <v>5.499850782054931</v>
      </c>
    </row>
    <row r="10">
      <c r="B10" s="8" t="n">
        <v>219900</v>
      </c>
      <c r="C10" s="8" t="n">
        <v>3.524472992467269</v>
      </c>
      <c r="D10" s="8" t="n">
        <v>2.88</v>
      </c>
      <c r="E10" s="8" t="n">
        <v>1.26</v>
      </c>
      <c r="F10" s="8" t="n">
        <v>893.7247581021727</v>
      </c>
      <c r="G10" s="8" t="n">
        <v>1.765923998955795</v>
      </c>
      <c r="H10" s="8" t="n">
        <v>2.375</v>
      </c>
      <c r="I10" s="8" t="n">
        <v>1.575799656594498</v>
      </c>
      <c r="J10" s="8" t="n">
        <v>2573.927303334257</v>
      </c>
      <c r="K10" s="8" t="n">
        <v>3.742524184411934</v>
      </c>
    </row>
    <row r="11">
      <c r="B11" s="8" t="n">
        <v>274300</v>
      </c>
      <c r="C11" s="8" t="n">
        <v>4.370320654340209</v>
      </c>
      <c r="D11" s="8" t="n">
        <v>2.88</v>
      </c>
      <c r="E11" s="8" t="n">
        <v>1.26</v>
      </c>
      <c r="F11" s="8" t="n">
        <v>1180.767844375846</v>
      </c>
      <c r="G11" s="8" t="n">
        <v>2.186038546632689</v>
      </c>
      <c r="H11" s="8" t="n">
        <v>2.375</v>
      </c>
      <c r="I11" s="8" t="n">
        <v>1.703041779312761</v>
      </c>
      <c r="J11" s="8" t="n">
        <v>3400.611391802437</v>
      </c>
      <c r="K11" s="8" t="n">
        <v>4.044724225867807</v>
      </c>
    </row>
    <row r="12">
      <c r="B12" s="8" t="n">
        <v>659400</v>
      </c>
      <c r="C12" s="8" t="n">
        <v>10.56689282340711</v>
      </c>
      <c r="D12" s="8" t="n">
        <v>2.88</v>
      </c>
      <c r="E12" s="8" t="n">
        <v>1.26</v>
      </c>
      <c r="F12" s="8" t="n">
        <v>3565.559334460739</v>
      </c>
      <c r="G12" s="8" t="n">
        <v>5.264538546583054</v>
      </c>
      <c r="H12" s="8" t="n">
        <v>2.375</v>
      </c>
      <c r="I12" s="8" t="n">
        <v>2.34231325585734</v>
      </c>
      <c r="J12" s="8" t="n">
        <v>10268.81088324693</v>
      </c>
      <c r="K12" s="8" t="n">
        <v>5.562993982661181</v>
      </c>
    </row>
    <row r="13">
      <c r="B13" s="8" t="n">
        <v>379000</v>
      </c>
      <c r="C13" s="8" t="n">
        <v>6.059504847540031</v>
      </c>
      <c r="D13" s="8" t="n">
        <v>2.88</v>
      </c>
      <c r="E13" s="8" t="n">
        <v>1.26</v>
      </c>
      <c r="F13" s="8" t="n">
        <v>1774.538411805795</v>
      </c>
      <c r="G13" s="8" t="n">
        <v>3.035313524086899</v>
      </c>
      <c r="H13" s="8" t="n">
        <v>2.375</v>
      </c>
      <c r="I13" s="8" t="n">
        <v>1.916283704670297</v>
      </c>
      <c r="J13" s="8" t="n">
        <v>5110.67062600069</v>
      </c>
      <c r="K13" s="8" t="n">
        <v>4.551173798591956</v>
      </c>
    </row>
    <row r="14">
      <c r="B14" s="8" t="n">
        <v>379600</v>
      </c>
      <c r="C14" s="8" t="n">
        <v>6.050269501767499</v>
      </c>
      <c r="D14" s="8" t="n">
        <v>2.88</v>
      </c>
      <c r="E14" s="8" t="n">
        <v>1.26</v>
      </c>
      <c r="F14" s="8" t="n">
        <v>1778.078852515976</v>
      </c>
      <c r="G14" s="8" t="n">
        <v>3.02499064115769</v>
      </c>
      <c r="H14" s="8" t="n">
        <v>2.375</v>
      </c>
      <c r="I14" s="8" t="n">
        <v>1.915228845125351</v>
      </c>
      <c r="J14" s="8" t="n">
        <v>5120.86709524601</v>
      </c>
      <c r="K14" s="8" t="n">
        <v>4.548668507172708</v>
      </c>
    </row>
    <row r="15">
      <c r="B15" s="8" t="n">
        <v>578000</v>
      </c>
      <c r="C15" s="8" t="n">
        <v>9.234932027944838</v>
      </c>
      <c r="D15" s="8" t="n">
        <v>2.88</v>
      </c>
      <c r="E15" s="8" t="n">
        <v>1.26</v>
      </c>
      <c r="F15" s="8" t="n">
        <v>3020.153915680065</v>
      </c>
      <c r="G15" s="8" t="n">
        <v>4.610347758886581</v>
      </c>
      <c r="H15" s="8" t="n">
        <v>2.375</v>
      </c>
      <c r="I15" s="8" t="n">
        <v>2.231113000807297</v>
      </c>
      <c r="J15" s="8" t="n">
        <v>8698.043277158587</v>
      </c>
      <c r="K15" s="8" t="n">
        <v>5.298893376917332</v>
      </c>
    </row>
    <row r="16">
      <c r="B16" s="8" t="n">
        <v>899000</v>
      </c>
      <c r="C16" s="8" t="n">
        <v>14.38811654522328</v>
      </c>
      <c r="D16" s="8" t="n">
        <v>2.88</v>
      </c>
      <c r="E16" s="8" t="n">
        <v>1.26</v>
      </c>
      <c r="F16" s="8" t="n">
        <v>5269.10934987697</v>
      </c>
      <c r="G16" s="8" t="n">
        <v>7.176927533741787</v>
      </c>
      <c r="H16" s="8" t="n">
        <v>2.375</v>
      </c>
      <c r="I16" s="8" t="n">
        <v>2.618420695313084</v>
      </c>
      <c r="J16" s="8" t="n">
        <v>15175.03492764567</v>
      </c>
      <c r="K16" s="8" t="n">
        <v>6.218749151368574</v>
      </c>
    </row>
    <row r="17">
      <c r="B17" s="8" t="n">
        <v>709400</v>
      </c>
      <c r="C17" s="8" t="n">
        <v>11.36093425169437</v>
      </c>
      <c r="D17" s="8" t="n">
        <v>2.88</v>
      </c>
      <c r="E17" s="8" t="n">
        <v>1.26</v>
      </c>
      <c r="F17" s="8" t="n">
        <v>3909.515074213592</v>
      </c>
      <c r="G17" s="8" t="n">
        <v>5.652962060029563</v>
      </c>
      <c r="H17" s="8" t="n">
        <v>2.375</v>
      </c>
      <c r="I17" s="8" t="n">
        <v>2.404387551499856</v>
      </c>
      <c r="J17" s="8" t="n">
        <v>11259.40341373515</v>
      </c>
      <c r="K17" s="8" t="n">
        <v>5.710420434812159</v>
      </c>
    </row>
    <row r="18">
      <c r="B18" s="8" t="n">
        <v>375200</v>
      </c>
      <c r="C18" s="8" t="n">
        <v>5.977348764333327</v>
      </c>
      <c r="D18" s="8" t="n">
        <v>2.88</v>
      </c>
      <c r="E18" s="8" t="n">
        <v>1.26</v>
      </c>
      <c r="F18" s="8" t="n">
        <v>1752.149525722132</v>
      </c>
      <c r="G18" s="8" t="n">
        <v>2.988895884145067</v>
      </c>
      <c r="H18" s="8" t="n">
        <v>2.375</v>
      </c>
      <c r="I18" s="8" t="n">
        <v>1.906863489269991</v>
      </c>
      <c r="J18" s="8" t="n">
        <v>5046.190634079741</v>
      </c>
      <c r="K18" s="8" t="n">
        <v>4.528800787016228</v>
      </c>
    </row>
    <row r="19">
      <c r="B19" s="8" t="n">
        <v>695200</v>
      </c>
      <c r="C19" s="8" t="n">
        <v>11.10267414768414</v>
      </c>
      <c r="D19" s="8" t="n">
        <v>2.88</v>
      </c>
      <c r="E19" s="8" t="n">
        <v>1.26</v>
      </c>
      <c r="F19" s="8" t="n">
        <v>3811.169830726939</v>
      </c>
      <c r="G19" s="8" t="n">
        <v>5.551217944561862</v>
      </c>
      <c r="H19" s="8" t="n">
        <v>2.375</v>
      </c>
      <c r="I19" s="8" t="n">
        <v>2.384511171171579</v>
      </c>
      <c r="J19" s="8" t="n">
        <v>10976.16911249358</v>
      </c>
      <c r="K19" s="8" t="n">
        <v>5.6632140315325</v>
      </c>
    </row>
    <row r="20">
      <c r="B20" s="8" t="n">
        <v>895400</v>
      </c>
      <c r="C20" s="8" t="n">
        <v>14.26695249580744</v>
      </c>
      <c r="D20" s="8" t="n">
        <v>2.88</v>
      </c>
      <c r="E20" s="8" t="n">
        <v>1.26</v>
      </c>
      <c r="F20" s="8" t="n">
        <v>5242.537352634033</v>
      </c>
      <c r="G20" s="8" t="n">
        <v>7.194880137434456</v>
      </c>
      <c r="H20" s="8" t="n">
        <v>2.375</v>
      </c>
      <c r="I20" s="8" t="n">
        <v>2.610439117140604</v>
      </c>
      <c r="J20" s="8" t="n">
        <v>15098.50757558601</v>
      </c>
      <c r="K20" s="8" t="n">
        <v>6.199792903208934</v>
      </c>
    </row>
    <row r="21">
      <c r="B21" s="8" t="n">
        <v>334500</v>
      </c>
      <c r="C21" s="8" t="n">
        <v>5.370173048331421</v>
      </c>
      <c r="D21" s="8" t="n">
        <v>2.88</v>
      </c>
      <c r="E21" s="8" t="n">
        <v>1.26</v>
      </c>
      <c r="F21" s="8" t="n">
        <v>1516.139329915694</v>
      </c>
      <c r="G21" s="8" t="n">
        <v>2.673062383971443</v>
      </c>
      <c r="H21" s="8" t="n">
        <v>2.375</v>
      </c>
      <c r="I21" s="8" t="n">
        <v>1.834534017826506</v>
      </c>
      <c r="J21" s="8" t="n">
        <v>4366.481270157198</v>
      </c>
      <c r="K21" s="8" t="n">
        <v>4.357018292337951</v>
      </c>
    </row>
    <row r="22">
      <c r="B22" s="8" t="n">
        <v>52400</v>
      </c>
      <c r="C22" s="8" t="n">
        <v>0.8351501137237495</v>
      </c>
      <c r="D22" s="8" t="n">
        <v>2.88</v>
      </c>
      <c r="E22" s="8" t="n">
        <v>1.26</v>
      </c>
      <c r="F22" s="8" t="n">
        <v>146.6754473975813</v>
      </c>
      <c r="G22" s="8" t="n">
        <v>0.4173450154277779</v>
      </c>
      <c r="H22" s="8" t="n">
        <v>2.375</v>
      </c>
      <c r="I22" s="8" t="n">
        <v>0.9370375625862545</v>
      </c>
      <c r="J22" s="8" t="n">
        <v>422.4252885050342</v>
      </c>
      <c r="K22" s="8" t="n">
        <v>2.225464211142354</v>
      </c>
    </row>
    <row r="23">
      <c r="B23" s="8" t="n">
        <v>818900</v>
      </c>
      <c r="C23" s="8" t="n">
        <v>13.13248313645824</v>
      </c>
      <c r="D23" s="8" t="n">
        <v>2.88</v>
      </c>
      <c r="E23" s="8" t="n">
        <v>1.26</v>
      </c>
      <c r="F23" s="8" t="n">
        <v>4684.582563712945</v>
      </c>
      <c r="G23" s="8" t="n">
        <v>6.560145320454003</v>
      </c>
      <c r="H23" s="8" t="n">
        <v>2.375</v>
      </c>
      <c r="I23" s="8" t="n">
        <v>2.533513445729253</v>
      </c>
      <c r="J23" s="8" t="n">
        <v>13491.59778349328</v>
      </c>
      <c r="K23" s="8" t="n">
        <v>6.017094433606975</v>
      </c>
    </row>
    <row r="24">
      <c r="B24" s="8" t="n">
        <v>794500</v>
      </c>
      <c r="C24" s="8" t="n">
        <v>12.73719727993348</v>
      </c>
      <c r="D24" s="8" t="n">
        <v>2.88</v>
      </c>
      <c r="E24" s="8" t="n">
        <v>1.26</v>
      </c>
      <c r="F24" s="8" t="n">
        <v>4509.395384082755</v>
      </c>
      <c r="G24" s="8" t="n">
        <v>6.336892034206623</v>
      </c>
      <c r="H24" s="8" t="n">
        <v>2.375</v>
      </c>
      <c r="I24" s="8" t="n">
        <v>2.50571497814666</v>
      </c>
      <c r="J24" s="8" t="n">
        <v>12987.05870615834</v>
      </c>
      <c r="K24" s="8" t="n">
        <v>5.951073073098319</v>
      </c>
    </row>
    <row r="25">
      <c r="B25" s="8" t="n">
        <v>767600</v>
      </c>
      <c r="C25" s="8" t="n">
        <v>12.32298770344714</v>
      </c>
      <c r="D25" s="8" t="n">
        <v>2.88</v>
      </c>
      <c r="E25" s="8" t="n">
        <v>1.26</v>
      </c>
      <c r="F25" s="8" t="n">
        <v>4317.874916837043</v>
      </c>
      <c r="G25" s="8" t="n">
        <v>6.150009494174594</v>
      </c>
      <c r="H25" s="8" t="n">
        <v>2.375</v>
      </c>
      <c r="I25" s="8" t="n">
        <v>2.475987691763644</v>
      </c>
      <c r="J25" s="8" t="n">
        <v>12435.47976049068</v>
      </c>
      <c r="K25" s="8" t="n">
        <v>5.880470767938655</v>
      </c>
    </row>
    <row r="26">
      <c r="B26" s="8" t="n">
        <v>827400</v>
      </c>
      <c r="C26" s="8" t="n">
        <v>13.2206108005293</v>
      </c>
      <c r="D26" s="8" t="n">
        <v>2.88</v>
      </c>
      <c r="E26" s="8" t="n">
        <v>1.26</v>
      </c>
      <c r="F26" s="8" t="n">
        <v>4745.932432052507</v>
      </c>
      <c r="G26" s="8" t="n">
        <v>6.630472742890603</v>
      </c>
      <c r="H26" s="8" t="n">
        <v>2.375</v>
      </c>
      <c r="I26" s="8" t="n">
        <v>2.539637895495413</v>
      </c>
      <c r="J26" s="8" t="n">
        <v>13668.28540431122</v>
      </c>
      <c r="K26" s="8" t="n">
        <v>6.031640001801606</v>
      </c>
    </row>
    <row r="27">
      <c r="B27" s="8" t="n">
        <v>233700</v>
      </c>
      <c r="C27" s="8" t="n">
        <v>3.741376674139881</v>
      </c>
      <c r="D27" s="8" t="n">
        <v>2.88</v>
      </c>
      <c r="E27" s="8" t="n">
        <v>1.26</v>
      </c>
      <c r="F27" s="8" t="n">
        <v>964.9614808710048</v>
      </c>
      <c r="G27" s="8" t="n">
        <v>1.875763588103625</v>
      </c>
      <c r="H27" s="8" t="n">
        <v>2.375</v>
      </c>
      <c r="I27" s="8" t="n">
        <v>1.610142627299367</v>
      </c>
      <c r="J27" s="8" t="n">
        <v>2779.089064908494</v>
      </c>
      <c r="K27" s="8" t="n">
        <v>3.824088739835998</v>
      </c>
    </row>
    <row r="28">
      <c r="B28" s="8" t="n">
        <v>814900</v>
      </c>
      <c r="C28" s="8" t="n">
        <v>13.08139745205752</v>
      </c>
      <c r="D28" s="8" t="n">
        <v>2.88</v>
      </c>
      <c r="E28" s="8" t="n">
        <v>1.26</v>
      </c>
      <c r="F28" s="8" t="n">
        <v>4655.769173159939</v>
      </c>
      <c r="G28" s="8" t="n">
        <v>6.494624107555157</v>
      </c>
      <c r="H28" s="8" t="n">
        <v>2.375</v>
      </c>
      <c r="I28" s="8" t="n">
        <v>2.529951204206131</v>
      </c>
      <c r="J28" s="8" t="n">
        <v>13408.61521870062</v>
      </c>
      <c r="K28" s="8" t="n">
        <v>6.00863410998956</v>
      </c>
    </row>
    <row r="29">
      <c r="B29" s="8" t="n">
        <v>687500</v>
      </c>
      <c r="C29" s="8" t="n">
        <v>11.05023031945596</v>
      </c>
      <c r="D29" s="8" t="n">
        <v>2.88</v>
      </c>
      <c r="E29" s="8" t="n">
        <v>1.26</v>
      </c>
      <c r="F29" s="8" t="n">
        <v>3758.059095946274</v>
      </c>
      <c r="G29" s="8" t="n">
        <v>5.505182131598056</v>
      </c>
      <c r="H29" s="8" t="n">
        <v>2.375</v>
      </c>
      <c r="I29" s="8" t="n">
        <v>2.380438962924156</v>
      </c>
      <c r="J29" s="8" t="n">
        <v>10823.21019632527</v>
      </c>
      <c r="K29" s="8" t="n">
        <v>5.653542536944871</v>
      </c>
    </row>
    <row r="30">
      <c r="B30" s="8" t="n">
        <v>859200</v>
      </c>
      <c r="C30" s="8" t="n">
        <v>13.75686441669752</v>
      </c>
      <c r="D30" s="8" t="n">
        <v>2.88</v>
      </c>
      <c r="E30" s="8" t="n">
        <v>1.26</v>
      </c>
      <c r="F30" s="8" t="n">
        <v>4976.898435756861</v>
      </c>
      <c r="G30" s="8" t="n">
        <v>6.855132456003162</v>
      </c>
      <c r="H30" s="8" t="n">
        <v>2.375</v>
      </c>
      <c r="I30" s="8" t="n">
        <v>2.576353926607062</v>
      </c>
      <c r="J30" s="8" t="n">
        <v>14333.46749497976</v>
      </c>
      <c r="K30" s="8" t="n">
        <v>6.118840575691772</v>
      </c>
    </row>
    <row r="31">
      <c r="B31" s="8" t="n">
        <v>135100</v>
      </c>
      <c r="C31" s="8" t="n">
        <v>2.16959678444956</v>
      </c>
      <c r="D31" s="8" t="n">
        <v>2.88</v>
      </c>
      <c r="E31" s="8" t="n">
        <v>1.26</v>
      </c>
      <c r="F31" s="8" t="n">
        <v>483.755304015666</v>
      </c>
      <c r="G31" s="8" t="n">
        <v>1.083761250083055</v>
      </c>
      <c r="H31" s="8" t="n">
        <v>2.375</v>
      </c>
      <c r="I31" s="8" t="n">
        <v>1.322613128561954</v>
      </c>
      <c r="J31" s="8" t="n">
        <v>1393.215275565118</v>
      </c>
      <c r="K31" s="8" t="n">
        <v>3.141206180334641</v>
      </c>
    </row>
    <row r="32">
      <c r="B32" s="8" t="n">
        <v>309500</v>
      </c>
      <c r="C32" s="8" t="n">
        <v>4.937668814432528</v>
      </c>
      <c r="D32" s="8" t="n">
        <v>2.88</v>
      </c>
      <c r="E32" s="8" t="n">
        <v>1.26</v>
      </c>
      <c r="F32" s="8" t="n">
        <v>1374.777523717911</v>
      </c>
      <c r="G32" s="8" t="n">
        <v>2.464941415113585</v>
      </c>
      <c r="H32" s="8" t="n">
        <v>2.375</v>
      </c>
      <c r="I32" s="8" t="n">
        <v>1.7797599372348</v>
      </c>
      <c r="J32" s="8" t="n">
        <v>3959.359268307583</v>
      </c>
      <c r="K32" s="8" t="n">
        <v>4.22692985093265</v>
      </c>
    </row>
    <row r="33">
      <c r="B33" s="8" t="n">
        <v>216300</v>
      </c>
      <c r="C33" s="8" t="n">
        <v>3.456956616998433</v>
      </c>
      <c r="D33" s="8" t="n">
        <v>2.88</v>
      </c>
      <c r="E33" s="8" t="n">
        <v>1.26</v>
      </c>
      <c r="F33" s="8" t="n">
        <v>875.3287932832277</v>
      </c>
      <c r="G33" s="8" t="n">
        <v>1.734868124328573</v>
      </c>
      <c r="H33" s="8" t="n">
        <v>2.375</v>
      </c>
      <c r="I33" s="8" t="n">
        <v>1.564834846086005</v>
      </c>
      <c r="J33" s="8" t="n">
        <v>2520.946924655696</v>
      </c>
      <c r="K33" s="8" t="n">
        <v>3.716482759454262</v>
      </c>
    </row>
    <row r="34">
      <c r="B34" s="8" t="n">
        <v>211800</v>
      </c>
      <c r="C34" s="8" t="n">
        <v>3.390175053852</v>
      </c>
      <c r="D34" s="8" t="n">
        <v>2.88</v>
      </c>
      <c r="E34" s="8" t="n">
        <v>1.26</v>
      </c>
      <c r="F34" s="8" t="n">
        <v>852.445660511656</v>
      </c>
      <c r="G34" s="8" t="n">
        <v>1.694694915385014</v>
      </c>
      <c r="H34" s="8" t="n">
        <v>2.375</v>
      </c>
      <c r="I34" s="8" t="n">
        <v>1.553853916296102</v>
      </c>
      <c r="J34" s="8" t="n">
        <v>2455.043502273569</v>
      </c>
      <c r="K34" s="8" t="n">
        <v>3.690403051203243</v>
      </c>
    </row>
    <row r="35">
      <c r="B35" s="8" t="n">
        <v>634400</v>
      </c>
      <c r="C35" s="8" t="n">
        <v>10.13827412322193</v>
      </c>
      <c r="D35" s="8" t="n">
        <v>2.88</v>
      </c>
      <c r="E35" s="8" t="n">
        <v>1.26</v>
      </c>
      <c r="F35" s="8" t="n">
        <v>3396.07755592429</v>
      </c>
      <c r="G35" s="8" t="n">
        <v>5.056662397259348</v>
      </c>
      <c r="H35" s="8" t="n">
        <v>2.375</v>
      </c>
      <c r="I35" s="8" t="n">
        <v>2.307560066796924</v>
      </c>
      <c r="J35" s="8" t="n">
        <v>9780.703361061955</v>
      </c>
      <c r="K35" s="8" t="n">
        <v>5.480455158642694</v>
      </c>
    </row>
    <row r="36">
      <c r="B36" s="8" t="n">
        <v>194200</v>
      </c>
      <c r="C36" s="8" t="n">
        <v>3.116902855491305</v>
      </c>
      <c r="D36" s="8" t="n">
        <v>2.88</v>
      </c>
      <c r="E36" s="8" t="n">
        <v>1.26</v>
      </c>
      <c r="F36" s="8" t="n">
        <v>764.1771090125404</v>
      </c>
      <c r="G36" s="8" t="n">
        <v>1.558679802223501</v>
      </c>
      <c r="H36" s="8" t="n">
        <v>2.375</v>
      </c>
      <c r="I36" s="8" t="n">
        <v>1.507419396963395</v>
      </c>
      <c r="J36" s="8" t="n">
        <v>2200.830073956116</v>
      </c>
      <c r="K36" s="8" t="n">
        <v>3.580121067788062</v>
      </c>
    </row>
    <row r="37">
      <c r="B37" s="8" t="n">
        <v>49600</v>
      </c>
      <c r="C37" s="8" t="n">
        <v>0.7946463941165096</v>
      </c>
      <c r="D37" s="8" t="n">
        <v>2.88</v>
      </c>
      <c r="E37" s="8" t="n">
        <v>1.26</v>
      </c>
      <c r="F37" s="8" t="n">
        <v>136.8695730042798</v>
      </c>
      <c r="G37" s="8" t="n">
        <v>0.3968400657136435</v>
      </c>
      <c r="H37" s="8" t="n">
        <v>2.375</v>
      </c>
      <c r="I37" s="8" t="n">
        <v>0.9203706991388744</v>
      </c>
      <c r="J37" s="8" t="n">
        <v>394.1843702523258</v>
      </c>
      <c r="K37" s="8" t="n">
        <v>2.185880410454827</v>
      </c>
    </row>
    <row r="38">
      <c r="B38" s="8" t="n">
        <v>535200</v>
      </c>
      <c r="C38" s="8" t="n">
        <v>8.560739682020166</v>
      </c>
      <c r="D38" s="8" t="n">
        <v>2.88</v>
      </c>
      <c r="E38" s="8" t="n">
        <v>1.26</v>
      </c>
      <c r="F38" s="8" t="n">
        <v>2741.134160987903</v>
      </c>
      <c r="G38" s="8" t="n">
        <v>4.279593619678552</v>
      </c>
      <c r="H38" s="8" t="n">
        <v>2.375</v>
      </c>
      <c r="I38" s="8" t="n">
        <v>2.170883791511053</v>
      </c>
      <c r="J38" s="8" t="n">
        <v>7894.466383645161</v>
      </c>
      <c r="K38" s="8" t="n">
        <v>5.15584900483875</v>
      </c>
    </row>
    <row r="39">
      <c r="B39" s="8" t="n">
        <v>804300</v>
      </c>
      <c r="C39" s="8" t="n">
        <v>12.93039802608486</v>
      </c>
      <c r="D39" s="8" t="n">
        <v>2.88</v>
      </c>
      <c r="E39" s="8" t="n">
        <v>1.26</v>
      </c>
      <c r="F39" s="8" t="n">
        <v>4579.59177356645</v>
      </c>
      <c r="G39" s="8" t="n">
        <v>6.438962563766233</v>
      </c>
      <c r="H39" s="8" t="n">
        <v>2.375</v>
      </c>
      <c r="I39" s="8" t="n">
        <v>2.519369652003683</v>
      </c>
      <c r="J39" s="8" t="n">
        <v>13189.22430787137</v>
      </c>
      <c r="K39" s="8" t="n">
        <v>5.983502923508747</v>
      </c>
    </row>
    <row r="40">
      <c r="B40" s="8" t="n">
        <v>524000</v>
      </c>
      <c r="C40" s="8" t="n">
        <v>8.370657243359696</v>
      </c>
      <c r="D40" s="8" t="n">
        <v>2.88</v>
      </c>
      <c r="E40" s="8" t="n">
        <v>1.26</v>
      </c>
      <c r="F40" s="8" t="n">
        <v>2669.054375663822</v>
      </c>
      <c r="G40" s="8" t="n">
        <v>4.173255728343392</v>
      </c>
      <c r="H40" s="8" t="n">
        <v>2.375</v>
      </c>
      <c r="I40" s="8" t="n">
        <v>2.153357814979716</v>
      </c>
      <c r="J40" s="8" t="n">
        <v>7686.876601911807</v>
      </c>
      <c r="K40" s="8" t="n">
        <v>5.114224810576825</v>
      </c>
    </row>
    <row r="41">
      <c r="B41" s="8" t="n">
        <v>396300</v>
      </c>
      <c r="C41" s="8" t="n">
        <v>6.349988615597325</v>
      </c>
      <c r="D41" s="8" t="n">
        <v>2.88</v>
      </c>
      <c r="E41" s="8" t="n">
        <v>1.26</v>
      </c>
      <c r="F41" s="8" t="n">
        <v>1877.199073277626</v>
      </c>
      <c r="G41" s="8" t="n">
        <v>3.167311871128336</v>
      </c>
      <c r="H41" s="8" t="n">
        <v>2.375</v>
      </c>
      <c r="I41" s="8" t="n">
        <v>1.948951508946839</v>
      </c>
      <c r="J41" s="8" t="n">
        <v>5406.333331039564</v>
      </c>
      <c r="K41" s="8" t="n">
        <v>4.628759833748743</v>
      </c>
    </row>
    <row r="42">
      <c r="B42" s="8" t="n">
        <v>331400</v>
      </c>
      <c r="C42" s="8" t="n">
        <v>5.309096710982686</v>
      </c>
      <c r="D42" s="8" t="n">
        <v>2.88</v>
      </c>
      <c r="E42" s="8" t="n">
        <v>1.26</v>
      </c>
      <c r="F42" s="8" t="n">
        <v>1498.456552422249</v>
      </c>
      <c r="G42" s="8" t="n">
        <v>2.656553990582127</v>
      </c>
      <c r="H42" s="8" t="n">
        <v>2.375</v>
      </c>
      <c r="I42" s="8" t="n">
        <v>1.826974348849069</v>
      </c>
      <c r="J42" s="8" t="n">
        <v>4315.554870976078</v>
      </c>
      <c r="K42" s="8" t="n">
        <v>4.339064078516538</v>
      </c>
    </row>
    <row r="43">
      <c r="B43" s="8" t="n">
        <v>849600</v>
      </c>
      <c r="C43" s="8" t="n">
        <v>13.62606804249526</v>
      </c>
      <c r="D43" s="8" t="n">
        <v>2.88</v>
      </c>
      <c r="E43" s="8" t="n">
        <v>1.26</v>
      </c>
      <c r="F43" s="8" t="n">
        <v>4906.934656490121</v>
      </c>
      <c r="G43" s="8" t="n">
        <v>6.785738575107431</v>
      </c>
      <c r="H43" s="8" t="n">
        <v>2.375</v>
      </c>
      <c r="I43" s="8" t="n">
        <v>2.567484141206128</v>
      </c>
      <c r="J43" s="8" t="n">
        <v>14131.97181069155</v>
      </c>
      <c r="K43" s="8" t="n">
        <v>6.097774835364555</v>
      </c>
    </row>
    <row r="44">
      <c r="B44" s="8" t="n">
        <v>718200</v>
      </c>
      <c r="C44" s="8" t="n">
        <v>11.44127949955322</v>
      </c>
      <c r="D44" s="8" t="n">
        <v>2.88</v>
      </c>
      <c r="E44" s="8" t="n">
        <v>1.26</v>
      </c>
      <c r="F44" s="8" t="n">
        <v>3970.719466410409</v>
      </c>
      <c r="G44" s="8" t="n">
        <v>5.730844091034204</v>
      </c>
      <c r="H44" s="8" t="n">
        <v>2.375</v>
      </c>
      <c r="I44" s="8" t="n">
        <v>2.410512172148401</v>
      </c>
      <c r="J44" s="8" t="n">
        <v>11435.67206326198</v>
      </c>
      <c r="K44" s="8" t="n">
        <v>5.724966408852453</v>
      </c>
    </row>
    <row r="45">
      <c r="B45" s="8" t="n">
        <v>630100</v>
      </c>
      <c r="C45" s="8" t="n">
        <v>10.12754101129699</v>
      </c>
      <c r="D45" s="8" t="n">
        <v>2.88</v>
      </c>
      <c r="E45" s="8" t="n">
        <v>1.26</v>
      </c>
      <c r="F45" s="8" t="n">
        <v>3367.099453872435</v>
      </c>
      <c r="G45" s="8" t="n">
        <v>5.051008989971373</v>
      </c>
      <c r="H45" s="8" t="n">
        <v>2.375</v>
      </c>
      <c r="I45" s="8" t="n">
        <v>2.306677863241737</v>
      </c>
      <c r="J45" s="8" t="n">
        <v>9697.246427152613</v>
      </c>
      <c r="K45" s="8" t="n">
        <v>5.478359925199126</v>
      </c>
    </row>
    <row r="46">
      <c r="B46" s="8" t="n">
        <v>589000</v>
      </c>
      <c r="C46" s="8" t="n">
        <v>9.449681383375585</v>
      </c>
      <c r="D46" s="8" t="n">
        <v>2.88</v>
      </c>
      <c r="E46" s="8" t="n">
        <v>1.26</v>
      </c>
      <c r="F46" s="8" t="n">
        <v>3092.753246331664</v>
      </c>
      <c r="G46" s="8" t="n">
        <v>4.703384476742288</v>
      </c>
      <c r="H46" s="8" t="n">
        <v>2.375</v>
      </c>
      <c r="I46" s="8" t="n">
        <v>2.249705120306871</v>
      </c>
      <c r="J46" s="8" t="n">
        <v>8907.129349435192</v>
      </c>
      <c r="K46" s="8" t="n">
        <v>5.343049660728819</v>
      </c>
    </row>
    <row r="47">
      <c r="B47" s="8" t="n">
        <v>394200</v>
      </c>
      <c r="C47" s="8" t="n">
        <v>6.315811878759225</v>
      </c>
      <c r="D47" s="8" t="n">
        <v>2.88</v>
      </c>
      <c r="E47" s="8" t="n">
        <v>1.26</v>
      </c>
      <c r="F47" s="8" t="n">
        <v>1864.674110900132</v>
      </c>
      <c r="G47" s="8" t="n">
        <v>3.168544820917919</v>
      </c>
      <c r="H47" s="8" t="n">
        <v>2.375</v>
      </c>
      <c r="I47" s="8" t="n">
        <v>1.945158234577187</v>
      </c>
      <c r="J47" s="8" t="n">
        <v>5370.26143939238</v>
      </c>
      <c r="K47" s="8" t="n">
        <v>4.619750807120819</v>
      </c>
    </row>
    <row r="48">
      <c r="B48" s="8" t="n">
        <v>288400</v>
      </c>
      <c r="C48" s="8" t="n">
        <v>4.627021223754761</v>
      </c>
      <c r="D48" s="8" t="n">
        <v>2.88</v>
      </c>
      <c r="E48" s="8" t="n">
        <v>1.26</v>
      </c>
      <c r="F48" s="8" t="n">
        <v>1257.74912139423</v>
      </c>
      <c r="G48" s="8" t="n">
        <v>2.303260069743147</v>
      </c>
      <c r="H48" s="8" t="n">
        <v>2.375</v>
      </c>
      <c r="I48" s="8" t="n">
        <v>1.738496571155211</v>
      </c>
      <c r="J48" s="8" t="n">
        <v>3622.317469615383</v>
      </c>
      <c r="K48" s="8" t="n">
        <v>4.128929356493625</v>
      </c>
    </row>
    <row r="49">
      <c r="B49" s="8" t="n">
        <v>194300</v>
      </c>
      <c r="C49" s="8" t="n">
        <v>3.105073055920869</v>
      </c>
      <c r="D49" s="8" t="n">
        <v>2.88</v>
      </c>
      <c r="E49" s="8" t="n">
        <v>1.26</v>
      </c>
      <c r="F49" s="8" t="n">
        <v>764.6729522692243</v>
      </c>
      <c r="G49" s="8" t="n">
        <v>1.551409055821848</v>
      </c>
      <c r="H49" s="8" t="n">
        <v>2.375</v>
      </c>
      <c r="I49" s="8" t="n">
        <v>1.505351528881615</v>
      </c>
      <c r="J49" s="8" t="n">
        <v>2202.258102535366</v>
      </c>
      <c r="K49" s="8" t="n">
        <v>3.575209881093836</v>
      </c>
    </row>
    <row r="50">
      <c r="B50" s="8" t="n">
        <v>228900</v>
      </c>
      <c r="C50" s="8" t="n">
        <v>3.645173416960235</v>
      </c>
      <c r="D50" s="8" t="n">
        <v>2.88</v>
      </c>
      <c r="E50" s="8" t="n">
        <v>1.26</v>
      </c>
      <c r="F50" s="8" t="n">
        <v>940.055941726015</v>
      </c>
      <c r="G50" s="8" t="n">
        <v>1.823350432855238</v>
      </c>
      <c r="H50" s="8" t="n">
        <v>2.375</v>
      </c>
      <c r="I50" s="8" t="n">
        <v>1.595071914530617</v>
      </c>
      <c r="J50" s="8" t="n">
        <v>2707.361112170923</v>
      </c>
      <c r="K50" s="8" t="n">
        <v>3.788295797010216</v>
      </c>
    </row>
    <row r="51">
      <c r="B51" s="8" t="n">
        <v>487000</v>
      </c>
      <c r="C51" s="8" t="n">
        <v>7.82383979489939</v>
      </c>
      <c r="D51" s="8" t="n">
        <v>2.88</v>
      </c>
      <c r="E51" s="8" t="n">
        <v>1.26</v>
      </c>
      <c r="F51" s="8" t="n">
        <v>2433.80899091521</v>
      </c>
      <c r="G51" s="8" t="n">
        <v>3.890353431738475</v>
      </c>
      <c r="H51" s="8" t="n">
        <v>2.375</v>
      </c>
      <c r="I51" s="8" t="n">
        <v>2.101476808607102</v>
      </c>
      <c r="J51" s="8" t="n">
        <v>7009.369893835803</v>
      </c>
      <c r="K51" s="8" t="n">
        <v>4.991007420441868</v>
      </c>
    </row>
    <row r="52">
      <c r="A52" s="9" t="inlineStr">
        <is>
          <t>AVERAGE</t>
        </is>
      </c>
      <c r="B52" s="8" t="n">
        <v>519064</v>
      </c>
      <c r="C52" s="8" t="n">
        <v>8.309325978755798</v>
      </c>
      <c r="D52" s="8" t="n">
        <v>2.879999999999999</v>
      </c>
      <c r="E52" s="8" t="n">
        <v>1.26</v>
      </c>
      <c r="F52" s="8" t="n">
        <v>2749.453818060011</v>
      </c>
      <c r="G52" s="8" t="n">
        <v>4.147890746165652</v>
      </c>
      <c r="H52" s="8" t="n">
        <v>2.375</v>
      </c>
      <c r="I52" s="8" t="n">
        <v>2.068442225722392</v>
      </c>
      <c r="J52" s="8" t="n">
        <v>7918.426996012829</v>
      </c>
      <c r="K52" s="8" t="n">
        <v>4.912550286090681</v>
      </c>
    </row>
    <row r="53">
      <c r="A53" s="9" t="inlineStr">
        <is>
          <t>Variance</t>
        </is>
      </c>
      <c r="C53" s="8" t="n">
        <v>16.49713522735752</v>
      </c>
      <c r="D53" s="8" t="n">
        <v>1.97215226305253e-31</v>
      </c>
      <c r="E53" s="8" t="n">
        <v>4.930380657631324e-32</v>
      </c>
      <c r="G53" s="8" t="n">
        <v>4.10193258542996</v>
      </c>
      <c r="H53" s="8" t="n">
        <v>0</v>
      </c>
      <c r="I53" s="8" t="n">
        <v>0.2001674002642365</v>
      </c>
      <c r="K53" s="8" t="n">
        <v>1.129069242115459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2025-02-24T03:10:30Z</dcterms:created>
  <dcterms:modified xsi:type="dcterms:W3CDTF">2025-02-24T03:10:32Z</dcterms:modified>
</cp:coreProperties>
</file>