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63900" windowWidth="14805" windowHeight="7335"/>
  </bookViews>
  <sheets>
    <sheet name="Setting" sheetId="8" r:id="rId1"/>
    <sheet name="Reach Propertise" sheetId="1" r:id="rId2"/>
    <sheet name="Initial Concentration" sheetId="10" r:id="rId3"/>
    <sheet name="Loading" sheetId="3" r:id="rId4"/>
    <sheet name="hidden tab" sheetId="11" r:id="rId5"/>
    <sheet name="LDC" sheetId="12" r:id="rId6"/>
    <sheet name="چاتا" sheetId="14" state="hidden" r:id="rId7"/>
    <sheet name="ماکیناو" sheetId="15" state="hidden" r:id="rId8"/>
    <sheet name="سورن سفارش نوری" sheetId="13" state="hidden" r:id="rId9"/>
  </sheets>
  <definedNames>
    <definedName name="_ftn1" localSheetId="4">'hidden tab'!$P$24</definedName>
    <definedName name="Delta_T__seconds">Setting!$B$10</definedName>
    <definedName name="Delta_X">Setting!$H$10:$H$17</definedName>
    <definedName name="Delta_X__meters">Setting!$B$9</definedName>
    <definedName name="Delta_XX">Setting!$H$10:$H$17</definedName>
    <definedName name="deltaX">Setting!$G$7:$G$15</definedName>
    <definedName name="Longitudinal_Disspersion_Coefficient">#REF!</definedName>
  </definedNames>
  <calcPr calcId="162913"/>
</workbook>
</file>

<file path=xl/calcChain.xml><?xml version="1.0" encoding="utf-8"?>
<calcChain xmlns="http://schemas.openxmlformats.org/spreadsheetml/2006/main">
  <c r="D2" i="3" l="1"/>
  <c r="A2" i="3"/>
  <c r="W17" i="12" l="1"/>
  <c r="O22" i="12" l="1"/>
  <c r="O15" i="12"/>
  <c r="O16" i="12"/>
  <c r="O17" i="12"/>
  <c r="O18" i="12"/>
  <c r="O19" i="12"/>
  <c r="O20" i="12"/>
  <c r="O14" i="12"/>
  <c r="P22" i="12"/>
  <c r="P15" i="12"/>
  <c r="P16" i="12"/>
  <c r="P17" i="12"/>
  <c r="P18" i="12"/>
  <c r="P19" i="12"/>
  <c r="P20" i="12"/>
  <c r="P14" i="12"/>
  <c r="B3" i="8" l="1"/>
  <c r="B4" i="1" l="1"/>
  <c r="B5" i="1"/>
  <c r="B6" i="1"/>
  <c r="B7" i="1"/>
  <c r="B8" i="1"/>
  <c r="B3" i="1"/>
  <c r="AP2" i="1" l="1"/>
  <c r="AP3" i="1"/>
  <c r="AP4" i="1"/>
  <c r="AP5" i="1"/>
  <c r="AP6" i="1"/>
  <c r="AP7" i="1"/>
  <c r="AP8" i="1"/>
  <c r="AO2" i="1" l="1"/>
  <c r="AO3" i="1"/>
  <c r="AO4" i="1"/>
  <c r="AO5" i="1"/>
  <c r="AO6" i="1"/>
  <c r="AO7" i="1"/>
  <c r="AO8" i="1"/>
  <c r="B2" i="8" l="1"/>
  <c r="Z2" i="1"/>
  <c r="S3" i="1"/>
  <c r="S4" i="1"/>
  <c r="S5" i="1"/>
  <c r="S6" i="1"/>
  <c r="S7" i="1"/>
  <c r="S8" i="1"/>
  <c r="Z4" i="1"/>
  <c r="R4" i="1" s="1"/>
  <c r="Z5" i="1"/>
  <c r="R5" i="1" s="1"/>
  <c r="Z6" i="1"/>
  <c r="R6" i="1" s="1"/>
  <c r="Z7" i="1"/>
  <c r="R7" i="1" s="1"/>
  <c r="Z8" i="1"/>
  <c r="R8" i="1" s="1"/>
  <c r="Z3" i="1"/>
  <c r="R3" i="1" s="1"/>
  <c r="AD5" i="1" l="1"/>
  <c r="AD6" i="1"/>
  <c r="Q4" i="1"/>
  <c r="Q5" i="1"/>
  <c r="Q6" i="1"/>
  <c r="Q7" i="1"/>
  <c r="Q8" i="1"/>
  <c r="W4" i="1"/>
  <c r="W5" i="1"/>
  <c r="W6" i="1"/>
  <c r="W7" i="1"/>
  <c r="W8" i="1"/>
  <c r="AA4" i="1"/>
  <c r="AA5" i="1"/>
  <c r="AA6" i="1"/>
  <c r="AA7" i="1"/>
  <c r="AA8" i="1"/>
  <c r="AC4" i="1"/>
  <c r="AC5" i="1"/>
  <c r="AC6" i="1"/>
  <c r="AC7" i="1"/>
  <c r="AC8" i="1"/>
  <c r="AD7" i="1"/>
  <c r="AD8" i="1"/>
  <c r="AE4" i="1"/>
  <c r="AB4" i="1" s="1"/>
  <c r="AE5" i="1"/>
  <c r="AB5" i="1" s="1"/>
  <c r="AE6" i="1"/>
  <c r="AB6" i="1" s="1"/>
  <c r="AE7" i="1"/>
  <c r="AB7" i="1" s="1"/>
  <c r="AE8" i="1"/>
  <c r="AB8" i="1" s="1"/>
  <c r="AI4" i="1"/>
  <c r="AI5" i="1"/>
  <c r="AI6" i="1"/>
  <c r="AI7" i="1"/>
  <c r="AI8" i="1"/>
  <c r="AJ4" i="1"/>
  <c r="AJ5" i="1"/>
  <c r="AJ6" i="1"/>
  <c r="AJ7" i="1"/>
  <c r="AJ8" i="1"/>
  <c r="AM4" i="1"/>
  <c r="AK4" i="1" s="1"/>
  <c r="AM5" i="1"/>
  <c r="AK5" i="1" s="1"/>
  <c r="AM6" i="1"/>
  <c r="AK6" i="1" s="1"/>
  <c r="AM7" i="1"/>
  <c r="AK7" i="1" s="1"/>
  <c r="AM8" i="1"/>
  <c r="AK8" i="1" s="1"/>
  <c r="AD4" i="1" l="1"/>
  <c r="AF8" i="1"/>
  <c r="AH8" i="1"/>
  <c r="AG8" i="1"/>
  <c r="AF4" i="1"/>
  <c r="AH4" i="1"/>
  <c r="AG4" i="1"/>
  <c r="AG7" i="1"/>
  <c r="AF7" i="1"/>
  <c r="AH7" i="1"/>
  <c r="Y7" i="1" l="1"/>
  <c r="AH5" i="1"/>
  <c r="AG5" i="1"/>
  <c r="AF5" i="1"/>
  <c r="AH6" i="1"/>
  <c r="AF6" i="1"/>
  <c r="AG6" i="1"/>
  <c r="Y4" i="1"/>
  <c r="Y8" i="1"/>
  <c r="Y5" i="1" l="1"/>
  <c r="Y6" i="1"/>
  <c r="W3" i="1"/>
  <c r="AA3" i="1"/>
  <c r="AC3" i="1"/>
  <c r="AD3" i="1"/>
  <c r="AE3" i="1"/>
  <c r="AB3" i="1" s="1"/>
  <c r="AI3" i="1"/>
  <c r="AJ3" i="1"/>
  <c r="AM3" i="1"/>
  <c r="AK3" i="1" s="1"/>
  <c r="S2" i="1" l="1"/>
  <c r="AA2" i="1" l="1"/>
  <c r="Q3" i="1" l="1"/>
  <c r="AF3" i="1" l="1"/>
  <c r="AG3" i="1"/>
  <c r="AH3" i="1"/>
  <c r="Y3" i="1" l="1"/>
  <c r="AD2" i="1"/>
  <c r="AC2" i="1"/>
  <c r="Q2" i="1" l="1"/>
  <c r="W2" i="1" l="1"/>
  <c r="AI2" i="1" l="1"/>
  <c r="AJ2" i="1"/>
  <c r="R2" i="1" l="1"/>
  <c r="AM2" i="1" l="1"/>
  <c r="AK2" i="1" s="1"/>
  <c r="AE2" i="1" l="1"/>
  <c r="AB2" i="1" s="1"/>
  <c r="AF2" i="1" l="1"/>
  <c r="AH2" i="1"/>
  <c r="B6" i="8"/>
  <c r="AG2" i="1" l="1"/>
  <c r="Y2" i="1" s="1"/>
</calcChain>
</file>

<file path=xl/comments1.xml><?xml version="1.0" encoding="utf-8"?>
<comments xmlns="http://schemas.openxmlformats.org/spreadsheetml/2006/main">
  <authors>
    <author>Author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برای تطبیق دادن با مشاهده‌ای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دلخواه است. بدون اعشار باشد و شرط پایداری را رعایت بکند.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اگر دبی تخلیه فاضلاب قابل صرف نظر نیست آن را در شیت مشخصات شاخه منظور فرمایید
</t>
        </r>
      </text>
    </comment>
  </commentList>
</comments>
</file>

<file path=xl/sharedStrings.xml><?xml version="1.0" encoding="utf-8"?>
<sst xmlns="http://schemas.openxmlformats.org/spreadsheetml/2006/main" count="207" uniqueCount="121">
  <si>
    <t>Project Name</t>
  </si>
  <si>
    <t>Date</t>
  </si>
  <si>
    <t>Author's name</t>
  </si>
  <si>
    <t>Company</t>
  </si>
  <si>
    <t>path of this file</t>
  </si>
  <si>
    <t>Mostafa Ramezani</t>
  </si>
  <si>
    <t>University of Tehran</t>
  </si>
  <si>
    <t xml:space="preserve">Choose LDC </t>
  </si>
  <si>
    <t>none (if you want study on a not dispersive model)</t>
  </si>
  <si>
    <t>Initial Concentration [mgr/Lit]</t>
  </si>
  <si>
    <t>Reach Length [meters]</t>
  </si>
  <si>
    <t>Q [m3/sec]</t>
  </si>
  <si>
    <t>width [meters]</t>
  </si>
  <si>
    <t>depth [meters]</t>
  </si>
  <si>
    <t>longitudinal slope</t>
  </si>
  <si>
    <t>ɳ</t>
  </si>
  <si>
    <t>decay coefficient   [sec-1]</t>
  </si>
  <si>
    <t>disscharged mass [grams]</t>
  </si>
  <si>
    <t>Report Steps of Time [seconds]</t>
  </si>
  <si>
    <t>END point of Loading [m]</t>
  </si>
  <si>
    <t>Don’t Change</t>
  </si>
  <si>
    <t>D Reach ID</t>
  </si>
  <si>
    <t>End Point of Reach [km]</t>
  </si>
  <si>
    <t>Decay Coef</t>
  </si>
  <si>
    <t>T Start  [seconds]</t>
  </si>
  <si>
    <t>T END  [SECONDS]</t>
  </si>
  <si>
    <t>Initial Concentration [gr/m3]</t>
  </si>
  <si>
    <t>Start Location [meters]</t>
  </si>
  <si>
    <t>End Location [meters]</t>
  </si>
  <si>
    <t>Discharged @ [meters]</t>
  </si>
  <si>
    <t>Delta X [meters]</t>
  </si>
  <si>
    <t>Delta T [seconds]</t>
  </si>
  <si>
    <t>calculated time [hours]</t>
  </si>
  <si>
    <t>disscharged flow and concentration (W = Q * C)  [Grams/seconds/DeltaX]</t>
  </si>
  <si>
    <t>Ref</t>
  </si>
  <si>
    <t>river side slope</t>
  </si>
  <si>
    <t>Q average</t>
  </si>
  <si>
    <t>Tt</t>
  </si>
  <si>
    <t>Tp</t>
  </si>
  <si>
    <t>Ti</t>
  </si>
  <si>
    <t>Name</t>
  </si>
  <si>
    <t>Inj Mass</t>
  </si>
  <si>
    <t>R ratio</t>
  </si>
  <si>
    <t>Cup</t>
  </si>
  <si>
    <t>Calculated Velocity [meters/sec]</t>
  </si>
  <si>
    <t>Error in Calc time Vs Obs Time</t>
  </si>
  <si>
    <t>Observed Velocity [meters / seconds]</t>
  </si>
  <si>
    <t>Delta T</t>
  </si>
  <si>
    <t>End Point distance  [meters]</t>
  </si>
  <si>
    <t>Start point distance [meters]</t>
  </si>
  <si>
    <t>Drainage Area [km2]</t>
  </si>
  <si>
    <t>Error Ti</t>
  </si>
  <si>
    <t>Error Tp</t>
  </si>
  <si>
    <t>Error Tt</t>
  </si>
  <si>
    <t>Column1</t>
  </si>
  <si>
    <t>Alpha</t>
  </si>
  <si>
    <t>Vi</t>
  </si>
  <si>
    <t>delta Tp</t>
  </si>
  <si>
    <t>Column2</t>
  </si>
  <si>
    <t>Column3</t>
  </si>
  <si>
    <t>Elder 1959</t>
  </si>
  <si>
    <t>Fischer 1975</t>
  </si>
  <si>
    <t>Seo &amp; Cheong 1998</t>
  </si>
  <si>
    <t>Deng 2001</t>
  </si>
  <si>
    <t>Kashefipour &amp; Falconer 2002</t>
  </si>
  <si>
    <t>Rajeev and Dutta 2009</t>
  </si>
  <si>
    <t>Iwasa and Aya 1991</t>
  </si>
  <si>
    <t>EtemadShahidi &amp; Taghipour 2009</t>
  </si>
  <si>
    <t>Zeng and Huai 2014</t>
  </si>
  <si>
    <t>Discharged @ [seconds]</t>
  </si>
  <si>
    <t>T End</t>
  </si>
  <si>
    <t>START point of Loading [m]</t>
  </si>
  <si>
    <t>Time Cell</t>
  </si>
  <si>
    <t>End Spatial Cell</t>
  </si>
  <si>
    <t>Start Spatial Cell</t>
  </si>
  <si>
    <t>Observed</t>
  </si>
  <si>
    <t>Un-Modified (diss_t = 20 sec)</t>
  </si>
  <si>
    <t>Un-Modified (diss_t = 0.1 sec)</t>
  </si>
  <si>
    <t>Un-Modified (diss_t = Δt)</t>
  </si>
  <si>
    <t>Modified: Impulse Simulating Method</t>
  </si>
  <si>
    <t>Kilometers</t>
  </si>
  <si>
    <t>Column4</t>
  </si>
  <si>
    <t>Reach Time (seconds)</t>
  </si>
  <si>
    <t>Distance (meters)</t>
  </si>
  <si>
    <t>Concentration (ppm)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</si>
  <si>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</si>
  <si>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</si>
  <si>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</si>
  <si>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</si>
  <si>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</si>
  <si>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</si>
  <si>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</si>
  <si>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</si>
  <si>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</si>
  <si>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</si>
  <si>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</si>
  <si>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</si>
  <si>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</si>
  <si>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</si>
  <si>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</si>
  <si>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</si>
  <si>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</si>
  <si>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</si>
  <si>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Li et al. 2 (1998)</t>
  </si>
  <si>
    <t>None Dispersive Model</t>
  </si>
  <si>
    <t>Choose From References</t>
  </si>
  <si>
    <t>X cells for evaluation and comparison with obsered</t>
  </si>
  <si>
    <t>Observed Concentration [ppm] using formula2</t>
  </si>
  <si>
    <t>Only Observed Concentration (if you had losses and want to use formula look @ AP column) PPM</t>
  </si>
  <si>
    <t>Li et al. (1998) [1]</t>
  </si>
  <si>
    <t>St1 @ 16 (km)</t>
  </si>
  <si>
    <t>St2 @ 27.9 (km)</t>
  </si>
  <si>
    <t>St3 @ 36.5 (km)</t>
  </si>
  <si>
    <t>St4 @ 49.6 (km)</t>
  </si>
  <si>
    <t>St5 @ 57.1 (km)</t>
  </si>
  <si>
    <t>St6 @ 60.5 (km)</t>
  </si>
  <si>
    <t>St7 @ 76.6 (km)</t>
  </si>
  <si>
    <t>ov</t>
  </si>
  <si>
    <t>ldc</t>
  </si>
  <si>
    <t>dX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</si>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</sst>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ndara"/>
      <family val="2"/>
    </font>
    <font>
      <sz val="11"/>
      <color theme="0"/>
      <name val="Consolas"/>
      <family val="3"/>
    </font>
    <font>
      <sz val="11"/>
      <color theme="1"/>
      <name val="Ubuntu Condens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onsolas"/>
      <family val="3"/>
    </font>
    <font>
      <b/>
      <sz val="11"/>
      <color theme="1" tint="4.9989318521683403E-2"/>
      <name val="Consolas"/>
      <family val="3"/>
    </font>
    <font>
      <sz val="11"/>
      <color theme="1" tint="4.9989318521683403E-2"/>
      <name val="Consolas"/>
      <family val="3"/>
    </font>
    <font>
      <b/>
      <sz val="11"/>
      <color rgb="FFFF0000"/>
      <name val="Consolas"/>
      <family val="3"/>
    </font>
    <font>
      <sz val="10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1"/>
      <color rgb="FF000000"/>
      <name val="Consolas"/>
      <family val="3"/>
    </font>
    <font>
      <sz val="10"/>
      <color theme="1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sz val="12"/>
      <color rgb="FFFF0000"/>
      <name val="Courier New"/>
      <family val="3"/>
    </font>
    <font>
      <sz val="11"/>
      <color theme="1"/>
      <name val="Monaco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rgb="FFB2B2B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9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32" borderId="7" xfId="37" applyFont="1" applyAlignment="1">
      <alignment horizontal="right"/>
    </xf>
    <xf numFmtId="0" fontId="19" fillId="33" borderId="0" xfId="0" applyFont="1" applyFill="1" applyAlignment="1">
      <alignment horizontal="right"/>
    </xf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6" borderId="0" xfId="0" applyFont="1" applyFill="1"/>
    <xf numFmtId="0" fontId="19" fillId="36" borderId="0" xfId="0" applyFont="1" applyFill="1" applyAlignment="1">
      <alignment horizontal="right"/>
    </xf>
    <xf numFmtId="0" fontId="17" fillId="0" borderId="0" xfId="0" applyFont="1"/>
    <xf numFmtId="0" fontId="17" fillId="34" borderId="0" xfId="0" applyFont="1" applyFill="1" applyProtection="1">
      <protection hidden="1"/>
    </xf>
    <xf numFmtId="0" fontId="17" fillId="0" borderId="0" xfId="0" applyFont="1" applyProtection="1">
      <protection hidden="1"/>
    </xf>
    <xf numFmtId="0" fontId="18" fillId="32" borderId="7" xfId="37" applyFont="1"/>
    <xf numFmtId="0" fontId="26" fillId="36" borderId="0" xfId="0" applyFont="1" applyFill="1"/>
    <xf numFmtId="0" fontId="0" fillId="0" borderId="0" xfId="0" applyAlignment="1">
      <alignment wrapText="1"/>
    </xf>
    <xf numFmtId="0" fontId="23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/>
    <xf numFmtId="0" fontId="30" fillId="0" borderId="1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17" fillId="34" borderId="0" xfId="0" applyFont="1" applyFill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7" fillId="0" borderId="0" xfId="0" applyFont="1" applyAlignment="1">
      <alignment wrapText="1"/>
    </xf>
    <xf numFmtId="0" fontId="18" fillId="38" borderId="10" xfId="0" applyFont="1" applyFill="1" applyBorder="1" applyAlignment="1">
      <alignment horizontal="center"/>
    </xf>
    <xf numFmtId="0" fontId="18" fillId="38" borderId="17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32" fillId="0" borderId="18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21" xfId="0" applyFont="1" applyBorder="1" applyAlignment="1">
      <alignment vertical="center" wrapText="1"/>
    </xf>
    <xf numFmtId="0" fontId="35" fillId="0" borderId="22" xfId="0" applyFont="1" applyBorder="1" applyAlignment="1">
      <alignment vertical="center"/>
    </xf>
    <xf numFmtId="0" fontId="35" fillId="0" borderId="22" xfId="0" applyFont="1" applyBorder="1" applyAlignment="1">
      <alignment vertical="center" wrapText="1"/>
    </xf>
    <xf numFmtId="0" fontId="18" fillId="33" borderId="0" xfId="0" applyFont="1" applyFill="1" applyAlignment="1">
      <alignment horizontal="left"/>
    </xf>
    <xf numFmtId="0" fontId="20" fillId="32" borderId="7" xfId="37" applyFont="1" applyAlignment="1">
      <alignment horizontal="left"/>
    </xf>
    <xf numFmtId="0" fontId="20" fillId="32" borderId="7" xfId="37" applyFont="1" applyAlignment="1" applyProtection="1">
      <alignment horizontal="left"/>
    </xf>
    <xf numFmtId="0" fontId="18" fillId="36" borderId="0" xfId="0" applyFont="1" applyFill="1" applyAlignment="1">
      <alignment horizontal="left"/>
    </xf>
    <xf numFmtId="0" fontId="18" fillId="32" borderId="7" xfId="37" applyFont="1" applyAlignment="1">
      <alignment horizontal="left"/>
    </xf>
    <xf numFmtId="49" fontId="18" fillId="32" borderId="7" xfId="37" applyNumberFormat="1" applyFont="1" applyAlignment="1" applyProtection="1">
      <alignment horizontal="left"/>
      <protection locked="0"/>
    </xf>
    <xf numFmtId="11" fontId="18" fillId="32" borderId="7" xfId="37" applyNumberFormat="1" applyFont="1" applyAlignment="1">
      <alignment horizontal="left"/>
    </xf>
    <xf numFmtId="11" fontId="18" fillId="36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32" borderId="7" xfId="37" applyFont="1"/>
    <xf numFmtId="0" fontId="11" fillId="30" borderId="1" xfId="34" applyAlignment="1">
      <alignment wrapText="1"/>
    </xf>
    <xf numFmtId="0" fontId="1" fillId="11" borderId="0" xfId="10" applyAlignment="1">
      <alignment horizontal="center" vertical="center" wrapText="1"/>
    </xf>
    <xf numFmtId="0" fontId="0" fillId="32" borderId="7" xfId="37" applyFont="1" applyAlignment="1">
      <alignment horizontal="center" vertical="center"/>
    </xf>
    <xf numFmtId="11" fontId="0" fillId="32" borderId="7" xfId="37" applyNumberFormat="1" applyFont="1" applyAlignment="1">
      <alignment horizontal="center" vertical="center"/>
    </xf>
    <xf numFmtId="0" fontId="18" fillId="0" borderId="7" xfId="37" applyFont="1" applyFill="1"/>
    <xf numFmtId="0" fontId="29" fillId="0" borderId="7" xfId="37" applyFont="1" applyFill="1"/>
    <xf numFmtId="0" fontId="18" fillId="0" borderId="7" xfId="37" applyFont="1" applyFill="1" applyAlignment="1">
      <alignment horizontal="center"/>
    </xf>
    <xf numFmtId="164" fontId="20" fillId="32" borderId="7" xfId="37" applyNumberFormat="1" applyFont="1" applyAlignment="1">
      <alignment horizontal="left"/>
    </xf>
    <xf numFmtId="0" fontId="37" fillId="0" borderId="19" xfId="0" applyFont="1" applyBorder="1" applyAlignment="1">
      <alignment horizontal="right" vertical="center"/>
    </xf>
    <xf numFmtId="0" fontId="36" fillId="0" borderId="21" xfId="43" applyBorder="1" applyAlignment="1">
      <alignment horizontal="right" vertical="center"/>
    </xf>
    <xf numFmtId="0" fontId="38" fillId="0" borderId="2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6" fillId="0" borderId="0" xfId="43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1" fontId="18" fillId="32" borderId="7" xfId="37" applyNumberFormat="1" applyFont="1" applyAlignment="1">
      <alignment horizontal="left"/>
    </xf>
    <xf numFmtId="0" fontId="39" fillId="0" borderId="25" xfId="0" applyFont="1" applyFill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/>
    </xf>
    <xf numFmtId="0" fontId="39" fillId="0" borderId="25" xfId="0" applyFont="1" applyBorder="1" applyAlignment="1">
      <alignment vertical="center"/>
    </xf>
    <xf numFmtId="0" fontId="39" fillId="0" borderId="25" xfId="0" applyFont="1" applyBorder="1" applyAlignment="1">
      <alignment vertical="center" wrapText="1"/>
    </xf>
    <xf numFmtId="0" fontId="39" fillId="39" borderId="25" xfId="0" applyFont="1" applyFill="1" applyBorder="1" applyAlignment="1">
      <alignment vertical="center"/>
    </xf>
    <xf numFmtId="0" fontId="39" fillId="0" borderId="25" xfId="37" applyFont="1" applyFill="1" applyBorder="1"/>
    <xf numFmtId="0" fontId="39" fillId="0" borderId="25" xfId="0" applyFont="1" applyFill="1" applyBorder="1"/>
    <xf numFmtId="0" fontId="40" fillId="0" borderId="25" xfId="0" applyNumberFormat="1" applyFont="1" applyFill="1" applyBorder="1" applyAlignment="1">
      <alignment horizontal="center" vertical="center"/>
    </xf>
    <xf numFmtId="0" fontId="39" fillId="0" borderId="25" xfId="37" applyFont="1" applyFill="1" applyBorder="1" applyAlignment="1">
      <alignment horizontal="center" vertical="center"/>
    </xf>
    <xf numFmtId="9" fontId="39" fillId="0" borderId="25" xfId="42" applyNumberFormat="1" applyFont="1" applyFill="1" applyBorder="1" applyAlignment="1">
      <alignment horizontal="center" vertical="center"/>
    </xf>
    <xf numFmtId="0" fontId="41" fillId="0" borderId="25" xfId="37" applyFont="1" applyFill="1" applyBorder="1" applyAlignment="1">
      <alignment horizontal="center" vertical="center"/>
    </xf>
    <xf numFmtId="0" fontId="39" fillId="0" borderId="25" xfId="42" applyNumberFormat="1" applyFont="1" applyFill="1" applyBorder="1" applyAlignment="1">
      <alignment horizontal="center" vertical="center"/>
    </xf>
    <xf numFmtId="0" fontId="39" fillId="39" borderId="25" xfId="37" applyFont="1" applyFill="1" applyBorder="1" applyAlignment="1">
      <alignment horizontal="center" vertical="center"/>
    </xf>
    <xf numFmtId="0" fontId="39" fillId="0" borderId="25" xfId="0" applyFont="1" applyFill="1" applyBorder="1" applyAlignment="1">
      <alignment horizontal="center" vertical="center"/>
    </xf>
    <xf numFmtId="0" fontId="40" fillId="0" borderId="25" xfId="37" applyNumberFormat="1" applyFont="1" applyFill="1" applyBorder="1" applyAlignment="1">
      <alignment horizontal="center" vertical="center"/>
    </xf>
    <xf numFmtId="0" fontId="39" fillId="0" borderId="25" xfId="37" applyNumberFormat="1" applyFont="1" applyFill="1" applyBorder="1" applyAlignment="1">
      <alignment horizontal="center" vertical="center"/>
    </xf>
    <xf numFmtId="0" fontId="41" fillId="0" borderId="25" xfId="37" applyNumberFormat="1" applyFont="1" applyFill="1" applyBorder="1" applyAlignment="1">
      <alignment horizontal="center" vertical="center"/>
    </xf>
    <xf numFmtId="0" fontId="27" fillId="35" borderId="25" xfId="37" applyFont="1" applyFill="1" applyBorder="1" applyAlignment="1">
      <alignment horizontal="left" vertical="top" wrapText="1"/>
    </xf>
    <xf numFmtId="0" fontId="29" fillId="39" borderId="25" xfId="37" applyFont="1" applyFill="1" applyBorder="1" applyAlignment="1">
      <alignment vertical="top" wrapText="1"/>
    </xf>
    <xf numFmtId="9" fontId="27" fillId="35" borderId="25" xfId="42" applyNumberFormat="1" applyFont="1" applyFill="1" applyBorder="1" applyAlignment="1">
      <alignment horizontal="left" vertical="top" wrapText="1"/>
    </xf>
    <xf numFmtId="0" fontId="29" fillId="37" borderId="25" xfId="37" applyFont="1" applyFill="1" applyBorder="1" applyAlignment="1">
      <alignment vertical="top" wrapText="1"/>
    </xf>
    <xf numFmtId="0" fontId="27" fillId="35" borderId="25" xfId="37" applyFont="1" applyFill="1" applyBorder="1" applyAlignment="1">
      <alignment vertical="top" wrapText="1"/>
    </xf>
    <xf numFmtId="0" fontId="27" fillId="39" borderId="25" xfId="37" applyFont="1" applyFill="1" applyBorder="1" applyAlignment="1">
      <alignment vertical="top" wrapText="1"/>
    </xf>
    <xf numFmtId="0" fontId="28" fillId="35" borderId="25" xfId="37" applyFont="1" applyFill="1" applyBorder="1" applyAlignment="1">
      <alignment vertical="top" wrapText="1"/>
    </xf>
    <xf numFmtId="0" fontId="42" fillId="0" borderId="0" xfId="0" applyFont="1"/>
    <xf numFmtId="0" fontId="42" fillId="0" borderId="0" xfId="0" applyFont="1" applyAlignment="1">
      <alignment vertical="center"/>
    </xf>
    <xf numFmtId="0" fontId="34" fillId="0" borderId="2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B2B2B2"/>
        </right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scheme val="none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colors>
    <mruColors>
      <color rgb="FFFBB39D"/>
      <color rgb="FFCC99FF"/>
      <color rgb="FFC9ED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چاتا!$F$29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چاتا!$G$29:$M$29</c:f>
              <c:numCache>
                <c:formatCode>General</c:formatCode>
                <c:ptCount val="7"/>
                <c:pt idx="0">
                  <c:v>1.146E-2</c:v>
                </c:pt>
                <c:pt idx="1">
                  <c:v>8.4089999999999998E-3</c:v>
                </c:pt>
                <c:pt idx="2">
                  <c:v>7.2880000000000002E-3</c:v>
                </c:pt>
                <c:pt idx="3">
                  <c:v>5.7679999999999997E-3</c:v>
                </c:pt>
                <c:pt idx="4">
                  <c:v>4.3639999999999998E-3</c:v>
                </c:pt>
                <c:pt idx="5">
                  <c:v>3.885E-3</c:v>
                </c:pt>
                <c:pt idx="6">
                  <c:v>3.1909999999999998E-3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5-48D0-949A-911C542FE41A}"/>
            </c:ext>
          </c:extLst>
        </c:ser>
        <c:ser>
          <c:idx val="1"/>
          <c:order val="1"/>
          <c:tx>
            <c:strRef>
              <c:f>چاتا!$F$30</c:f>
              <c:strCache>
                <c:ptCount val="1"/>
                <c:pt idx="0">
                  <c:v>Fischer 1975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چاتا!$G$30:$M$30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5.9499999999999997E-2</c:v>
                </c:pt>
                <c:pt idx="2">
                  <c:v>5.2900000000000003E-2</c:v>
                </c:pt>
                <c:pt idx="3">
                  <c:v>4.6210000000000001E-2</c:v>
                </c:pt>
                <c:pt idx="4">
                  <c:v>4.3380000000000002E-2</c:v>
                </c:pt>
                <c:pt idx="5">
                  <c:v>4.2430000000000002E-2</c:v>
                </c:pt>
                <c:pt idx="6">
                  <c:v>1.941E-3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8D0-949A-911C542FE41A}"/>
            </c:ext>
          </c:extLst>
        </c:ser>
        <c:ser>
          <c:idx val="2"/>
          <c:order val="2"/>
          <c:tx>
            <c:strRef>
              <c:f>چاتا!$F$31</c:f>
              <c:strCache>
                <c:ptCount val="1"/>
                <c:pt idx="0">
                  <c:v>Iwasa and Aya 1991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چاتا!$G$31:$M$31</c:f>
              <c:numCache>
                <c:formatCode>General</c:formatCode>
                <c:ptCount val="7"/>
                <c:pt idx="0">
                  <c:v>3.8999999999999998E-3</c:v>
                </c:pt>
                <c:pt idx="1">
                  <c:v>2.8999999999999998E-3</c:v>
                </c:pt>
                <c:pt idx="2">
                  <c:v>2.5790000000000001E-3</c:v>
                </c:pt>
                <c:pt idx="3">
                  <c:v>2.2200000000000002E-3</c:v>
                </c:pt>
                <c:pt idx="4">
                  <c:v>2E-3</c:v>
                </c:pt>
                <c:pt idx="5">
                  <c:v>1.9980000000000002E-3</c:v>
                </c:pt>
                <c:pt idx="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5-48D0-949A-911C542FE41A}"/>
            </c:ext>
          </c:extLst>
        </c:ser>
        <c:ser>
          <c:idx val="3"/>
          <c:order val="3"/>
          <c:tx>
            <c:strRef>
              <c:f>چاتا!$F$32</c:f>
              <c:strCache>
                <c:ptCount val="1"/>
                <c:pt idx="0">
                  <c:v>Seo &amp; Cheong 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چاتا!$G$32:$M$32</c:f>
              <c:numCache>
                <c:formatCode>General</c:formatCode>
                <c:ptCount val="7"/>
                <c:pt idx="0">
                  <c:v>3.4130000000000001E-2</c:v>
                </c:pt>
                <c:pt idx="1">
                  <c:v>2.5899999999999999E-2</c:v>
                </c:pt>
                <c:pt idx="2">
                  <c:v>2.2710000000000001E-2</c:v>
                </c:pt>
                <c:pt idx="3">
                  <c:v>1.95E-2</c:v>
                </c:pt>
                <c:pt idx="4">
                  <c:v>1.8180000000000002E-2</c:v>
                </c:pt>
                <c:pt idx="5">
                  <c:v>1.7739999999999999E-2</c:v>
                </c:pt>
                <c:pt idx="6">
                  <c:v>4.8999999999999998E-3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5-48D0-949A-911C542FE41A}"/>
            </c:ext>
          </c:extLst>
        </c:ser>
        <c:ser>
          <c:idx val="4"/>
          <c:order val="4"/>
          <c:tx>
            <c:strRef>
              <c:f>چاتا!$F$33</c:f>
              <c:strCache>
                <c:ptCount val="1"/>
                <c:pt idx="0">
                  <c:v>Deng 2001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چاتا!$G$33:$M$33</c:f>
              <c:numCache>
                <c:formatCode>General</c:formatCode>
                <c:ptCount val="7"/>
                <c:pt idx="0">
                  <c:v>3.7019999999999997E-2</c:v>
                </c:pt>
                <c:pt idx="1">
                  <c:v>2.818E-2</c:v>
                </c:pt>
                <c:pt idx="2">
                  <c:v>2.4639999999999999E-2</c:v>
                </c:pt>
                <c:pt idx="3">
                  <c:v>2.12E-2</c:v>
                </c:pt>
                <c:pt idx="4">
                  <c:v>1.9789999999999999E-2</c:v>
                </c:pt>
                <c:pt idx="5">
                  <c:v>1.9269999999999999E-2</c:v>
                </c:pt>
                <c:pt idx="6">
                  <c:v>6.3099999999999996E-3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5-48D0-949A-911C542FE41A}"/>
            </c:ext>
          </c:extLst>
        </c:ser>
        <c:ser>
          <c:idx val="5"/>
          <c:order val="5"/>
          <c:tx>
            <c:strRef>
              <c:f>چاتا!$F$34</c:f>
              <c:strCache>
                <c:ptCount val="1"/>
                <c:pt idx="0">
                  <c:v>Kashefipour &amp; Falconer 2002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چاتا!$G$34:$M$34</c:f>
              <c:numCache>
                <c:formatCode>General</c:formatCode>
                <c:ptCount val="7"/>
                <c:pt idx="0">
                  <c:v>5.4809999999999998E-2</c:v>
                </c:pt>
                <c:pt idx="1">
                  <c:v>4.2220000000000001E-2</c:v>
                </c:pt>
                <c:pt idx="2">
                  <c:v>3.7100000000000001E-2</c:v>
                </c:pt>
                <c:pt idx="3">
                  <c:v>3.2000000000000001E-2</c:v>
                </c:pt>
                <c:pt idx="4">
                  <c:v>2.9940000000000001E-2</c:v>
                </c:pt>
                <c:pt idx="5">
                  <c:v>2.92E-2</c:v>
                </c:pt>
                <c:pt idx="6">
                  <c:v>4.5199999999999997E-3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5-48D0-949A-911C542FE41A}"/>
            </c:ext>
          </c:extLst>
        </c:ser>
        <c:ser>
          <c:idx val="6"/>
          <c:order val="6"/>
          <c:tx>
            <c:strRef>
              <c:f>چاتا!$F$35</c:f>
              <c:strCache>
                <c:ptCount val="1"/>
                <c:pt idx="0">
                  <c:v>Rajeev and Dutta 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چاتا!$G$35:$M$35</c:f>
              <c:numCache>
                <c:formatCode>General</c:formatCode>
                <c:ptCount val="7"/>
                <c:pt idx="0">
                  <c:v>2.726E-2</c:v>
                </c:pt>
                <c:pt idx="1">
                  <c:v>2.06E-2</c:v>
                </c:pt>
                <c:pt idx="2">
                  <c:v>1.8069999999999999E-2</c:v>
                </c:pt>
                <c:pt idx="3">
                  <c:v>1.5509999999999999E-2</c:v>
                </c:pt>
                <c:pt idx="4">
                  <c:v>1.447E-2</c:v>
                </c:pt>
                <c:pt idx="5">
                  <c:v>1.41E-2</c:v>
                </c:pt>
                <c:pt idx="6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5-48D0-949A-911C542FE41A}"/>
            </c:ext>
          </c:extLst>
        </c:ser>
        <c:ser>
          <c:idx val="7"/>
          <c:order val="7"/>
          <c:tx>
            <c:strRef>
              <c:f>چاتا!$F$36</c:f>
              <c:strCache>
                <c:ptCount val="1"/>
                <c:pt idx="0">
                  <c:v>EtemadShahidi &amp; Taghipour 2009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چاتا!$G$36:$M$36</c:f>
              <c:numCache>
                <c:formatCode>General</c:formatCode>
                <c:ptCount val="7"/>
                <c:pt idx="0">
                  <c:v>1.4800000000000001E-2</c:v>
                </c:pt>
                <c:pt idx="1">
                  <c:v>1.12E-2</c:v>
                </c:pt>
                <c:pt idx="2">
                  <c:v>9.7900000000000001E-3</c:v>
                </c:pt>
                <c:pt idx="3">
                  <c:v>8.3899999999999999E-3</c:v>
                </c:pt>
                <c:pt idx="4">
                  <c:v>7.8189999999999996E-3</c:v>
                </c:pt>
                <c:pt idx="5">
                  <c:v>7.62E-3</c:v>
                </c:pt>
                <c:pt idx="6">
                  <c:v>4.2069999999999998E-3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35-48D0-949A-911C542FE41A}"/>
            </c:ext>
          </c:extLst>
        </c:ser>
        <c:ser>
          <c:idx val="8"/>
          <c:order val="8"/>
          <c:tx>
            <c:strRef>
              <c:f>چاتا!$F$37</c:f>
              <c:strCache>
                <c:ptCount val="1"/>
                <c:pt idx="0">
                  <c:v>Zeng and Huai 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چاتا!$G$37:$M$37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8.3999999999999995E-3</c:v>
                </c:pt>
                <c:pt idx="2">
                  <c:v>7.3600000000000002E-3</c:v>
                </c:pt>
                <c:pt idx="3">
                  <c:v>6.3E-3</c:v>
                </c:pt>
                <c:pt idx="4">
                  <c:v>5.7999999999999996E-3</c:v>
                </c:pt>
                <c:pt idx="5">
                  <c:v>5.7000000000000002E-3</c:v>
                </c:pt>
                <c:pt idx="6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35-48D0-949A-911C542F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699088"/>
        <c:axId val="-103711056"/>
      </c:lineChart>
      <c:catAx>
        <c:axId val="-103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11056"/>
        <c:crosses val="autoZero"/>
        <c:auto val="1"/>
        <c:lblAlgn val="ctr"/>
        <c:lblOffset val="100"/>
        <c:noMultiLvlLbl val="0"/>
      </c:catAx>
      <c:valAx>
        <c:axId val="-103711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266700</xdr:colOff>
      <xdr:row>11</xdr:row>
      <xdr:rowOff>19050</xdr:rowOff>
    </xdr:from>
    <xdr:to>
      <xdr:col>12</xdr:col>
      <xdr:colOff>895350</xdr:colOff>
      <xdr:row>13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2686050"/>
          <a:ext cx="15525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381000</xdr:colOff>
      <xdr:row>14</xdr:row>
      <xdr:rowOff>57150</xdr:rowOff>
    </xdr:from>
    <xdr:to>
      <xdr:col>12</xdr:col>
      <xdr:colOff>819150</xdr:colOff>
      <xdr:row>18</xdr:row>
      <xdr:rowOff>161925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3676650"/>
          <a:ext cx="13620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25</xdr:row>
      <xdr:rowOff>142875</xdr:rowOff>
    </xdr:from>
    <xdr:to>
      <xdr:col>20</xdr:col>
      <xdr:colOff>581025</xdr:colOff>
      <xdr:row>33</xdr:row>
      <xdr:rowOff>590550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P8" totalsRowShown="0" headerRowDxfId="44" dataDxfId="43" tableBorderDxfId="42" headerRowCellStyle="Note" dataCellStyle="Note">
  <autoFilter ref="A1:AP8"/>
  <tableColumns count="42">
    <tableColumn id="1" name="Name" dataDxfId="41"/>
    <tableColumn id="2" name="Start point distance [meters]" dataDxfId="40"/>
    <tableColumn id="3" name="End Point distance  [meters]" dataDxfId="39" dataCellStyle="Note"/>
    <tableColumn id="4" name="Q [m3/sec]" dataDxfId="38"/>
    <tableColumn id="5" name="Ti" dataDxfId="37"/>
    <tableColumn id="6" name="Tp" dataDxfId="36"/>
    <tableColumn id="7" name="Tt" dataDxfId="35" dataCellStyle="Note"/>
    <tableColumn id="8" name="Q average" dataDxfId="34" dataCellStyle="Note"/>
    <tableColumn id="9" name="Drainage Area [km2]" dataDxfId="33" dataCellStyle="Note"/>
    <tableColumn id="10" name="longitudinal slope" dataDxfId="32" dataCellStyle="Note"/>
    <tableColumn id="11" name="depth [meters]" dataDxfId="31"/>
    <tableColumn id="12" name="width [meters]" dataDxfId="30"/>
    <tableColumn id="13" name="Cup" dataDxfId="29"/>
    <tableColumn id="14" name="Inj Mass" dataDxfId="28" dataCellStyle="Note"/>
    <tableColumn id="15" name="R ratio" dataDxfId="27" dataCellStyle="Note"/>
    <tableColumn id="16" name="Ref" dataDxfId="26" dataCellStyle="Note"/>
    <tableColumn id="17" name="Calculated Velocity [meters/sec]" dataDxfId="25">
      <calculatedColumnFormula>Table1[Q '[m3/sec']]/(Table1[depth '[meters']]*Table1[width '[meters']])</calculatedColumnFormula>
    </tableColumn>
    <tableColumn id="18" name="calculated time [hours]" dataDxfId="24" dataCellStyle="Note">
      <calculatedColumnFormula>(Table1[[#This Row],[Reach Length '[meters']]]/(Table1[[#This Row],[Q '[m3/sec']]]/(Table1[[#This Row],[depth '[meters']]]*Table1[[#This Row],[width '[meters']]])))/3600</calculatedColumnFormula>
    </tableColumn>
    <tableColumn id="19" name="Observed Velocity [meters / seconds]" dataDxfId="23" dataCellStyle="Note">
      <calculatedColumnFormula>(Table1[[#This Row],[End Point distance  '[meters']]]/(3600*Table1[[#This Row],[Tp]]))</calculatedColumnFormula>
    </tableColumn>
    <tableColumn id="20" name="ɳ" dataDxfId="22"/>
    <tableColumn id="21" name="river side slope" dataDxfId="21"/>
    <tableColumn id="22" name="Initial Concentration [mgr/Lit]" dataDxfId="20"/>
    <tableColumn id="23" name="End Point of Reach [km]" dataDxfId="19" dataCellStyle="Note">
      <calculatedColumnFormula>Table1[[#This Row],[End Point distance  '[meters']]]/1000</calculatedColumnFormula>
    </tableColumn>
    <tableColumn id="24" name="Only Observed Concentration (if you had losses and want to use formula look @ AP column) PPM" dataDxfId="18"/>
    <tableColumn id="25" name="Error in Calc time Vs Obs Time" dataDxfId="17" dataCellStyle="Percent">
      <calculatedColumnFormula>IF(AVERAGE(Table1[[#This Row],[Error Ti]]&lt;=AVERAGE(Table1[[#This Row],[Error Tp]])),"use Ti","use Tp")</calculatedColumnFormula>
    </tableColumn>
    <tableColumn id="26" name="Reach Length [meters]" dataDxfId="16" dataCellStyle="Note">
      <calculatedColumnFormula>Table1[[#This Row],[End Point distance  '[meters']]]-Table1[[#This Row],[Start point distance '[meters']]]</calculatedColumnFormula>
    </tableColumn>
    <tableColumn id="39" name="Reach Time (seconds)" dataDxfId="15" dataCellStyle="Note">
      <calculatedColumnFormula>(Table1[[#This Row],[Tp]]-AN2)*3600</calculatedColumnFormula>
    </tableColumn>
    <tableColumn id="27" name="Time Cell" dataDxfId="14" dataCellStyle="Note">
      <calculatedColumnFormula>FLOOR((Table1[[#This Row],[Tp]]*3600)/Table1[[#This Row],[Delta T]],1)</calculatedColumnFormula>
    </tableColumn>
    <tableColumn id="37" name="End Spatial Cell" dataDxfId="13" dataCellStyle="Note">
      <calculatedColumnFormula>Table1[[#This Row],[End Point distance  '[meters']]]/Delta_X__meters</calculatedColumnFormula>
    </tableColumn>
    <tableColumn id="38" name="Start Spatial Cell" dataDxfId="12" dataCellStyle="Note">
      <calculatedColumnFormula>Table1[[#This Row],[Start point distance '[meters']]]/Delta_X__meters</calculatedColumnFormula>
    </tableColumn>
    <tableColumn id="28" name="Delta T" dataDxfId="11" dataCellStyle="Note">
      <calculatedColumnFormula>Delta_T__seconds</calculatedColumnFormula>
    </tableColumn>
    <tableColumn id="29" name="Error Ti" dataDxfId="10" dataCellStyle="Percent">
      <calculatedColumnFormula>((Table1[[#This Row],[Ti]]-Table1[[#This Row],[calculated time '[hours']]])/Table1[[#This Row],[Ti]])</calculatedColumnFormula>
    </tableColumn>
    <tableColumn id="30" name="Error Tp" dataDxfId="9" dataCellStyle="Percent">
      <calculatedColumnFormula>(('Reach Propertise'!$F2-'Reach Propertise'!$R2)/'Reach Propertise'!$F2)</calculatedColumnFormula>
    </tableColumn>
    <tableColumn id="31" name="Error Tt" dataDxfId="8" dataCellStyle="Percent">
      <calculatedColumnFormula>((Table1[[#This Row],[Tt]]-Table1[[#This Row],[calculated time '[hours']]])/Table1[[#This Row],[Tt]])</calculatedColumnFormula>
    </tableColumn>
    <tableColumn id="32" name="Column1" dataDxfId="7" dataCellStyle="Percent">
      <calculatedColumnFormula>Table1[[#This Row],[width '[meters']]]/Table1[[#This Row],[depth '[meters']]]</calculatedColumnFormula>
    </tableColumn>
    <tableColumn id="33" name="Vi" dataDxfId="6" dataCellStyle="Note">
      <calculatedColumnFormula>Table1[[#This Row],[depth '[meters']]]*Table1[[#This Row],[width '[meters']]]*Delta_X__meters</calculatedColumnFormula>
    </tableColumn>
    <tableColumn id="34" name="delta Tp" dataDxfId="5" dataCellStyle="Note">
      <calculatedColumnFormula>Table1[[#This Row],[Column3]]-Table1[[#This Row],[Column2]]</calculatedColumnFormula>
    </tableColumn>
    <tableColumn id="35" name="Column2" dataDxfId="4" dataCellStyle="Note"/>
    <tableColumn id="36" name="Column3" dataDxfId="3" dataCellStyle="Note">
      <calculatedColumnFormula>'Reach Propertise'!$F2</calculatedColumnFormula>
    </tableColumn>
    <tableColumn id="40" name="Column4" dataDxfId="2" dataCellStyle="Note"/>
    <tableColumn id="41" name="X cells for evaluation and comparison with obsered" dataDxfId="1" dataCellStyle="Note">
      <calculatedColumnFormula>FLOOR(Table1[[#This Row],[End Point distance  '[meters']]]/Delta_X__meters,1)</calculatedColumnFormula>
    </tableColumn>
    <tableColumn id="42" name="Observed Concentration [ppm] using formula2" dataDxfId="0" dataCellStyle="Note">
      <calculatedColumnFormula>((1/1000000)*Table1[[#This Row],[Cup]]*Table1[[#This Row],[R ratio]]*Table1[[#This Row],[Inj Mass]])/Table1[[#This Row],[Q '[m3/sec']]]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X91"/>
  <sheetViews>
    <sheetView tabSelected="1" zoomScaleNormal="100" workbookViewId="0">
      <selection activeCell="B10" sqref="B10"/>
    </sheetView>
  </sheetViews>
  <sheetFormatPr defaultRowHeight="15" x14ac:dyDescent="0.25"/>
  <cols>
    <col min="1" max="1" width="45.42578125" style="2" customWidth="1"/>
    <col min="2" max="2" width="55.85546875" style="49" customWidth="1"/>
    <col min="3" max="16384" width="9.140625" style="1"/>
  </cols>
  <sheetData>
    <row r="1" spans="1:24" x14ac:dyDescent="0.25">
      <c r="A1" s="4"/>
      <c r="B1" s="41"/>
      <c r="C1" s="5"/>
      <c r="D1" s="5"/>
      <c r="E1" s="5"/>
      <c r="F1" s="5"/>
      <c r="G1" s="5"/>
      <c r="H1" s="6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3" t="s">
        <v>0</v>
      </c>
      <c r="B2" s="42" t="str">
        <f ca="1">MID(CELL("filename"),SEARCH("[",CELL("filename"))+1, SEARCH("]",CELL("filename"))-SEARCH("[",CELL("filename"))-1)</f>
        <v>Dx_2015_Disley_et_al_Paper02_Chattahoochee_dx250.xlsx</v>
      </c>
      <c r="C2" s="5"/>
      <c r="D2" s="5"/>
      <c r="E2" s="5"/>
      <c r="F2" s="5"/>
      <c r="G2" s="5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" t="s">
        <v>1</v>
      </c>
      <c r="B3" s="58">
        <f>DATE(2019,2,6)</f>
        <v>43502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" t="s">
        <v>2</v>
      </c>
      <c r="B4" s="42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" t="s">
        <v>3</v>
      </c>
      <c r="B5" s="42" t="s">
        <v>6</v>
      </c>
      <c r="C5" s="5"/>
      <c r="D5" s="5"/>
      <c r="E5" s="5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3" t="s">
        <v>4</v>
      </c>
      <c r="B6" s="43" t="str">
        <f ca="1">LEFT(CELL("filename"),FIND("[",CELL("filename"),1)-1)</f>
        <v>C:\Users\Mostafa\Desktop\watum_Working_Branch\</v>
      </c>
      <c r="C6" s="5"/>
      <c r="D6" s="5"/>
      <c r="E6" s="5"/>
      <c r="F6" s="8"/>
      <c r="G6" s="8"/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9"/>
      <c r="B7" s="44"/>
      <c r="C7" s="5"/>
      <c r="D7" s="5"/>
      <c r="E7" s="5"/>
      <c r="F7" s="8"/>
      <c r="G7" s="8">
        <v>1</v>
      </c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4"/>
      <c r="B8" s="41"/>
      <c r="C8" s="5"/>
      <c r="D8" s="5"/>
      <c r="E8" s="5"/>
      <c r="F8" s="8"/>
      <c r="G8" s="14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3" t="s">
        <v>30</v>
      </c>
      <c r="B9" s="45">
        <v>250</v>
      </c>
      <c r="C9" s="5"/>
      <c r="D9" s="5"/>
      <c r="E9" s="5"/>
      <c r="F9" s="8"/>
      <c r="G9" s="14"/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3" t="s">
        <v>31</v>
      </c>
      <c r="B10" s="66">
        <v>20</v>
      </c>
      <c r="C10" s="5"/>
      <c r="D10" s="5"/>
      <c r="E10" s="5"/>
      <c r="F10" s="8"/>
      <c r="G10" s="14"/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3" t="s">
        <v>7</v>
      </c>
      <c r="B11" s="46" t="s">
        <v>101</v>
      </c>
      <c r="C11" s="5"/>
      <c r="D11" s="5"/>
      <c r="E11" s="5"/>
      <c r="F11" s="8"/>
      <c r="G11" s="14"/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3" t="s">
        <v>18</v>
      </c>
      <c r="B12" s="45">
        <v>50</v>
      </c>
      <c r="C12" s="5"/>
      <c r="D12" s="5"/>
      <c r="E12" s="5"/>
      <c r="F12" s="8"/>
      <c r="G12" s="14"/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3" t="s">
        <v>23</v>
      </c>
      <c r="B13" s="47">
        <v>0</v>
      </c>
      <c r="C13" s="5"/>
      <c r="D13" s="5"/>
      <c r="E13" s="5"/>
      <c r="F13" s="8"/>
      <c r="G13" s="14"/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3" t="s">
        <v>55</v>
      </c>
      <c r="B14" s="45">
        <v>0.5</v>
      </c>
      <c r="C14" s="5"/>
      <c r="D14" s="5"/>
      <c r="E14" s="5"/>
      <c r="F14" s="8"/>
      <c r="G14" s="14"/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9"/>
      <c r="B15" s="44"/>
      <c r="C15" s="5"/>
      <c r="D15" s="5"/>
      <c r="E15" s="5"/>
      <c r="F15" s="8"/>
      <c r="G15" s="14"/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9"/>
      <c r="B16" s="44"/>
      <c r="C16" s="5"/>
      <c r="D16" s="5"/>
      <c r="E16" s="5"/>
      <c r="F16" s="8"/>
      <c r="G16" s="14"/>
      <c r="H16" s="8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9"/>
      <c r="B17" s="44"/>
      <c r="C17" s="5"/>
      <c r="D17" s="5"/>
      <c r="E17" s="5"/>
      <c r="F17" s="8"/>
      <c r="G17" s="14"/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9"/>
      <c r="B18" s="44"/>
      <c r="C18" s="5"/>
      <c r="D18" s="5"/>
      <c r="E18" s="5"/>
      <c r="F18" s="8"/>
      <c r="G18" s="14"/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9"/>
      <c r="B19" s="44"/>
      <c r="C19" s="5"/>
      <c r="D19" s="5"/>
      <c r="E19" s="5"/>
      <c r="F19" s="8"/>
      <c r="G19" s="14"/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9"/>
      <c r="B20" s="48"/>
      <c r="C20" s="5"/>
      <c r="D20" s="5"/>
      <c r="E20" s="5"/>
      <c r="F20" s="8"/>
      <c r="G20" s="14"/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9"/>
      <c r="B21" s="44"/>
      <c r="C21" s="5"/>
      <c r="D21" s="5"/>
      <c r="E21" s="5"/>
      <c r="F21" s="8"/>
      <c r="G21" s="14"/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9"/>
      <c r="B22" s="4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9"/>
      <c r="B23" s="4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9"/>
      <c r="B24" s="4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9"/>
      <c r="B25" s="4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9"/>
      <c r="B26" s="4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9"/>
      <c r="B27" s="4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9"/>
      <c r="B28" s="4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9"/>
      <c r="B29" s="4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9"/>
      <c r="B30" s="4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9"/>
      <c r="B31" s="4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9"/>
      <c r="B32" s="4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9"/>
      <c r="B33" s="4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9"/>
      <c r="B34" s="4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9"/>
      <c r="B35" s="4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9"/>
      <c r="B36" s="4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9"/>
      <c r="B37" s="4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9"/>
      <c r="B38" s="4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9"/>
      <c r="B39" s="4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9"/>
      <c r="B40" s="4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9"/>
      <c r="B41" s="4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9"/>
      <c r="B42" s="4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9"/>
      <c r="B43" s="4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9"/>
      <c r="B44" s="4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9"/>
      <c r="B45" s="4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9"/>
      <c r="B46" s="4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9"/>
      <c r="B47" s="4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9"/>
      <c r="B48" s="4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9"/>
      <c r="B49" s="4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9"/>
      <c r="B50" s="4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9"/>
      <c r="B51" s="4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9"/>
      <c r="B52" s="4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9"/>
      <c r="B53" s="4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9"/>
      <c r="B54" s="4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9"/>
      <c r="B55" s="4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9"/>
      <c r="B56" s="4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9"/>
      <c r="B57" s="4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9"/>
      <c r="B58" s="4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9"/>
      <c r="B59" s="4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9"/>
      <c r="B60" s="4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9"/>
      <c r="B61" s="4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9"/>
      <c r="B62" s="4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9"/>
      <c r="B63" s="4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3:2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3:2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3:2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3:2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3:2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3:2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3:2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3:2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3:2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3:2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3:2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3:2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3:2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3:2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3:2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3:2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3:2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3:2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3:2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3:2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3:2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3:2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3:2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3:2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3:2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3:2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3:2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</sheetData>
  <sheetProtection formatCells="0" formatColumns="0" formatRows="0" insertColumns="0" insertRows="0" insertHyperlinks="0" deleteColumns="0" deleteRows="0"/>
  <dataValidations count="1">
    <dataValidation type="list" errorStyle="warning" showInputMessage="1" showErrorMessage="1" sqref="H10:H17">
      <formula1>Delta_X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="LDC is not permitted to be blanked">
          <x14:formula1>
            <xm:f>'hidden tab'!$P$2:$P$22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P8"/>
  <sheetViews>
    <sheetView topLeftCell="M1" workbookViewId="0">
      <pane ySplit="1" topLeftCell="A2" activePane="bottomLeft" state="frozen"/>
      <selection pane="bottomLeft" activeCell="S2" sqref="S2:S8"/>
    </sheetView>
  </sheetViews>
  <sheetFormatPr defaultRowHeight="15" x14ac:dyDescent="0.25"/>
  <cols>
    <col min="1" max="1" width="23.28515625" style="55" customWidth="1"/>
    <col min="2" max="2" width="18.140625" style="55" customWidth="1"/>
    <col min="3" max="3" width="17.28515625" style="55" customWidth="1"/>
    <col min="4" max="4" width="14.5703125" style="55" customWidth="1"/>
    <col min="5" max="5" width="8.85546875" style="55" customWidth="1"/>
    <col min="6" max="6" width="7.7109375" style="55" customWidth="1"/>
    <col min="7" max="7" width="10.7109375" style="55" customWidth="1"/>
    <col min="8" max="8" width="13.42578125" style="55" bestFit="1" customWidth="1"/>
    <col min="9" max="9" width="24.85546875" style="55" customWidth="1"/>
    <col min="10" max="10" width="23.7109375" style="55" customWidth="1"/>
    <col min="11" max="12" width="19.140625" style="55" customWidth="1"/>
    <col min="13" max="13" width="10.28515625" style="55" customWidth="1"/>
    <col min="14" max="14" width="12.85546875" style="55" customWidth="1"/>
    <col min="15" max="15" width="17.85546875" style="55" customWidth="1"/>
    <col min="16" max="16" width="12.7109375" style="55" customWidth="1"/>
    <col min="17" max="17" width="39.7109375" style="55" customWidth="1"/>
    <col min="18" max="18" width="19.140625" style="55" customWidth="1"/>
    <col min="19" max="19" width="22.5703125" style="55" customWidth="1"/>
    <col min="20" max="20" width="9.140625" style="55"/>
    <col min="21" max="21" width="21.42578125" style="55" customWidth="1"/>
    <col min="22" max="22" width="38.5703125" style="55" customWidth="1"/>
    <col min="23" max="23" width="29.42578125" style="55" customWidth="1"/>
    <col min="24" max="24" width="41.140625" style="56" customWidth="1"/>
    <col min="25" max="25" width="17.140625" style="57" customWidth="1"/>
    <col min="26" max="27" width="19.42578125" style="55" customWidth="1"/>
    <col min="28" max="28" width="16.42578125" style="55" customWidth="1"/>
    <col min="29" max="30" width="12.140625" style="55" customWidth="1"/>
    <col min="31" max="31" width="11.140625" style="55" customWidth="1"/>
    <col min="32" max="34" width="12.28515625" style="55" customWidth="1"/>
    <col min="35" max="35" width="11.140625" style="55" customWidth="1"/>
    <col min="36" max="36" width="9.140625" style="55"/>
    <col min="37" max="37" width="12.28515625" style="55" customWidth="1"/>
    <col min="38" max="39" width="11.140625" style="55" customWidth="1"/>
    <col min="40" max="40" width="9.140625" style="55"/>
    <col min="41" max="41" width="30.140625" style="55" bestFit="1" customWidth="1"/>
    <col min="42" max="42" width="26.5703125" style="55" bestFit="1" customWidth="1"/>
    <col min="43" max="16384" width="9.140625" style="55"/>
  </cols>
  <sheetData>
    <row r="1" spans="1:42" s="90" customFormat="1" ht="51.75" customHeight="1" x14ac:dyDescent="0.25">
      <c r="A1" s="84" t="s">
        <v>40</v>
      </c>
      <c r="B1" s="84" t="s">
        <v>49</v>
      </c>
      <c r="C1" s="84" t="s">
        <v>48</v>
      </c>
      <c r="D1" s="84" t="s">
        <v>11</v>
      </c>
      <c r="E1" s="84" t="s">
        <v>39</v>
      </c>
      <c r="F1" s="84" t="s">
        <v>38</v>
      </c>
      <c r="G1" s="84" t="s">
        <v>37</v>
      </c>
      <c r="H1" s="84" t="s">
        <v>36</v>
      </c>
      <c r="I1" s="84" t="s">
        <v>50</v>
      </c>
      <c r="J1" s="84" t="s">
        <v>14</v>
      </c>
      <c r="K1" s="84" t="s">
        <v>13</v>
      </c>
      <c r="L1" s="84" t="s">
        <v>12</v>
      </c>
      <c r="M1" s="84" t="s">
        <v>43</v>
      </c>
      <c r="N1" s="84" t="s">
        <v>41</v>
      </c>
      <c r="O1" s="84" t="s">
        <v>42</v>
      </c>
      <c r="P1" s="84" t="s">
        <v>34</v>
      </c>
      <c r="Q1" s="84" t="s">
        <v>44</v>
      </c>
      <c r="R1" s="84" t="s">
        <v>32</v>
      </c>
      <c r="S1" s="84" t="s">
        <v>46</v>
      </c>
      <c r="T1" s="84" t="s">
        <v>15</v>
      </c>
      <c r="U1" s="84" t="s">
        <v>35</v>
      </c>
      <c r="V1" s="84" t="s">
        <v>9</v>
      </c>
      <c r="W1" s="84" t="s">
        <v>22</v>
      </c>
      <c r="X1" s="85" t="s">
        <v>108</v>
      </c>
      <c r="Y1" s="86" t="s">
        <v>45</v>
      </c>
      <c r="Z1" s="84" t="s">
        <v>10</v>
      </c>
      <c r="AA1" s="84" t="s">
        <v>82</v>
      </c>
      <c r="AB1" s="87" t="s">
        <v>72</v>
      </c>
      <c r="AC1" s="87" t="s">
        <v>73</v>
      </c>
      <c r="AD1" s="87" t="s">
        <v>74</v>
      </c>
      <c r="AE1" s="88" t="s">
        <v>47</v>
      </c>
      <c r="AF1" s="88" t="s">
        <v>51</v>
      </c>
      <c r="AG1" s="88" t="s">
        <v>52</v>
      </c>
      <c r="AH1" s="88" t="s">
        <v>53</v>
      </c>
      <c r="AI1" s="88" t="s">
        <v>54</v>
      </c>
      <c r="AJ1" s="88" t="s">
        <v>56</v>
      </c>
      <c r="AK1" s="88" t="s">
        <v>57</v>
      </c>
      <c r="AL1" s="88" t="s">
        <v>58</v>
      </c>
      <c r="AM1" s="88" t="s">
        <v>59</v>
      </c>
      <c r="AN1" s="88" t="s">
        <v>81</v>
      </c>
      <c r="AO1" s="89" t="s">
        <v>106</v>
      </c>
      <c r="AP1" s="89" t="s">
        <v>107</v>
      </c>
    </row>
    <row r="2" spans="1:42" s="75" customFormat="1" ht="16.5" x14ac:dyDescent="0.25">
      <c r="A2" s="67" t="s">
        <v>110</v>
      </c>
      <c r="B2" s="68">
        <v>0</v>
      </c>
      <c r="C2" s="68">
        <v>16000</v>
      </c>
      <c r="D2" s="69">
        <v>136.19999999999999</v>
      </c>
      <c r="E2" s="70">
        <v>4.0199999999999996</v>
      </c>
      <c r="F2" s="71">
        <v>4.83</v>
      </c>
      <c r="G2" s="68"/>
      <c r="H2" s="69">
        <v>136.19999999999999</v>
      </c>
      <c r="I2" s="68"/>
      <c r="J2" s="72">
        <v>5.0000000000000001E-4</v>
      </c>
      <c r="K2" s="69">
        <v>2.2999999999999998</v>
      </c>
      <c r="L2" s="69">
        <v>74.099999999999994</v>
      </c>
      <c r="M2" s="69">
        <v>1.1459499999999999E-2</v>
      </c>
      <c r="N2" s="73"/>
      <c r="O2" s="73"/>
      <c r="P2" s="73"/>
      <c r="Q2" s="74">
        <f>Table1[Q '[m3/sec']]/(Table1[depth '[meters']]*Table1[width '[meters']])</f>
        <v>0.79915507833127974</v>
      </c>
      <c r="R2" s="75">
        <f>(Table1[[#This Row],[Reach Length '[meters']]]/(Table1[[#This Row],[Q '[m3/sec']]]/(Table1[[#This Row],[depth '[meters']]]*Table1[[#This Row],[width '[meters']]])))/3600</f>
        <v>5.5614292706803719</v>
      </c>
      <c r="S2" s="75">
        <f>(Table1[[#This Row],[End Point distance  '[meters']]]/(3600*Table1[[#This Row],[Tp]]))</f>
        <v>0.92017483321831151</v>
      </c>
      <c r="T2" s="75">
        <v>1</v>
      </c>
      <c r="U2" s="75">
        <v>0</v>
      </c>
      <c r="V2" s="75">
        <v>0</v>
      </c>
      <c r="W2" s="75">
        <f>Table1[[#This Row],[End Point distance  '[meters']]]/1000</f>
        <v>16</v>
      </c>
      <c r="X2" s="69">
        <v>1.1459499999999999E-2</v>
      </c>
      <c r="Y2" s="76" t="str">
        <f>IF(AVERAGE(Table1[[#This Row],[Error Ti]]&lt;=AVERAGE(Table1[[#This Row],[Error Tp]])),"use Ti","use Tp")</f>
        <v>use Ti</v>
      </c>
      <c r="Z2" s="75">
        <f>Table1[[#This Row],[End Point distance  '[meters']]]-Table1[[#This Row],[Start point distance '[meters']]]</f>
        <v>16000</v>
      </c>
      <c r="AA2" s="75">
        <f>(Table1[[#This Row],[Tp]]-AN2)*3600</f>
        <v>17388</v>
      </c>
      <c r="AB2" s="77">
        <f>FLOOR((Table1[[#This Row],[Tp]]*3600)/Table1[[#This Row],[Delta T]],1)</f>
        <v>869</v>
      </c>
      <c r="AC2" s="77">
        <f>Table1[[#This Row],[End Point distance  '[meters']]]/Delta_X__meters</f>
        <v>64</v>
      </c>
      <c r="AD2" s="77">
        <f>Table1[[#This Row],[Start point distance '[meters']]]/Delta_X__meters</f>
        <v>0</v>
      </c>
      <c r="AE2" s="75">
        <f t="shared" ref="AE2:AE3" si="0">Delta_T__seconds</f>
        <v>20</v>
      </c>
      <c r="AF2" s="76">
        <f>((Table1[[#This Row],[Ti]]-Table1[[#This Row],[calculated time '[hours']]])/Table1[[#This Row],[Ti]])</f>
        <v>-0.38344011708466974</v>
      </c>
      <c r="AG2" s="76">
        <f>(('Reach Propertise'!$F2-'Reach Propertise'!$R2)/'Reach Propertise'!$F2)</f>
        <v>-0.15143463161084303</v>
      </c>
      <c r="AH2" s="76" t="e">
        <f>((Table1[[#This Row],[Tt]]-Table1[[#This Row],[calculated time '[hours']]])/Table1[[#This Row],[Tt]])</f>
        <v>#DIV/0!</v>
      </c>
      <c r="AI2" s="78">
        <f>Table1[[#This Row],[width '[meters']]]/Table1[[#This Row],[depth '[meters']]]</f>
        <v>32.217391304347828</v>
      </c>
      <c r="AJ2" s="75">
        <f>Table1[[#This Row],[depth '[meters']]]*Table1[[#This Row],[width '[meters']]]*Delta_X__meters</f>
        <v>42607.499999999993</v>
      </c>
      <c r="AK2" s="75">
        <f>Table1[[#This Row],[Column3]]-Table1[[#This Row],[Column2]]</f>
        <v>4.83</v>
      </c>
      <c r="AL2" s="75">
        <v>0</v>
      </c>
      <c r="AM2" s="75">
        <f>'Reach Propertise'!$F2</f>
        <v>4.83</v>
      </c>
      <c r="AN2" s="75">
        <v>0</v>
      </c>
      <c r="AO2" s="79">
        <f>FLOOR(Table1[[#This Row],[End Point distance  '[meters']]]/Delta_X__meters,1)</f>
        <v>64</v>
      </c>
      <c r="AP2" s="79">
        <f>((1/1000000)*Table1[[#This Row],[Cup]]*Table1[[#This Row],[R ratio]]*Table1[[#This Row],[Inj Mass]])/Table1[[#This Row],[Q '[m3/sec']]]</f>
        <v>0</v>
      </c>
    </row>
    <row r="3" spans="1:42" s="72" customFormat="1" ht="16.5" x14ac:dyDescent="0.25">
      <c r="A3" s="67" t="s">
        <v>111</v>
      </c>
      <c r="B3" s="68">
        <f>C2</f>
        <v>16000</v>
      </c>
      <c r="C3" s="68">
        <v>27900</v>
      </c>
      <c r="D3" s="69">
        <v>179.5</v>
      </c>
      <c r="E3" s="70">
        <v>7.02</v>
      </c>
      <c r="F3" s="71">
        <v>8.08</v>
      </c>
      <c r="G3" s="68"/>
      <c r="H3" s="69">
        <v>179.5</v>
      </c>
      <c r="I3" s="68"/>
      <c r="J3" s="72">
        <v>2.7999999999999998E-4</v>
      </c>
      <c r="K3" s="69">
        <v>2.9</v>
      </c>
      <c r="L3" s="69">
        <v>65.8</v>
      </c>
      <c r="M3" s="69">
        <v>8.4092000000000004E-3</v>
      </c>
      <c r="N3" s="73"/>
      <c r="O3" s="73"/>
      <c r="P3" s="73"/>
      <c r="Q3" s="74">
        <f>Table1[Q '[m3/sec']]/(Table1[depth '[meters']]*Table1[width '[meters']])</f>
        <v>0.94067707787443666</v>
      </c>
      <c r="R3" s="75">
        <f>(Table1[[#This Row],[Reach Length '[meters']]]/(Table1[[#This Row],[Q '[m3/sec']]]/(Table1[[#This Row],[depth '[meters']]]*Table1[[#This Row],[width '[meters']]])))/3600</f>
        <v>3.5140173320953263</v>
      </c>
      <c r="S3" s="75">
        <f>(Table1[[#This Row],[End Point distance  '[meters']]]/(3600*Table1[[#This Row],[Tp]]))</f>
        <v>0.95915841584158412</v>
      </c>
      <c r="T3" s="75">
        <v>1</v>
      </c>
      <c r="U3" s="75">
        <v>0</v>
      </c>
      <c r="V3" s="75">
        <v>0</v>
      </c>
      <c r="W3" s="75">
        <f>Table1[[#This Row],[End Point distance  '[meters']]]/1000</f>
        <v>27.9</v>
      </c>
      <c r="X3" s="69">
        <v>8.4092000000000004E-3</v>
      </c>
      <c r="Y3" s="76" t="str">
        <f>IF(AVERAGE(Table1[[#This Row],[Error Ti]]&lt;=AVERAGE(Table1[[#This Row],[Error Tp]])),"use Ti","use Tp")</f>
        <v>use Ti</v>
      </c>
      <c r="Z3" s="75">
        <f>Table1[[#This Row],[End Point distance  '[meters']]]-Table1[[#This Row],[Start point distance '[meters']]]</f>
        <v>11900</v>
      </c>
      <c r="AA3" s="75">
        <f>(Table1[[#This Row],[Tp]]-AN3)*3600</f>
        <v>25488</v>
      </c>
      <c r="AB3" s="77">
        <f>FLOOR((Table1[[#This Row],[Tp]]*3600)/Table1[[#This Row],[Delta T]],1)</f>
        <v>1454</v>
      </c>
      <c r="AC3" s="77">
        <f>Table1[[#This Row],[End Point distance  '[meters']]]/Delta_X__meters</f>
        <v>111.6</v>
      </c>
      <c r="AD3" s="77">
        <f>Table1[[#This Row],[Start point distance '[meters']]]/Delta_X__meters</f>
        <v>64</v>
      </c>
      <c r="AE3" s="75">
        <f t="shared" si="0"/>
        <v>20</v>
      </c>
      <c r="AF3" s="76">
        <f>((Table1[[#This Row],[Ti]]-Table1[[#This Row],[calculated time '[hours']]])/Table1[[#This Row],[Ti]])</f>
        <v>0.49942773047075123</v>
      </c>
      <c r="AG3" s="76">
        <f>(('Reach Propertise'!$F3-'Reach Propertise'!$R3)/'Reach Propertise'!$F3)</f>
        <v>0.56509686483968735</v>
      </c>
      <c r="AH3" s="76" t="e">
        <f>((Table1[[#This Row],[Tt]]-Table1[[#This Row],[calculated time '[hours']]])/Table1[[#This Row],[Tt]])</f>
        <v>#DIV/0!</v>
      </c>
      <c r="AI3" s="78">
        <f>Table1[[#This Row],[width '[meters']]]/Table1[[#This Row],[depth '[meters']]]</f>
        <v>22.689655172413794</v>
      </c>
      <c r="AJ3" s="75">
        <f>Table1[[#This Row],[depth '[meters']]]*Table1[[#This Row],[width '[meters']]]*Delta_X__meters</f>
        <v>47705</v>
      </c>
      <c r="AK3" s="75">
        <f>Table1[[#This Row],[Column3]]-Table1[[#This Row],[Column2]]</f>
        <v>7.08</v>
      </c>
      <c r="AL3" s="75">
        <v>1</v>
      </c>
      <c r="AM3" s="75">
        <f>'Reach Propertise'!$F3</f>
        <v>8.08</v>
      </c>
      <c r="AN3" s="75">
        <v>1</v>
      </c>
      <c r="AO3" s="79">
        <f>FLOOR(Table1[[#This Row],[End Point distance  '[meters']]]/Delta_X__meters,1)</f>
        <v>111</v>
      </c>
      <c r="AP3" s="79">
        <f>((1/1000000)*Table1[[#This Row],[Cup]]*Table1[[#This Row],[R ratio]]*Table1[[#This Row],[Inj Mass]])/Table1[[#This Row],[Q '[m3/sec']]]</f>
        <v>0</v>
      </c>
    </row>
    <row r="4" spans="1:42" s="72" customFormat="1" ht="16.5" x14ac:dyDescent="0.25">
      <c r="A4" s="80" t="s">
        <v>112</v>
      </c>
      <c r="B4" s="68">
        <f t="shared" ref="B4:B8" si="1">C3</f>
        <v>27900</v>
      </c>
      <c r="C4" s="68">
        <v>36500</v>
      </c>
      <c r="D4" s="69">
        <v>174.7</v>
      </c>
      <c r="E4" s="70">
        <v>9.09</v>
      </c>
      <c r="F4" s="71">
        <v>10.33</v>
      </c>
      <c r="G4" s="68"/>
      <c r="H4" s="69">
        <v>174.7</v>
      </c>
      <c r="I4" s="68"/>
      <c r="J4" s="72">
        <v>6.0999999999999997E-4</v>
      </c>
      <c r="K4" s="69">
        <v>2.2999999999999998</v>
      </c>
      <c r="L4" s="69">
        <v>74.099999999999994</v>
      </c>
      <c r="M4" s="69">
        <v>7.2880999999999996E-3</v>
      </c>
      <c r="N4" s="75"/>
      <c r="O4" s="75"/>
      <c r="P4" s="75"/>
      <c r="Q4" s="81">
        <f>Table1[Q '[m3/sec']]/(Table1[depth '[meters']]*Table1[width '[meters']])</f>
        <v>1.0250542744821922</v>
      </c>
      <c r="R4" s="75">
        <f>(Table1[[#This Row],[Reach Length '[meters']]]/(Table1[[#This Row],[Q '[m3/sec']]]/(Table1[[#This Row],[depth '[meters']]]*Table1[[#This Row],[width '[meters']]])))/3600</f>
        <v>2.330499904598359</v>
      </c>
      <c r="S4" s="75">
        <f>(Table1[[#This Row],[End Point distance  '[meters']]]/(3600*Table1[[#This Row],[Tp]]))</f>
        <v>0.98149940841131544</v>
      </c>
      <c r="T4" s="75">
        <v>1</v>
      </c>
      <c r="U4" s="75">
        <v>0</v>
      </c>
      <c r="V4" s="75">
        <v>0</v>
      </c>
      <c r="W4" s="82">
        <f>Table1[[#This Row],[End Point distance  '[meters']]]/1000</f>
        <v>36.5</v>
      </c>
      <c r="X4" s="69">
        <v>7.2880999999999996E-3</v>
      </c>
      <c r="Y4" s="76" t="str">
        <f>IF(AVERAGE(Table1[[#This Row],[Error Ti]]&lt;=AVERAGE(Table1[[#This Row],[Error Tp]])),"use Ti","use Tp")</f>
        <v>use Ti</v>
      </c>
      <c r="Z4" s="75">
        <f>Table1[[#This Row],[End Point distance  '[meters']]]-Table1[[#This Row],[Start point distance '[meters']]]</f>
        <v>8600</v>
      </c>
      <c r="AA4" s="82">
        <f>(Table1[[#This Row],[Tp]]-AN4)*3600</f>
        <v>37188</v>
      </c>
      <c r="AB4" s="83">
        <f>FLOOR((Table1[[#This Row],[Tp]]*3600)/Table1[[#This Row],[Delta T]],1)</f>
        <v>1859</v>
      </c>
      <c r="AC4" s="83">
        <f>Table1[[#This Row],[End Point distance  '[meters']]]/Delta_X__meters</f>
        <v>146</v>
      </c>
      <c r="AD4" s="83">
        <f>Table1[[#This Row],[Start point distance '[meters']]]/Delta_X__meters</f>
        <v>111.6</v>
      </c>
      <c r="AE4" s="75">
        <f>Delta_T__seconds</f>
        <v>20</v>
      </c>
      <c r="AF4" s="76">
        <f>((Table1[[#This Row],[Ti]]-Table1[[#This Row],[calculated time '[hours']]])/Table1[[#This Row],[Ti]])</f>
        <v>0.74361937243142373</v>
      </c>
      <c r="AG4" s="76">
        <f>(('Reach Propertise'!$F4-'Reach Propertise'!$R4)/'Reach Propertise'!$F4)</f>
        <v>0.77439497535349866</v>
      </c>
      <c r="AH4" s="76" t="e">
        <f>((Table1[[#This Row],[Tt]]-Table1[[#This Row],[calculated time '[hours']]])/Table1[[#This Row],[Tt]])</f>
        <v>#DIV/0!</v>
      </c>
      <c r="AI4" s="78">
        <f>Table1[[#This Row],[width '[meters']]]/Table1[[#This Row],[depth '[meters']]]</f>
        <v>32.217391304347828</v>
      </c>
      <c r="AJ4" s="82">
        <f>Table1[[#This Row],[depth '[meters']]]*Table1[[#This Row],[width '[meters']]]*Delta_X__meters</f>
        <v>42607.499999999993</v>
      </c>
      <c r="AK4" s="82">
        <f>Table1[[#This Row],[Column3]]-Table1[[#This Row],[Column2]]</f>
        <v>10.33</v>
      </c>
      <c r="AL4" s="75"/>
      <c r="AM4" s="75">
        <f>'Reach Propertise'!$F4</f>
        <v>10.33</v>
      </c>
      <c r="AN4" s="75"/>
      <c r="AO4" s="79">
        <f>FLOOR(Table1[[#This Row],[End Point distance  '[meters']]]/Delta_X__meters,1)</f>
        <v>146</v>
      </c>
      <c r="AP4" s="79">
        <f>((1/1000000)*Table1[[#This Row],[Cup]]*Table1[[#This Row],[R ratio]]*Table1[[#This Row],[Inj Mass]])/Table1[[#This Row],[Q '[m3/sec']]]</f>
        <v>0</v>
      </c>
    </row>
    <row r="5" spans="1:42" s="72" customFormat="1" ht="16.5" x14ac:dyDescent="0.25">
      <c r="A5" s="80" t="s">
        <v>113</v>
      </c>
      <c r="B5" s="68">
        <f t="shared" si="1"/>
        <v>36500</v>
      </c>
      <c r="C5" s="68">
        <v>49600</v>
      </c>
      <c r="D5" s="69">
        <v>169.9</v>
      </c>
      <c r="E5" s="70">
        <v>13.03</v>
      </c>
      <c r="F5" s="71">
        <v>14.8</v>
      </c>
      <c r="G5" s="68"/>
      <c r="H5" s="69">
        <v>169.9</v>
      </c>
      <c r="I5" s="68"/>
      <c r="J5" s="72">
        <v>3.1E-4</v>
      </c>
      <c r="K5" s="69">
        <v>2.2999999999999998</v>
      </c>
      <c r="L5" s="69">
        <v>77.7</v>
      </c>
      <c r="M5" s="69">
        <v>5.7676999999999997E-3</v>
      </c>
      <c r="N5" s="75"/>
      <c r="O5" s="75"/>
      <c r="P5" s="75"/>
      <c r="Q5" s="81">
        <f>Table1[Q '[m3/sec']]/(Table1[depth '[meters']]*Table1[width '[meters']])</f>
        <v>0.95070225505008132</v>
      </c>
      <c r="R5" s="75">
        <f>(Table1[[#This Row],[Reach Length '[meters']]]/(Table1[[#This Row],[Q '[m3/sec']]]/(Table1[[#This Row],[depth '[meters']]]*Table1[[#This Row],[width '[meters']]])))/3600</f>
        <v>3.8275799489896007</v>
      </c>
      <c r="S5" s="75">
        <f>(Table1[[#This Row],[End Point distance  '[meters']]]/(3600*Table1[[#This Row],[Tp]]))</f>
        <v>0.93093093093093093</v>
      </c>
      <c r="T5" s="75">
        <v>1</v>
      </c>
      <c r="U5" s="75">
        <v>0</v>
      </c>
      <c r="V5" s="75">
        <v>0</v>
      </c>
      <c r="W5" s="82">
        <f>Table1[[#This Row],[End Point distance  '[meters']]]/1000</f>
        <v>49.6</v>
      </c>
      <c r="X5" s="69">
        <v>5.7676999999999997E-3</v>
      </c>
      <c r="Y5" s="76" t="str">
        <f>IF(AVERAGE(Table1[[#This Row],[Error Ti]]&lt;=AVERAGE(Table1[[#This Row],[Error Tp]])),"use Ti","use Tp")</f>
        <v>use Ti</v>
      </c>
      <c r="Z5" s="75">
        <f>Table1[[#This Row],[End Point distance  '[meters']]]-Table1[[#This Row],[Start point distance '[meters']]]</f>
        <v>13100</v>
      </c>
      <c r="AA5" s="82">
        <f>(Table1[[#This Row],[Tp]]-AN5)*3600</f>
        <v>53280</v>
      </c>
      <c r="AB5" s="83">
        <f>FLOOR((Table1[[#This Row],[Tp]]*3600)/Table1[[#This Row],[Delta T]],1)</f>
        <v>2664</v>
      </c>
      <c r="AC5" s="83">
        <f>Table1[[#This Row],[End Point distance  '[meters']]]/Delta_X__meters</f>
        <v>198.4</v>
      </c>
      <c r="AD5" s="83">
        <f>Table1[[#This Row],[Start point distance '[meters']]]/Delta_X__meters</f>
        <v>146</v>
      </c>
      <c r="AE5" s="75">
        <f>Delta_T__seconds</f>
        <v>20</v>
      </c>
      <c r="AF5" s="76">
        <f>((Table1[[#This Row],[Ti]]-Table1[[#This Row],[calculated time '[hours']]])/Table1[[#This Row],[Ti]])</f>
        <v>0.70624866086035298</v>
      </c>
      <c r="AG5" s="76">
        <f>(('Reach Propertise'!$F5-'Reach Propertise'!$R5)/'Reach Propertise'!$F5)</f>
        <v>0.74137973317637829</v>
      </c>
      <c r="AH5" s="76" t="e">
        <f>((Table1[[#This Row],[Tt]]-Table1[[#This Row],[calculated time '[hours']]])/Table1[[#This Row],[Tt]])</f>
        <v>#DIV/0!</v>
      </c>
      <c r="AI5" s="78">
        <f>Table1[[#This Row],[width '[meters']]]/Table1[[#This Row],[depth '[meters']]]</f>
        <v>33.782608695652179</v>
      </c>
      <c r="AJ5" s="82">
        <f>Table1[[#This Row],[depth '[meters']]]*Table1[[#This Row],[width '[meters']]]*Delta_X__meters</f>
        <v>44677.499999999993</v>
      </c>
      <c r="AK5" s="82">
        <f>Table1[[#This Row],[Column3]]-Table1[[#This Row],[Column2]]</f>
        <v>14.8</v>
      </c>
      <c r="AL5" s="75"/>
      <c r="AM5" s="75">
        <f>'Reach Propertise'!$F5</f>
        <v>14.8</v>
      </c>
      <c r="AN5" s="75"/>
      <c r="AO5" s="79">
        <f>FLOOR(Table1[[#This Row],[End Point distance  '[meters']]]/Delta_X__meters,1)</f>
        <v>198</v>
      </c>
      <c r="AP5" s="79">
        <f>((1/1000000)*Table1[[#This Row],[Cup]]*Table1[[#This Row],[R ratio]]*Table1[[#This Row],[Inj Mass]])/Table1[[#This Row],[Q '[m3/sec']]]</f>
        <v>0</v>
      </c>
    </row>
    <row r="6" spans="1:42" s="72" customFormat="1" ht="16.5" x14ac:dyDescent="0.25">
      <c r="A6" s="80" t="s">
        <v>114</v>
      </c>
      <c r="B6" s="68">
        <f t="shared" si="1"/>
        <v>49600</v>
      </c>
      <c r="C6" s="68">
        <v>57100</v>
      </c>
      <c r="D6" s="69">
        <v>107.6</v>
      </c>
      <c r="E6" s="70">
        <v>17.7</v>
      </c>
      <c r="F6" s="71">
        <v>19.829999999999998</v>
      </c>
      <c r="G6" s="68"/>
      <c r="H6" s="69">
        <v>107.6</v>
      </c>
      <c r="I6" s="68"/>
      <c r="J6" s="72">
        <v>2.0000000000000002E-5</v>
      </c>
      <c r="K6" s="69">
        <v>2.4</v>
      </c>
      <c r="L6" s="69">
        <v>84.7</v>
      </c>
      <c r="M6" s="69">
        <v>4.3641000000000001E-3</v>
      </c>
      <c r="N6" s="75"/>
      <c r="O6" s="75"/>
      <c r="P6" s="75"/>
      <c r="Q6" s="81">
        <f>Table1[Q '[m3/sec']]/(Table1[depth '[meters']]*Table1[width '[meters']])</f>
        <v>0.52931916568280202</v>
      </c>
      <c r="R6" s="75">
        <f>(Table1[[#This Row],[Reach Length '[meters']]]/(Table1[[#This Row],[Q '[m3/sec']]]/(Table1[[#This Row],[depth '[meters']]]*Table1[[#This Row],[width '[meters']]])))/3600</f>
        <v>3.9358736059479558</v>
      </c>
      <c r="S6" s="75">
        <f>(Table1[[#This Row],[End Point distance  '[meters']]]/(3600*Table1[[#This Row],[Tp]]))</f>
        <v>0.79985431725219924</v>
      </c>
      <c r="T6" s="75">
        <v>1</v>
      </c>
      <c r="U6" s="75">
        <v>0</v>
      </c>
      <c r="V6" s="75">
        <v>0</v>
      </c>
      <c r="W6" s="82">
        <f>Table1[[#This Row],[End Point distance  '[meters']]]/1000</f>
        <v>57.1</v>
      </c>
      <c r="X6" s="69">
        <v>4.3641000000000001E-3</v>
      </c>
      <c r="Y6" s="76" t="str">
        <f>IF(AVERAGE(Table1[[#This Row],[Error Ti]]&lt;=AVERAGE(Table1[[#This Row],[Error Tp]])),"use Ti","use Tp")</f>
        <v>use Ti</v>
      </c>
      <c r="Z6" s="75">
        <f>Table1[[#This Row],[End Point distance  '[meters']]]-Table1[[#This Row],[Start point distance '[meters']]]</f>
        <v>7500</v>
      </c>
      <c r="AA6" s="82">
        <f>(Table1[[#This Row],[Tp]]-AN6)*3600</f>
        <v>71388</v>
      </c>
      <c r="AB6" s="83">
        <f>FLOOR((Table1[[#This Row],[Tp]]*3600)/Table1[[#This Row],[Delta T]],1)</f>
        <v>3569</v>
      </c>
      <c r="AC6" s="83">
        <f>Table1[[#This Row],[End Point distance  '[meters']]]/Delta_X__meters</f>
        <v>228.4</v>
      </c>
      <c r="AD6" s="83">
        <f>Table1[[#This Row],[Start point distance '[meters']]]/Delta_X__meters</f>
        <v>198.4</v>
      </c>
      <c r="AE6" s="75">
        <f>Delta_T__seconds</f>
        <v>20</v>
      </c>
      <c r="AF6" s="76">
        <f>((Table1[[#This Row],[Ti]]-Table1[[#This Row],[calculated time '[hours']]])/Table1[[#This Row],[Ti]])</f>
        <v>0.77763425955096299</v>
      </c>
      <c r="AG6" s="76">
        <f>(('Reach Propertise'!$F6-'Reach Propertise'!$R6)/'Reach Propertise'!$F6)</f>
        <v>0.80151923318467189</v>
      </c>
      <c r="AH6" s="76" t="e">
        <f>((Table1[[#This Row],[Tt]]-Table1[[#This Row],[calculated time '[hours']]])/Table1[[#This Row],[Tt]])</f>
        <v>#DIV/0!</v>
      </c>
      <c r="AI6" s="78">
        <f>Table1[[#This Row],[width '[meters']]]/Table1[[#This Row],[depth '[meters']]]</f>
        <v>35.291666666666671</v>
      </c>
      <c r="AJ6" s="82">
        <f>Table1[[#This Row],[depth '[meters']]]*Table1[[#This Row],[width '[meters']]]*Delta_X__meters</f>
        <v>50820</v>
      </c>
      <c r="AK6" s="82">
        <f>Table1[[#This Row],[Column3]]-Table1[[#This Row],[Column2]]</f>
        <v>19.829999999999998</v>
      </c>
      <c r="AL6" s="75"/>
      <c r="AM6" s="75">
        <f>'Reach Propertise'!$F6</f>
        <v>19.829999999999998</v>
      </c>
      <c r="AN6" s="75"/>
      <c r="AO6" s="79">
        <f>FLOOR(Table1[[#This Row],[End Point distance  '[meters']]]/Delta_X__meters,1)</f>
        <v>228</v>
      </c>
      <c r="AP6" s="79">
        <f>((1/1000000)*Table1[[#This Row],[Cup]]*Table1[[#This Row],[R ratio]]*Table1[[#This Row],[Inj Mass]])/Table1[[#This Row],[Q '[m3/sec']]]</f>
        <v>0</v>
      </c>
    </row>
    <row r="7" spans="1:42" s="72" customFormat="1" ht="16.5" x14ac:dyDescent="0.25">
      <c r="A7" s="80" t="s">
        <v>115</v>
      </c>
      <c r="B7" s="68">
        <f t="shared" si="1"/>
        <v>57100</v>
      </c>
      <c r="C7" s="68">
        <v>60500</v>
      </c>
      <c r="D7" s="69">
        <v>107.6</v>
      </c>
      <c r="E7" s="70">
        <v>19.03</v>
      </c>
      <c r="F7" s="71">
        <v>21.5</v>
      </c>
      <c r="G7" s="68"/>
      <c r="H7" s="69">
        <v>107.6</v>
      </c>
      <c r="I7" s="68"/>
      <c r="J7" s="72">
        <v>4.4000000000000007E-4</v>
      </c>
      <c r="K7" s="69">
        <v>2.4</v>
      </c>
      <c r="L7" s="69">
        <v>84.7</v>
      </c>
      <c r="M7" s="69">
        <v>3.885E-3</v>
      </c>
      <c r="N7" s="75"/>
      <c r="O7" s="75"/>
      <c r="P7" s="75"/>
      <c r="Q7" s="81">
        <f>Table1[Q '[m3/sec']]/(Table1[depth '[meters']]*Table1[width '[meters']])</f>
        <v>0.52931916568280202</v>
      </c>
      <c r="R7" s="75">
        <f>(Table1[[#This Row],[Reach Length '[meters']]]/(Table1[[#This Row],[Q '[m3/sec']]]/(Table1[[#This Row],[depth '[meters']]]*Table1[[#This Row],[width '[meters']]])))/3600</f>
        <v>1.7842627013630732</v>
      </c>
      <c r="S7" s="75">
        <f>(Table1[[#This Row],[End Point distance  '[meters']]]/(3600*Table1[[#This Row],[Tp]]))</f>
        <v>0.78165374677002586</v>
      </c>
      <c r="T7" s="75">
        <v>1</v>
      </c>
      <c r="U7" s="75">
        <v>0</v>
      </c>
      <c r="V7" s="75">
        <v>0</v>
      </c>
      <c r="W7" s="82">
        <f>Table1[[#This Row],[End Point distance  '[meters']]]/1000</f>
        <v>60.5</v>
      </c>
      <c r="X7" s="69">
        <v>3.885E-3</v>
      </c>
      <c r="Y7" s="76" t="str">
        <f>IF(AVERAGE(Table1[[#This Row],[Error Ti]]&lt;=AVERAGE(Table1[[#This Row],[Error Tp]])),"use Ti","use Tp")</f>
        <v>use Ti</v>
      </c>
      <c r="Z7" s="75">
        <f>Table1[[#This Row],[End Point distance  '[meters']]]-Table1[[#This Row],[Start point distance '[meters']]]</f>
        <v>3400</v>
      </c>
      <c r="AA7" s="82">
        <f>(Table1[[#This Row],[Tp]]-AN7)*3600</f>
        <v>77400</v>
      </c>
      <c r="AB7" s="83">
        <f>FLOOR((Table1[[#This Row],[Tp]]*3600)/Table1[[#This Row],[Delta T]],1)</f>
        <v>3870</v>
      </c>
      <c r="AC7" s="83">
        <f>Table1[[#This Row],[End Point distance  '[meters']]]/Delta_X__meters</f>
        <v>242</v>
      </c>
      <c r="AD7" s="83">
        <f>Table1[[#This Row],[Start point distance '[meters']]]/Delta_X__meters</f>
        <v>228.4</v>
      </c>
      <c r="AE7" s="75">
        <f>Delta_T__seconds</f>
        <v>20</v>
      </c>
      <c r="AF7" s="76">
        <f>((Table1[[#This Row],[Ti]]-Table1[[#This Row],[calculated time '[hours']]])/Table1[[#This Row],[Ti]])</f>
        <v>0.90623947969715857</v>
      </c>
      <c r="AG7" s="76">
        <f>(('Reach Propertise'!$F7-'Reach Propertise'!$R7)/'Reach Propertise'!$F7)</f>
        <v>0.9170110371459036</v>
      </c>
      <c r="AH7" s="76" t="e">
        <f>((Table1[[#This Row],[Tt]]-Table1[[#This Row],[calculated time '[hours']]])/Table1[[#This Row],[Tt]])</f>
        <v>#DIV/0!</v>
      </c>
      <c r="AI7" s="78">
        <f>Table1[[#This Row],[width '[meters']]]/Table1[[#This Row],[depth '[meters']]]</f>
        <v>35.291666666666671</v>
      </c>
      <c r="AJ7" s="82">
        <f>Table1[[#This Row],[depth '[meters']]]*Table1[[#This Row],[width '[meters']]]*Delta_X__meters</f>
        <v>50820</v>
      </c>
      <c r="AK7" s="82">
        <f>Table1[[#This Row],[Column3]]-Table1[[#This Row],[Column2]]</f>
        <v>21.5</v>
      </c>
      <c r="AL7" s="75"/>
      <c r="AM7" s="75">
        <f>'Reach Propertise'!$F7</f>
        <v>21.5</v>
      </c>
      <c r="AN7" s="75"/>
      <c r="AO7" s="79">
        <f>FLOOR(Table1[[#This Row],[End Point distance  '[meters']]]/Delta_X__meters,1)</f>
        <v>242</v>
      </c>
      <c r="AP7" s="79">
        <f>((1/1000000)*Table1[[#This Row],[Cup]]*Table1[[#This Row],[R ratio]]*Table1[[#This Row],[Inj Mass]])/Table1[[#This Row],[Q '[m3/sec']]]</f>
        <v>0</v>
      </c>
    </row>
    <row r="8" spans="1:42" s="72" customFormat="1" ht="16.5" x14ac:dyDescent="0.25">
      <c r="A8" s="80" t="s">
        <v>116</v>
      </c>
      <c r="B8" s="68">
        <f t="shared" si="1"/>
        <v>60500</v>
      </c>
      <c r="C8" s="68">
        <v>76600</v>
      </c>
      <c r="D8" s="69">
        <v>107.6</v>
      </c>
      <c r="E8" s="70">
        <v>24.75</v>
      </c>
      <c r="F8" s="71">
        <v>28.82</v>
      </c>
      <c r="G8" s="68"/>
      <c r="H8" s="69">
        <v>107.6</v>
      </c>
      <c r="I8" s="68"/>
      <c r="J8" s="72">
        <v>9.8999999999999999E-4</v>
      </c>
      <c r="K8" s="69">
        <v>2</v>
      </c>
      <c r="L8" s="69">
        <v>75.599999999999994</v>
      </c>
      <c r="M8" s="69">
        <v>3.1906999999999999E-3</v>
      </c>
      <c r="N8" s="75"/>
      <c r="O8" s="75"/>
      <c r="P8" s="75"/>
      <c r="Q8" s="81">
        <f>Table1[Q '[m3/sec']]/(Table1[depth '[meters']]*Table1[width '[meters']])</f>
        <v>0.71164021164021163</v>
      </c>
      <c r="R8" s="75">
        <f>(Table1[[#This Row],[Reach Length '[meters']]]/(Table1[[#This Row],[Q '[m3/sec']]]/(Table1[[#This Row],[depth '[meters']]]*Table1[[#This Row],[width '[meters']]])))/3600</f>
        <v>6.2843866171003722</v>
      </c>
      <c r="S8" s="75">
        <f>(Table1[[#This Row],[End Point distance  '[meters']]]/(3600*Table1[[#This Row],[Tp]]))</f>
        <v>0.73829902074176879</v>
      </c>
      <c r="T8" s="75">
        <v>1</v>
      </c>
      <c r="U8" s="75">
        <v>0</v>
      </c>
      <c r="V8" s="75">
        <v>0</v>
      </c>
      <c r="W8" s="82">
        <f>Table1[[#This Row],[End Point distance  '[meters']]]/1000</f>
        <v>76.599999999999994</v>
      </c>
      <c r="X8" s="69">
        <v>3.1906999999999999E-3</v>
      </c>
      <c r="Y8" s="76" t="str">
        <f>IF(AVERAGE(Table1[[#This Row],[Error Ti]]&lt;=AVERAGE(Table1[[#This Row],[Error Tp]])),"use Ti","use Tp")</f>
        <v>use Ti</v>
      </c>
      <c r="Z8" s="75">
        <f>Table1[[#This Row],[End Point distance  '[meters']]]-Table1[[#This Row],[Start point distance '[meters']]]</f>
        <v>16100</v>
      </c>
      <c r="AA8" s="82">
        <f>(Table1[[#This Row],[Tp]]-AN8)*3600</f>
        <v>103752</v>
      </c>
      <c r="AB8" s="83">
        <f>FLOOR((Table1[[#This Row],[Tp]]*3600)/Table1[[#This Row],[Delta T]],1)</f>
        <v>5187</v>
      </c>
      <c r="AC8" s="83">
        <f>Table1[[#This Row],[End Point distance  '[meters']]]/Delta_X__meters</f>
        <v>306.39999999999998</v>
      </c>
      <c r="AD8" s="83">
        <f>Table1[[#This Row],[Start point distance '[meters']]]/Delta_X__meters</f>
        <v>242</v>
      </c>
      <c r="AE8" s="75">
        <f>Delta_T__seconds</f>
        <v>20</v>
      </c>
      <c r="AF8" s="76">
        <f>((Table1[[#This Row],[Ti]]-Table1[[#This Row],[calculated time '[hours']]])/Table1[[#This Row],[Ti]])</f>
        <v>0.74608538920806566</v>
      </c>
      <c r="AG8" s="76">
        <f>(('Reach Propertise'!$F8-'Reach Propertise'!$R8)/'Reach Propertise'!$F8)</f>
        <v>0.78194355943440752</v>
      </c>
      <c r="AH8" s="76" t="e">
        <f>((Table1[[#This Row],[Tt]]-Table1[[#This Row],[calculated time '[hours']]])/Table1[[#This Row],[Tt]])</f>
        <v>#DIV/0!</v>
      </c>
      <c r="AI8" s="78">
        <f>Table1[[#This Row],[width '[meters']]]/Table1[[#This Row],[depth '[meters']]]</f>
        <v>37.799999999999997</v>
      </c>
      <c r="AJ8" s="82">
        <f>Table1[[#This Row],[depth '[meters']]]*Table1[[#This Row],[width '[meters']]]*Delta_X__meters</f>
        <v>37800</v>
      </c>
      <c r="AK8" s="82">
        <f>Table1[[#This Row],[Column3]]-Table1[[#This Row],[Column2]]</f>
        <v>28.82</v>
      </c>
      <c r="AL8" s="75"/>
      <c r="AM8" s="75">
        <f>'Reach Propertise'!$F8</f>
        <v>28.82</v>
      </c>
      <c r="AN8" s="75"/>
      <c r="AO8" s="79">
        <f>FLOOR(Table1[[#This Row],[End Point distance  '[meters']]]/Delta_X__meters,1)</f>
        <v>306</v>
      </c>
      <c r="AP8" s="79">
        <f>((1/1000000)*Table1[[#This Row],[Cup]]*Table1[[#This Row],[R ratio]]*Table1[[#This Row],[Inj Mass]])/Table1[[#This Row],[Q '[m3/sec']]]</f>
        <v>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6"/>
  <sheetViews>
    <sheetView workbookViewId="0">
      <selection sqref="A1:C6"/>
    </sheetView>
  </sheetViews>
  <sheetFormatPr defaultRowHeight="15" x14ac:dyDescent="0.25"/>
  <cols>
    <col min="1" max="1" width="17.140625" customWidth="1"/>
  </cols>
  <sheetData>
    <row r="1" spans="1:4" ht="45" x14ac:dyDescent="0.25">
      <c r="A1" s="51" t="s">
        <v>26</v>
      </c>
      <c r="B1" s="51" t="s">
        <v>27</v>
      </c>
      <c r="C1" s="51" t="s">
        <v>28</v>
      </c>
      <c r="D1" s="15"/>
    </row>
    <row r="2" spans="1:4" x14ac:dyDescent="0.25">
      <c r="A2" s="50"/>
      <c r="B2" s="50"/>
      <c r="C2" s="50"/>
    </row>
    <row r="3" spans="1:4" x14ac:dyDescent="0.25">
      <c r="A3" s="50"/>
      <c r="B3" s="50"/>
      <c r="C3" s="50"/>
    </row>
    <row r="4" spans="1:4" x14ac:dyDescent="0.25">
      <c r="A4" s="50"/>
      <c r="B4" s="50"/>
      <c r="C4" s="50"/>
    </row>
    <row r="5" spans="1:4" x14ac:dyDescent="0.25">
      <c r="A5" s="50"/>
      <c r="B5" s="50"/>
      <c r="C5" s="50"/>
    </row>
    <row r="6" spans="1:4" x14ac:dyDescent="0.25">
      <c r="A6" s="50"/>
      <c r="B6" s="50"/>
      <c r="C6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M4"/>
  <sheetViews>
    <sheetView workbookViewId="0">
      <selection activeCell="D3" sqref="D3"/>
    </sheetView>
  </sheetViews>
  <sheetFormatPr defaultRowHeight="15" x14ac:dyDescent="0.25"/>
  <cols>
    <col min="1" max="1" width="17.140625" style="17" customWidth="1"/>
    <col min="2" max="2" width="11.85546875" style="18" customWidth="1"/>
    <col min="3" max="4" width="17.5703125" style="17" customWidth="1"/>
    <col min="5" max="5" width="17.5703125" style="18" customWidth="1"/>
    <col min="6" max="6" width="22" style="17" customWidth="1"/>
    <col min="7" max="7" width="16" style="18" customWidth="1"/>
    <col min="8" max="8" width="11.7109375" style="17" customWidth="1"/>
    <col min="9" max="9" width="28" style="17" customWidth="1"/>
    <col min="10" max="10" width="9.85546875" style="17" bestFit="1" customWidth="1"/>
    <col min="11" max="11" width="8.85546875" style="17" bestFit="1" customWidth="1"/>
    <col min="12" max="12" width="10.5703125" style="17" customWidth="1"/>
    <col min="13" max="16384" width="9.140625" style="17"/>
  </cols>
  <sheetData>
    <row r="1" spans="1:13" s="16" customFormat="1" ht="52.5" customHeight="1" x14ac:dyDescent="0.25">
      <c r="A1" s="52" t="s">
        <v>29</v>
      </c>
      <c r="B1" s="52" t="s">
        <v>17</v>
      </c>
      <c r="C1" s="52" t="s">
        <v>16</v>
      </c>
      <c r="D1" s="52" t="s">
        <v>69</v>
      </c>
      <c r="E1" s="52" t="s">
        <v>70</v>
      </c>
      <c r="F1" s="52" t="s">
        <v>71</v>
      </c>
      <c r="G1" s="52" t="s">
        <v>19</v>
      </c>
      <c r="H1" s="52" t="s">
        <v>20</v>
      </c>
      <c r="I1" s="52" t="s">
        <v>33</v>
      </c>
      <c r="J1" s="52" t="s">
        <v>16</v>
      </c>
      <c r="K1" s="52" t="s">
        <v>24</v>
      </c>
      <c r="L1" s="52" t="s">
        <v>25</v>
      </c>
      <c r="M1" s="52" t="s">
        <v>21</v>
      </c>
    </row>
    <row r="2" spans="1:13" x14ac:dyDescent="0.25">
      <c r="A2" s="53">
        <f>FLOOR(Delta_X__meters + 0.1*Delta_X__meters,1) + 5</f>
        <v>280</v>
      </c>
      <c r="B2" s="13">
        <v>7814</v>
      </c>
      <c r="C2" s="54">
        <v>0</v>
      </c>
      <c r="D2" s="53">
        <f>FLOOR(Delta_T__seconds + 0.15 * Delta_T__seconds,1) + 3</f>
        <v>26</v>
      </c>
      <c r="F2" s="53"/>
      <c r="G2" s="53"/>
      <c r="H2" s="53"/>
      <c r="I2" s="53"/>
      <c r="J2" s="53"/>
      <c r="K2" s="53"/>
      <c r="L2" s="53"/>
      <c r="M2" s="18"/>
    </row>
    <row r="3" spans="1:13" x14ac:dyDescent="0.25">
      <c r="A3" s="53"/>
      <c r="B3" s="53"/>
      <c r="C3" s="53"/>
      <c r="D3" s="53"/>
      <c r="F3" s="53"/>
      <c r="G3" s="53"/>
      <c r="H3" s="53"/>
      <c r="I3" s="53"/>
      <c r="J3" s="53"/>
      <c r="K3" s="53"/>
      <c r="L3" s="53"/>
    </row>
    <row r="4" spans="1:13" x14ac:dyDescent="0.25">
      <c r="I4" s="18"/>
    </row>
  </sheetData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B1" workbookViewId="0">
      <selection activeCell="N17" sqref="N17"/>
    </sheetView>
  </sheetViews>
  <sheetFormatPr defaultRowHeight="15" x14ac:dyDescent="0.25"/>
  <cols>
    <col min="1" max="1" width="47.140625" bestFit="1" customWidth="1"/>
    <col min="16" max="16" width="44.7109375" bestFit="1" customWidth="1"/>
  </cols>
  <sheetData>
    <row r="1" spans="1:16" ht="15.75" thickBot="1" x14ac:dyDescent="0.3">
      <c r="A1" s="11" t="s">
        <v>60</v>
      </c>
      <c r="H1">
        <v>1</v>
      </c>
    </row>
    <row r="2" spans="1:16" ht="16.5" thickBot="1" x14ac:dyDescent="0.3">
      <c r="A2" s="12" t="s">
        <v>61</v>
      </c>
      <c r="H2">
        <v>5</v>
      </c>
      <c r="P2" s="59" t="s">
        <v>105</v>
      </c>
    </row>
    <row r="3" spans="1:16" ht="15.75" thickBot="1" x14ac:dyDescent="0.3">
      <c r="A3" s="12" t="s">
        <v>66</v>
      </c>
      <c r="H3">
        <v>10</v>
      </c>
      <c r="P3" s="60" t="s">
        <v>85</v>
      </c>
    </row>
    <row r="4" spans="1:16" ht="15.75" thickBot="1" x14ac:dyDescent="0.3">
      <c r="A4" s="12" t="s">
        <v>62</v>
      </c>
      <c r="H4">
        <v>25</v>
      </c>
      <c r="P4" s="60" t="s">
        <v>86</v>
      </c>
    </row>
    <row r="5" spans="1:16" ht="15.75" thickBot="1" x14ac:dyDescent="0.3">
      <c r="A5" s="12" t="s">
        <v>63</v>
      </c>
      <c r="H5">
        <v>50</v>
      </c>
      <c r="P5" s="60" t="s">
        <v>87</v>
      </c>
    </row>
    <row r="6" spans="1:16" ht="15.75" thickBot="1" x14ac:dyDescent="0.3">
      <c r="A6" s="12" t="s">
        <v>64</v>
      </c>
      <c r="H6">
        <v>100</v>
      </c>
      <c r="P6" s="60" t="s">
        <v>88</v>
      </c>
    </row>
    <row r="7" spans="1:16" ht="15.75" thickBot="1" x14ac:dyDescent="0.3">
      <c r="A7" s="12" t="s">
        <v>65</v>
      </c>
      <c r="H7">
        <v>150</v>
      </c>
      <c r="P7" s="60" t="s">
        <v>89</v>
      </c>
    </row>
    <row r="8" spans="1:16" ht="15.75" thickBot="1" x14ac:dyDescent="0.3">
      <c r="A8" s="10" t="s">
        <v>67</v>
      </c>
      <c r="H8">
        <v>200</v>
      </c>
      <c r="P8" s="60" t="s">
        <v>90</v>
      </c>
    </row>
    <row r="9" spans="1:16" ht="15.75" thickBot="1" x14ac:dyDescent="0.3">
      <c r="A9" s="12" t="s">
        <v>68</v>
      </c>
      <c r="H9">
        <v>250</v>
      </c>
      <c r="P9" s="60" t="s">
        <v>91</v>
      </c>
    </row>
    <row r="10" spans="1:16" ht="15.75" thickBot="1" x14ac:dyDescent="0.3">
      <c r="A10" s="10" t="s">
        <v>8</v>
      </c>
      <c r="H10">
        <v>300</v>
      </c>
      <c r="P10" s="60" t="s">
        <v>92</v>
      </c>
    </row>
    <row r="11" spans="1:16" ht="15.75" thickBot="1" x14ac:dyDescent="0.3">
      <c r="H11">
        <v>350</v>
      </c>
      <c r="P11" s="60" t="s">
        <v>93</v>
      </c>
    </row>
    <row r="12" spans="1:16" ht="19.5" thickBot="1" x14ac:dyDescent="0.3">
      <c r="H12">
        <v>400</v>
      </c>
      <c r="P12" s="61" t="s">
        <v>103</v>
      </c>
    </row>
    <row r="13" spans="1:16" ht="15.75" thickBot="1" x14ac:dyDescent="0.3">
      <c r="H13">
        <v>450</v>
      </c>
      <c r="P13" s="60" t="s">
        <v>94</v>
      </c>
    </row>
    <row r="14" spans="1:16" ht="15.75" thickBot="1" x14ac:dyDescent="0.3">
      <c r="H14">
        <v>500</v>
      </c>
      <c r="P14" s="60" t="s">
        <v>95</v>
      </c>
    </row>
    <row r="15" spans="1:16" ht="15.75" thickBot="1" x14ac:dyDescent="0.3">
      <c r="H15">
        <v>550</v>
      </c>
      <c r="P15" s="60" t="s">
        <v>96</v>
      </c>
    </row>
    <row r="16" spans="1:16" ht="15.75" thickBot="1" x14ac:dyDescent="0.3">
      <c r="H16">
        <v>600</v>
      </c>
      <c r="P16" s="60" t="s">
        <v>97</v>
      </c>
    </row>
    <row r="17" spans="8:16" ht="15.75" thickBot="1" x14ac:dyDescent="0.3">
      <c r="H17">
        <v>650</v>
      </c>
      <c r="P17" s="60" t="s">
        <v>98</v>
      </c>
    </row>
    <row r="18" spans="8:16" ht="15.75" thickBot="1" x14ac:dyDescent="0.3">
      <c r="H18">
        <v>700</v>
      </c>
      <c r="P18" s="60" t="s">
        <v>99</v>
      </c>
    </row>
    <row r="19" spans="8:16" ht="15.75" thickBot="1" x14ac:dyDescent="0.3">
      <c r="H19">
        <v>750</v>
      </c>
      <c r="P19" s="60" t="s">
        <v>100</v>
      </c>
    </row>
    <row r="20" spans="8:16" ht="15.75" thickBot="1" x14ac:dyDescent="0.3">
      <c r="H20">
        <v>800</v>
      </c>
      <c r="P20" s="60" t="s">
        <v>101</v>
      </c>
    </row>
    <row r="21" spans="8:16" ht="15.75" thickBot="1" x14ac:dyDescent="0.3">
      <c r="H21">
        <v>900</v>
      </c>
      <c r="P21" s="60" t="s">
        <v>102</v>
      </c>
    </row>
    <row r="22" spans="8:16" x14ac:dyDescent="0.25">
      <c r="H22">
        <v>1000</v>
      </c>
      <c r="P22" s="62" t="s">
        <v>104</v>
      </c>
    </row>
    <row r="23" spans="8:16" x14ac:dyDescent="0.25">
      <c r="H23">
        <v>1250</v>
      </c>
      <c r="P23" s="62"/>
    </row>
    <row r="24" spans="8:16" x14ac:dyDescent="0.25">
      <c r="H24">
        <v>1500</v>
      </c>
      <c r="P24" s="63"/>
    </row>
    <row r="25" spans="8:16" x14ac:dyDescent="0.25">
      <c r="P25" s="64"/>
    </row>
  </sheetData>
  <hyperlinks>
    <hyperlink ref="P3" location="_ENREF_6" tooltip="Elder, 1959 #121" display="_ENREF_6"/>
    <hyperlink ref="P4" location="_ENREF_8" tooltip="Fischer, 1966 #31" display="_ENREF_8"/>
    <hyperlink ref="P5" location="_ENREF_16" tooltip="McQuivey, 1974 #104" display="_ENREF_16"/>
    <hyperlink ref="P6" location="_ENREF_9" tooltip="Fischer, 1975 #40" display="_ENREF_9"/>
    <hyperlink ref="P7" location="_ENREF_15" tooltip="Liu, 1977 #103" display="_ENREF_15"/>
    <hyperlink ref="P8" location="_ENREF_13" tooltip="Koussis, 1988 #101" display="_ENREF_13"/>
    <hyperlink ref="P9" location="_ENREF_11" tooltip="Iwasa, 1991 #68" display="_ENREF_11"/>
    <hyperlink ref="P10" location="_ENREF_20" tooltip="Seo, 1998 #95" display="_ENREF_20"/>
    <hyperlink ref="P11" location="_ENREF_14" tooltip="Li, 1998 #106" display="_ENREF_14"/>
    <hyperlink ref="P13" location="_ENREF_4" tooltip="Deng, 2001 #65" display="_ENREF_4"/>
    <hyperlink ref="P14" location="_ENREF_12" tooltip="Kashefipour, 2002 #84" display="_ENREF_12"/>
    <hyperlink ref="P15" location="_ENREF_22" tooltip="Tavakollizadeh, 2007 #108" display="_ENREF_22"/>
    <hyperlink ref="P16" location="_ENREF_19" tooltip="Sahay, 2009 #64" display="_ENREF_19"/>
    <hyperlink ref="P17" location="_ENREF_2" tooltip="Azamathulla, 2011 #110" display="_ENREF_2"/>
    <hyperlink ref="P18" location="_ENREF_7" tooltip="Etemadshahidi, 2012 #78" display="_ENREF_7"/>
    <hyperlink ref="P19" location="_ENREF_23" tooltip="Zeng, 2014 #101" display="_ENREF_23"/>
    <hyperlink ref="P20" location="_ENREF_5" tooltip="Disley, 2015 #18" display="_ENREF_5"/>
    <hyperlink ref="P21" location="_ENREF_17" tooltip="Noori, 2017 #112" display="_ENREF_17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A2" sqref="A2:S9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2.5703125" customWidth="1"/>
    <col min="4" max="4" width="13.28515625" bestFit="1" customWidth="1"/>
    <col min="5" max="5" width="12" bestFit="1" customWidth="1"/>
    <col min="6" max="6" width="15.42578125" customWidth="1"/>
    <col min="7" max="7" width="14.140625" customWidth="1"/>
    <col min="8" max="8" width="10.28515625" customWidth="1"/>
    <col min="9" max="9" width="9.5703125" customWidth="1"/>
    <col min="10" max="10" width="10.7109375" customWidth="1"/>
    <col min="11" max="11" width="9.7109375" customWidth="1"/>
    <col min="12" max="12" width="13.85546875" customWidth="1"/>
    <col min="13" max="13" width="17.5703125" customWidth="1"/>
    <col min="14" max="14" width="13.42578125" customWidth="1"/>
    <col min="15" max="15" width="14" customWidth="1"/>
    <col min="16" max="16" width="13.140625" customWidth="1"/>
    <col min="17" max="17" width="12.5703125" customWidth="1"/>
    <col min="18" max="18" width="15.5703125" bestFit="1" customWidth="1"/>
    <col min="19" max="19" width="10.7109375" customWidth="1"/>
  </cols>
  <sheetData>
    <row r="1" spans="1:24" s="65" customFormat="1" ht="60" x14ac:dyDescent="0.25">
      <c r="A1" s="65" t="s">
        <v>85</v>
      </c>
      <c r="B1" s="65" t="s">
        <v>86</v>
      </c>
      <c r="C1" s="65" t="s">
        <v>87</v>
      </c>
      <c r="D1" s="65" t="s">
        <v>88</v>
      </c>
      <c r="E1" s="65" t="s">
        <v>89</v>
      </c>
      <c r="F1" s="65" t="s">
        <v>90</v>
      </c>
      <c r="G1" s="65" t="s">
        <v>91</v>
      </c>
      <c r="H1" s="65" t="s">
        <v>92</v>
      </c>
      <c r="I1" s="65" t="s">
        <v>93</v>
      </c>
      <c r="J1" s="65" t="s">
        <v>109</v>
      </c>
      <c r="K1" s="65" t="s">
        <v>94</v>
      </c>
      <c r="L1" s="65" t="s">
        <v>95</v>
      </c>
      <c r="M1" s="65" t="s">
        <v>96</v>
      </c>
      <c r="N1" s="65" t="s">
        <v>97</v>
      </c>
      <c r="O1" s="65" t="s">
        <v>98</v>
      </c>
      <c r="P1" s="65" t="s">
        <v>99</v>
      </c>
      <c r="Q1" s="65" t="s">
        <v>100</v>
      </c>
      <c r="R1" s="65" t="s">
        <v>101</v>
      </c>
      <c r="S1" s="65" t="s">
        <v>102</v>
      </c>
    </row>
    <row r="2" spans="1:24" x14ac:dyDescent="0.25">
      <c r="A2">
        <v>1.4056839659935745</v>
      </c>
      <c r="B2">
        <v>1.7777987324569243E+21</v>
      </c>
      <c r="C2">
        <v>1.1910253880017179</v>
      </c>
      <c r="D2">
        <v>215.74304580428253</v>
      </c>
      <c r="E2">
        <v>636633169.41425276</v>
      </c>
      <c r="F2">
        <v>710207759.13756084</v>
      </c>
      <c r="G2">
        <v>86.695898379278091</v>
      </c>
      <c r="H2">
        <v>241.61687931721721</v>
      </c>
      <c r="I2">
        <v>59.882331932939017</v>
      </c>
      <c r="J2">
        <v>0.85293722549647311</v>
      </c>
      <c r="K2">
        <v>256.6855803108611</v>
      </c>
      <c r="L2">
        <v>222.9117577645826</v>
      </c>
      <c r="M2">
        <v>1505.5707160759537</v>
      </c>
      <c r="N2">
        <v>205.15695157619439</v>
      </c>
      <c r="O2">
        <v>65535</v>
      </c>
      <c r="P2">
        <v>178.95887144906322</v>
      </c>
      <c r="Q2">
        <v>19.341470625919751</v>
      </c>
      <c r="R2">
        <v>160.44177672661223</v>
      </c>
      <c r="S2">
        <v>89.646679460255967</v>
      </c>
    </row>
    <row r="3" spans="1:24" x14ac:dyDescent="0.25">
      <c r="A3">
        <v>1.4713691473545374</v>
      </c>
      <c r="B3">
        <v>5.5364948687776123E+18</v>
      </c>
      <c r="C3">
        <v>1.8855904903388536</v>
      </c>
      <c r="D3">
        <v>176.58678673687348</v>
      </c>
      <c r="E3">
        <v>1011618.9334947295</v>
      </c>
      <c r="F3">
        <v>1007128.7654989791</v>
      </c>
      <c r="G3">
        <v>53.633827529238019</v>
      </c>
      <c r="H3">
        <v>281.65997787347629</v>
      </c>
      <c r="I3">
        <v>52.21783688418116</v>
      </c>
      <c r="J3">
        <v>0.41483037552582874</v>
      </c>
      <c r="K3">
        <v>278.86994602903144</v>
      </c>
      <c r="L3">
        <v>327.85905290862144</v>
      </c>
      <c r="M3">
        <v>2368.1055163968986</v>
      </c>
      <c r="N3">
        <v>203.85363602237823</v>
      </c>
      <c r="O3">
        <v>65535</v>
      </c>
      <c r="P3">
        <v>183.54174000437905</v>
      </c>
      <c r="Q3">
        <v>16.315148049889046</v>
      </c>
      <c r="R3">
        <v>171.96639448995685</v>
      </c>
      <c r="S3">
        <v>85.372678802088956</v>
      </c>
    </row>
    <row r="4" spans="1:24" x14ac:dyDescent="0.25">
      <c r="A4">
        <v>1.552628688047061</v>
      </c>
      <c r="B4">
        <v>1.6794350529626164E+21</v>
      </c>
      <c r="C4">
        <v>1.1501667135782159</v>
      </c>
      <c r="D4">
        <v>222.22671803924302</v>
      </c>
      <c r="E4">
        <v>691017530.79728186</v>
      </c>
      <c r="F4">
        <v>784450109.68819332</v>
      </c>
      <c r="G4">
        <v>95.758749630850659</v>
      </c>
      <c r="H4">
        <v>253.89747729682549</v>
      </c>
      <c r="I4">
        <v>63.428778867962194</v>
      </c>
      <c r="J4">
        <v>0.94209995806066038</v>
      </c>
      <c r="K4">
        <v>270.69891423783127</v>
      </c>
      <c r="L4">
        <v>231.32585294315339</v>
      </c>
      <c r="M4">
        <v>1510.6120716180671</v>
      </c>
      <c r="N4">
        <v>216.92812986572778</v>
      </c>
      <c r="O4">
        <v>65535</v>
      </c>
      <c r="P4">
        <v>191.8876203240313</v>
      </c>
      <c r="Q4">
        <v>21.266625273635601</v>
      </c>
      <c r="R4">
        <v>166.5717436779895</v>
      </c>
      <c r="S4">
        <v>95.204805647050293</v>
      </c>
    </row>
    <row r="5" spans="1:24" x14ac:dyDescent="0.25">
      <c r="A5">
        <v>1.1083384243234211</v>
      </c>
      <c r="B5">
        <v>2.7545064009176418E+22</v>
      </c>
      <c r="C5">
        <v>1.5282113804069806</v>
      </c>
      <c r="D5">
        <v>307.9299610009611</v>
      </c>
      <c r="E5">
        <v>1682606454.9576898</v>
      </c>
      <c r="F5">
        <v>1657095339.8755083</v>
      </c>
      <c r="G5">
        <v>73.398547603888389</v>
      </c>
      <c r="H5">
        <v>280.08150687824156</v>
      </c>
      <c r="I5">
        <v>67.730136304794556</v>
      </c>
      <c r="J5">
        <v>0.7051874564705507</v>
      </c>
      <c r="K5">
        <v>288.28697905440771</v>
      </c>
      <c r="L5" s="19">
        <v>277.89525879021909</v>
      </c>
      <c r="M5">
        <v>2423.1657287039388</v>
      </c>
      <c r="N5">
        <v>231.19457944463582</v>
      </c>
      <c r="O5">
        <v>65535</v>
      </c>
      <c r="P5">
        <v>179.52655394174778</v>
      </c>
      <c r="Q5">
        <v>16.284344153497617</v>
      </c>
      <c r="R5">
        <v>167.36945635393602</v>
      </c>
      <c r="S5">
        <v>98.110825331970574</v>
      </c>
    </row>
    <row r="6" spans="1:24" x14ac:dyDescent="0.25">
      <c r="A6">
        <v>0.30043549763295735</v>
      </c>
      <c r="B6">
        <v>1.1877277624004547E+25</v>
      </c>
      <c r="C6">
        <v>5.2742998787049062</v>
      </c>
      <c r="D6">
        <v>996.51706621794187</v>
      </c>
      <c r="E6">
        <v>2360924570.8724823</v>
      </c>
      <c r="F6">
        <v>1278492149.5263391</v>
      </c>
      <c r="G6">
        <v>21.243926989997522</v>
      </c>
      <c r="H6">
        <v>430.50022335372313</v>
      </c>
      <c r="I6">
        <v>81.645276946261149</v>
      </c>
      <c r="J6">
        <v>0.18631997622810625</v>
      </c>
      <c r="K6">
        <v>320.7254768273292</v>
      </c>
      <c r="L6">
        <v>687.37192766111752</v>
      </c>
      <c r="M6">
        <v>18102.239322756344</v>
      </c>
      <c r="N6">
        <v>291.50687943110427</v>
      </c>
      <c r="O6">
        <v>65535</v>
      </c>
      <c r="P6" s="31">
        <v>138.15226738619569</v>
      </c>
      <c r="Q6" s="31">
        <v>5.3170305457334655</v>
      </c>
      <c r="R6" s="31">
        <v>168.62001399386003</v>
      </c>
      <c r="S6" s="31">
        <v>106.711199464503</v>
      </c>
      <c r="T6" s="31"/>
      <c r="U6" s="31"/>
      <c r="V6" s="31"/>
      <c r="W6" s="31"/>
      <c r="X6" s="31"/>
    </row>
    <row r="7" spans="1:24" x14ac:dyDescent="0.25">
      <c r="A7">
        <v>1.409167392908018</v>
      </c>
      <c r="B7">
        <v>2.5004987966980388E+24</v>
      </c>
      <c r="C7">
        <v>1.0988970283150705</v>
      </c>
      <c r="D7">
        <v>202.89925002223958</v>
      </c>
      <c r="E7">
        <v>5054632001.2529783</v>
      </c>
      <c r="F7">
        <v>5996659726.9488735</v>
      </c>
      <c r="G7">
        <v>99.642849954422701</v>
      </c>
      <c r="H7">
        <v>214.99083921480675</v>
      </c>
      <c r="I7">
        <v>58.303284764809796</v>
      </c>
      <c r="J7">
        <v>0.87391815287023633</v>
      </c>
      <c r="K7">
        <v>233.75810837828539</v>
      </c>
      <c r="L7">
        <v>183.46265952740421</v>
      </c>
      <c r="M7">
        <v>1140.0408369288211</v>
      </c>
      <c r="N7">
        <v>192.46438404563074</v>
      </c>
      <c r="O7">
        <v>2.7954333796177884E+178</v>
      </c>
      <c r="P7" s="31">
        <v>170.82157063232501</v>
      </c>
      <c r="Q7" s="31">
        <v>20.338713520745497</v>
      </c>
      <c r="R7" s="31">
        <v>162.94320298506472</v>
      </c>
      <c r="S7" s="31">
        <v>85.716128010718748</v>
      </c>
      <c r="T7" s="31"/>
      <c r="U7" s="31"/>
      <c r="V7" s="31"/>
      <c r="W7" s="31"/>
      <c r="X7" s="31"/>
    </row>
    <row r="8" spans="1:24" x14ac:dyDescent="0.25">
      <c r="A8">
        <v>1.610853895680719</v>
      </c>
      <c r="B8">
        <v>3.868201152606407E+21</v>
      </c>
      <c r="C8">
        <v>0.63054896753778478</v>
      </c>
      <c r="D8">
        <v>126.15352860967488</v>
      </c>
      <c r="E8">
        <v>27279613594.576786</v>
      </c>
      <c r="F8">
        <v>39001970084.143196</v>
      </c>
      <c r="G8">
        <v>126.26097939467532</v>
      </c>
      <c r="H8">
        <v>150.51659702357361</v>
      </c>
      <c r="I8">
        <v>46.567592879254612</v>
      </c>
      <c r="J8">
        <v>1.4118740510624852</v>
      </c>
      <c r="K8">
        <v>170.12100715575511</v>
      </c>
      <c r="L8">
        <v>111.04812869136812</v>
      </c>
      <c r="M8">
        <v>491.24657160964426</v>
      </c>
      <c r="N8">
        <v>147.40072477818956</v>
      </c>
      <c r="O8">
        <v>36.069171254264894</v>
      </c>
      <c r="P8" s="31">
        <v>148.27838876461212</v>
      </c>
      <c r="Q8" s="31">
        <v>23.239318384723983</v>
      </c>
      <c r="R8" s="31">
        <v>131.83868176335167</v>
      </c>
      <c r="S8" s="31">
        <v>68.970232752916189</v>
      </c>
      <c r="T8" s="31"/>
      <c r="U8" s="31"/>
      <c r="V8" s="31"/>
      <c r="W8" s="31"/>
      <c r="X8" s="31"/>
    </row>
    <row r="9" spans="1:24" x14ac:dyDescent="0.2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s="31"/>
      <c r="U9" s="31"/>
      <c r="V9" s="31"/>
      <c r="W9" s="31"/>
      <c r="X9" s="31"/>
    </row>
    <row r="10" spans="1:24" x14ac:dyDescent="0.25">
      <c r="P10" s="31"/>
      <c r="Q10" s="31"/>
      <c r="R10" s="31"/>
      <c r="S10" s="31"/>
      <c r="T10" s="31"/>
      <c r="U10" s="31"/>
      <c r="V10" s="31"/>
      <c r="W10" s="31"/>
      <c r="X10" s="31"/>
    </row>
    <row r="11" spans="1:24" x14ac:dyDescent="0.25">
      <c r="P11" s="31"/>
      <c r="Q11" s="31"/>
      <c r="R11" s="31"/>
      <c r="S11" s="31"/>
      <c r="T11" s="31"/>
      <c r="U11" s="31"/>
      <c r="V11" s="31"/>
      <c r="W11" s="31"/>
      <c r="X11" s="31"/>
    </row>
    <row r="12" spans="1:24" x14ac:dyDescent="0.25">
      <c r="P12" s="31"/>
      <c r="Q12" s="31"/>
      <c r="R12" s="31"/>
      <c r="S12" s="31"/>
      <c r="T12" s="31"/>
      <c r="U12" s="31"/>
      <c r="V12" s="31"/>
      <c r="W12" s="31"/>
      <c r="X12" s="31"/>
    </row>
    <row r="13" spans="1:24" ht="45" x14ac:dyDescent="0.25">
      <c r="C13" s="65" t="s">
        <v>85</v>
      </c>
      <c r="D13" s="65" t="s">
        <v>86</v>
      </c>
      <c r="E13" s="65" t="s">
        <v>89</v>
      </c>
      <c r="F13" s="65" t="s">
        <v>90</v>
      </c>
      <c r="G13" s="65" t="s">
        <v>98</v>
      </c>
      <c r="O13" t="s">
        <v>120</v>
      </c>
      <c r="P13" t="s">
        <v>119</v>
      </c>
      <c r="R13" t="s">
        <v>118</v>
      </c>
      <c r="T13" t="s">
        <v>117</v>
      </c>
    </row>
    <row r="14" spans="1:24" x14ac:dyDescent="0.25">
      <c r="C14">
        <v>0.68015664268852827</v>
      </c>
      <c r="D14">
        <v>28625.050200190482</v>
      </c>
      <c r="E14">
        <v>8397713719.6893826</v>
      </c>
      <c r="F14">
        <v>16659637699.36138</v>
      </c>
      <c r="G14">
        <v>5.4214850129549559</v>
      </c>
      <c r="O14">
        <f>P14/T14</f>
        <v>378.97167921409323</v>
      </c>
      <c r="P14">
        <f>R14*2/T14</f>
        <v>348.72020171529169</v>
      </c>
      <c r="R14" s="91">
        <v>160.44177672661223</v>
      </c>
      <c r="T14" s="91">
        <v>0.92017483321831151</v>
      </c>
    </row>
    <row r="15" spans="1:24" x14ac:dyDescent="0.25">
      <c r="C15">
        <v>0.31322849740396147</v>
      </c>
      <c r="D15">
        <v>68852.677170974173</v>
      </c>
      <c r="E15">
        <v>1191998690413.3914</v>
      </c>
      <c r="F15">
        <v>1694556080269.5063</v>
      </c>
      <c r="G15">
        <v>10.147704164784699</v>
      </c>
      <c r="O15">
        <f t="shared" ref="O15:O20" si="0">P15/T15</f>
        <v>373.84613751439321</v>
      </c>
      <c r="P15">
        <f t="shared" ref="P15:P20" si="1">R15*2/T15</f>
        <v>358.57766902680038</v>
      </c>
      <c r="R15" s="91">
        <v>171.96639448995685</v>
      </c>
      <c r="T15" s="91">
        <v>0.95915841584158412</v>
      </c>
    </row>
    <row r="16" spans="1:24" x14ac:dyDescent="0.25">
      <c r="C16">
        <v>0.26698111766955995</v>
      </c>
      <c r="D16">
        <v>39274.013348111286</v>
      </c>
      <c r="E16">
        <v>12738920.171506403</v>
      </c>
      <c r="F16">
        <v>14182975.825430201</v>
      </c>
      <c r="G16">
        <v>65535</v>
      </c>
      <c r="O16">
        <f t="shared" si="0"/>
        <v>345.8209052428964</v>
      </c>
      <c r="P16">
        <f t="shared" si="1"/>
        <v>339.42301391216841</v>
      </c>
      <c r="R16" s="91">
        <v>166.5717436779895</v>
      </c>
      <c r="T16" s="91">
        <v>0.98149940841131544</v>
      </c>
    </row>
    <row r="17" spans="3:23" x14ac:dyDescent="0.25">
      <c r="C17">
        <v>0.35933783316164253</v>
      </c>
      <c r="D17">
        <v>64026.44107621452</v>
      </c>
      <c r="E17">
        <v>11660815.389813524</v>
      </c>
      <c r="F17">
        <v>15746001.233835166</v>
      </c>
      <c r="G17">
        <v>149551654.81536677</v>
      </c>
      <c r="O17">
        <f t="shared" si="0"/>
        <v>386.25247961772345</v>
      </c>
      <c r="P17">
        <f t="shared" si="1"/>
        <v>359.5743804249077</v>
      </c>
      <c r="R17" s="91">
        <v>167.36945635393602</v>
      </c>
      <c r="T17" s="91">
        <v>0.93093093093093093</v>
      </c>
      <c r="W17">
        <f>200/0.7</f>
        <v>285.71428571428572</v>
      </c>
    </row>
    <row r="18" spans="3:23" x14ac:dyDescent="0.25">
      <c r="C18">
        <v>0.34387364708602081</v>
      </c>
      <c r="D18">
        <v>9147441664.3559856</v>
      </c>
      <c r="E18">
        <v>1.9290048029375352E+18</v>
      </c>
      <c r="F18">
        <v>2.801819736520597E+18</v>
      </c>
      <c r="G18">
        <v>18.279787512399285</v>
      </c>
      <c r="N18" s="31"/>
      <c r="O18">
        <f t="shared" si="0"/>
        <v>527.12951043914154</v>
      </c>
      <c r="P18">
        <f t="shared" si="1"/>
        <v>421.62681467578562</v>
      </c>
      <c r="Q18" s="31"/>
      <c r="R18" s="92">
        <v>168.62001399386003</v>
      </c>
      <c r="S18" s="31"/>
      <c r="T18" s="91">
        <v>0.79985431725219924</v>
      </c>
    </row>
    <row r="19" spans="3:23" x14ac:dyDescent="0.25">
      <c r="C19">
        <v>0.33506683054146424</v>
      </c>
      <c r="D19">
        <v>621158150.54461765</v>
      </c>
      <c r="E19">
        <v>2.2739472572257246E+20</v>
      </c>
      <c r="F19">
        <v>3.6764427167066312E+20</v>
      </c>
      <c r="G19">
        <v>1.3901698702784904</v>
      </c>
      <c r="M19" s="27"/>
      <c r="N19" s="31"/>
      <c r="O19">
        <f t="shared" si="0"/>
        <v>533.38084705405709</v>
      </c>
      <c r="P19">
        <f t="shared" si="1"/>
        <v>416.91913755517385</v>
      </c>
      <c r="Q19" s="31"/>
      <c r="R19" s="92">
        <v>162.94320298506472</v>
      </c>
      <c r="S19" s="31"/>
      <c r="T19" s="91">
        <v>0.78165374677002586</v>
      </c>
    </row>
    <row r="20" spans="3:23" x14ac:dyDescent="0.25">
      <c r="C20">
        <v>0.45280611092443795</v>
      </c>
      <c r="D20">
        <v>2723227.9512344319</v>
      </c>
      <c r="E20">
        <v>7078511204.2171917</v>
      </c>
      <c r="F20">
        <v>10784896704.219383</v>
      </c>
      <c r="G20">
        <v>6.92028242188655</v>
      </c>
      <c r="M20" s="27"/>
      <c r="N20" s="31"/>
      <c r="O20">
        <f t="shared" si="0"/>
        <v>483.73583704252343</v>
      </c>
      <c r="P20">
        <f t="shared" si="1"/>
        <v>357.14169478619488</v>
      </c>
      <c r="Q20" s="31"/>
      <c r="R20" s="92">
        <v>131.83868176335167</v>
      </c>
      <c r="S20" s="31"/>
      <c r="T20" s="91">
        <v>0.73829902074176879</v>
      </c>
    </row>
    <row r="21" spans="3:23" x14ac:dyDescent="0.25">
      <c r="M21" s="27"/>
      <c r="N21" s="31"/>
      <c r="O21" s="31"/>
      <c r="P21" s="31"/>
      <c r="Q21" s="31"/>
      <c r="R21" s="31"/>
      <c r="S21" s="31"/>
      <c r="T21" s="31"/>
    </row>
    <row r="22" spans="3:23" x14ac:dyDescent="0.25">
      <c r="M22" s="27"/>
      <c r="N22" s="31"/>
      <c r="O22" s="31">
        <f>MIN(O14:O20)</f>
        <v>345.8209052428964</v>
      </c>
      <c r="P22" s="31">
        <f>MIN(P14:P20)</f>
        <v>339.42301391216841</v>
      </c>
      <c r="Q22" s="31"/>
      <c r="R22" s="31"/>
      <c r="S22" s="31"/>
      <c r="T22" s="31"/>
    </row>
    <row r="23" spans="3:23" x14ac:dyDescent="0.25">
      <c r="M23" s="27"/>
      <c r="N23" s="31"/>
      <c r="O23" s="31"/>
      <c r="P23" s="31"/>
      <c r="Q23" s="31"/>
      <c r="R23" s="31"/>
      <c r="S23" s="31"/>
      <c r="T23" s="31"/>
    </row>
    <row r="24" spans="3:23" x14ac:dyDescent="0.25">
      <c r="M24" s="27"/>
      <c r="N24" s="31"/>
      <c r="O24" s="31"/>
      <c r="P24" s="31"/>
      <c r="Q24" s="31"/>
      <c r="R24" s="31"/>
      <c r="S24" s="31"/>
      <c r="T24" s="31"/>
    </row>
    <row r="25" spans="3:23" x14ac:dyDescent="0.25">
      <c r="M25" s="28"/>
      <c r="N25" s="31"/>
      <c r="O25" s="31"/>
      <c r="P25" s="31"/>
      <c r="Q25" s="31"/>
      <c r="R25" s="31"/>
      <c r="S25" s="31"/>
      <c r="T25" s="31"/>
    </row>
    <row r="26" spans="3:23" x14ac:dyDescent="0.25">
      <c r="M26" s="27"/>
      <c r="N26" s="31"/>
      <c r="O26" s="31"/>
      <c r="P26" s="31"/>
      <c r="Q26" s="31"/>
      <c r="R26" s="31"/>
      <c r="S26" s="31"/>
      <c r="T26" s="3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37"/>
  <sheetViews>
    <sheetView topLeftCell="D25" workbookViewId="0">
      <selection activeCell="M29" sqref="F28:M29"/>
    </sheetView>
  </sheetViews>
  <sheetFormatPr defaultRowHeight="15" x14ac:dyDescent="0.25"/>
  <cols>
    <col min="11" max="11" width="22.7109375" customWidth="1"/>
  </cols>
  <sheetData>
    <row r="5" spans="11:18" x14ac:dyDescent="0.25">
      <c r="K5" t="s">
        <v>80</v>
      </c>
      <c r="L5" s="29">
        <v>16000</v>
      </c>
      <c r="M5" s="29">
        <v>27900</v>
      </c>
      <c r="N5" s="29">
        <v>36500</v>
      </c>
      <c r="O5" s="29">
        <v>49600</v>
      </c>
      <c r="P5" s="29">
        <v>57100</v>
      </c>
      <c r="Q5" s="29">
        <v>60000</v>
      </c>
      <c r="R5" s="30">
        <v>76600</v>
      </c>
    </row>
    <row r="6" spans="11:18" x14ac:dyDescent="0.25">
      <c r="K6" s="26" t="s">
        <v>75</v>
      </c>
      <c r="L6">
        <v>1.1459502634361232E-2</v>
      </c>
      <c r="M6">
        <v>8.4092341871866306E-3</v>
      </c>
      <c r="N6">
        <v>7.288147078420148E-3</v>
      </c>
      <c r="O6">
        <v>5.7677322660388466E-3</v>
      </c>
      <c r="P6">
        <v>4.3640978252788105E-3</v>
      </c>
      <c r="Q6">
        <v>3.8850069888475836E-3</v>
      </c>
      <c r="R6">
        <v>3.1906738113382897E-3</v>
      </c>
    </row>
    <row r="7" spans="11:18" x14ac:dyDescent="0.25">
      <c r="K7" s="27" t="s">
        <v>61</v>
      </c>
      <c r="L7">
        <v>7.4999999999999997E-2</v>
      </c>
      <c r="M7">
        <v>5.9499999999999997E-2</v>
      </c>
      <c r="N7">
        <v>5.2900000000000003E-2</v>
      </c>
      <c r="O7">
        <v>4.6210000000000001E-2</v>
      </c>
      <c r="P7">
        <v>4.3380000000000002E-2</v>
      </c>
      <c r="Q7">
        <v>4.2430000000000002E-2</v>
      </c>
      <c r="R7">
        <v>1.941E-3</v>
      </c>
    </row>
    <row r="8" spans="11:18" x14ac:dyDescent="0.25">
      <c r="K8" s="27" t="s">
        <v>66</v>
      </c>
      <c r="L8">
        <v>3.8999999999999998E-3</v>
      </c>
      <c r="M8">
        <v>2.8999999999999998E-3</v>
      </c>
      <c r="N8">
        <v>2.5790000000000001E-3</v>
      </c>
      <c r="O8">
        <v>2.2200000000000002E-3</v>
      </c>
      <c r="P8">
        <v>2E-3</v>
      </c>
      <c r="Q8">
        <v>1.9980000000000002E-3</v>
      </c>
      <c r="R8">
        <v>1.1000000000000001E-3</v>
      </c>
    </row>
    <row r="9" spans="11:18" x14ac:dyDescent="0.25">
      <c r="K9" s="27" t="s">
        <v>62</v>
      </c>
      <c r="L9">
        <v>3.4130000000000001E-2</v>
      </c>
      <c r="M9">
        <v>2.5899999999999999E-2</v>
      </c>
      <c r="N9">
        <v>2.2710000000000001E-2</v>
      </c>
      <c r="O9">
        <v>1.95E-2</v>
      </c>
      <c r="P9">
        <v>1.8180000000000002E-2</v>
      </c>
      <c r="Q9">
        <v>1.7739999999999999E-2</v>
      </c>
      <c r="R9">
        <v>4.8999999999999998E-3</v>
      </c>
    </row>
    <row r="10" spans="11:18" ht="18" customHeight="1" x14ac:dyDescent="0.25">
      <c r="K10" s="27" t="s">
        <v>63</v>
      </c>
      <c r="L10">
        <v>3.7019999999999997E-2</v>
      </c>
      <c r="M10">
        <v>2.818E-2</v>
      </c>
      <c r="N10">
        <v>2.4639999999999999E-2</v>
      </c>
      <c r="O10">
        <v>2.12E-2</v>
      </c>
      <c r="P10">
        <v>1.9789999999999999E-2</v>
      </c>
      <c r="Q10">
        <v>1.9269999999999999E-2</v>
      </c>
      <c r="R10">
        <v>6.3099999999999996E-3</v>
      </c>
    </row>
    <row r="11" spans="11:18" ht="29.25" customHeight="1" x14ac:dyDescent="0.25">
      <c r="K11" s="27" t="s">
        <v>64</v>
      </c>
      <c r="L11">
        <v>5.4809999999999998E-2</v>
      </c>
      <c r="M11">
        <v>4.2220000000000001E-2</v>
      </c>
      <c r="N11">
        <v>3.7100000000000001E-2</v>
      </c>
      <c r="O11">
        <v>3.2000000000000001E-2</v>
      </c>
      <c r="P11">
        <v>2.9940000000000001E-2</v>
      </c>
      <c r="Q11">
        <v>2.92E-2</v>
      </c>
      <c r="R11">
        <v>4.5199999999999997E-3</v>
      </c>
    </row>
    <row r="12" spans="11:18" ht="23.25" customHeight="1" x14ac:dyDescent="0.25">
      <c r="K12" s="27" t="s">
        <v>65</v>
      </c>
      <c r="L12">
        <v>2.726E-2</v>
      </c>
      <c r="M12">
        <v>2.06E-2</v>
      </c>
      <c r="N12">
        <v>1.8069999999999999E-2</v>
      </c>
      <c r="O12">
        <v>1.5509999999999999E-2</v>
      </c>
      <c r="P12">
        <v>1.447E-2</v>
      </c>
      <c r="Q12">
        <v>1.41E-2</v>
      </c>
      <c r="R12">
        <v>6.4000000000000003E-3</v>
      </c>
    </row>
    <row r="13" spans="11:18" ht="19.5" customHeight="1" x14ac:dyDescent="0.25">
      <c r="K13" s="28" t="s">
        <v>67</v>
      </c>
      <c r="L13">
        <v>1.4800000000000001E-2</v>
      </c>
      <c r="M13">
        <v>1.12E-2</v>
      </c>
      <c r="N13">
        <v>9.7900000000000001E-3</v>
      </c>
      <c r="O13">
        <v>8.3899999999999999E-3</v>
      </c>
      <c r="P13">
        <v>7.8189999999999996E-3</v>
      </c>
      <c r="Q13">
        <v>7.62E-3</v>
      </c>
      <c r="R13">
        <v>4.2069999999999998E-3</v>
      </c>
    </row>
    <row r="14" spans="11:18" x14ac:dyDescent="0.25">
      <c r="K14" s="27" t="s">
        <v>68</v>
      </c>
      <c r="L14">
        <v>1.0999999999999999E-2</v>
      </c>
      <c r="M14">
        <v>8.3999999999999995E-3</v>
      </c>
      <c r="N14">
        <v>7.3600000000000002E-3</v>
      </c>
      <c r="O14">
        <v>6.3E-3</v>
      </c>
      <c r="P14">
        <v>5.7999999999999996E-3</v>
      </c>
      <c r="Q14">
        <v>5.7000000000000002E-3</v>
      </c>
      <c r="R14">
        <v>3.0000000000000001E-3</v>
      </c>
    </row>
    <row r="17" spans="6:18" ht="15.75" thickBot="1" x14ac:dyDescent="0.3"/>
    <row r="18" spans="6:18" ht="15.75" thickBot="1" x14ac:dyDescent="0.3">
      <c r="K18" s="20" t="s">
        <v>75</v>
      </c>
      <c r="L18">
        <v>1.1459502634361232E-2</v>
      </c>
      <c r="M18">
        <v>8.4092341871866306E-3</v>
      </c>
      <c r="N18">
        <v>7.288147078420148E-3</v>
      </c>
      <c r="O18">
        <v>5.7677322660388466E-3</v>
      </c>
      <c r="P18">
        <v>4.3640978252788105E-3</v>
      </c>
      <c r="Q18">
        <v>3.8850069888475836E-3</v>
      </c>
      <c r="R18">
        <v>3.1906738113382897E-3</v>
      </c>
    </row>
    <row r="19" spans="6:18" ht="26.25" thickBot="1" x14ac:dyDescent="0.3">
      <c r="K19" s="21" t="s">
        <v>76</v>
      </c>
      <c r="L19" s="23">
        <v>1.1000000000000001E-3</v>
      </c>
      <c r="M19" s="23">
        <v>8.0000000000000004E-4</v>
      </c>
      <c r="N19" s="23">
        <v>6.9999999999999999E-4</v>
      </c>
      <c r="O19" s="23">
        <v>6.4000000000000005E-4</v>
      </c>
      <c r="P19" s="23">
        <v>5.8E-4</v>
      </c>
      <c r="Q19" s="23">
        <v>5.6999999999999998E-4</v>
      </c>
      <c r="R19" s="25">
        <v>3.8999999999999999E-4</v>
      </c>
    </row>
    <row r="20" spans="6:18" ht="26.25" thickBot="1" x14ac:dyDescent="0.3">
      <c r="K20" s="21" t="s">
        <v>77</v>
      </c>
      <c r="L20" s="23">
        <v>7.46E-2</v>
      </c>
      <c r="M20" s="23">
        <v>5.62E-2</v>
      </c>
      <c r="N20" s="23">
        <v>4.9000000000000002E-2</v>
      </c>
      <c r="O20" s="23">
        <v>4.1799999999999997E-2</v>
      </c>
      <c r="P20" s="23">
        <v>3.918E-2</v>
      </c>
      <c r="Q20" s="23">
        <v>3.7999999999999999E-2</v>
      </c>
      <c r="R20" s="25">
        <v>2.0400000000000001E-2</v>
      </c>
    </row>
    <row r="21" spans="6:18" ht="26.25" thickBot="1" x14ac:dyDescent="0.3">
      <c r="K21" s="21" t="s">
        <v>79</v>
      </c>
      <c r="L21">
        <v>1.0999999999999999E-2</v>
      </c>
      <c r="M21">
        <v>8.3999999999999995E-3</v>
      </c>
      <c r="N21">
        <v>7.3600000000000002E-3</v>
      </c>
      <c r="O21">
        <v>6.3E-3</v>
      </c>
      <c r="P21">
        <v>5.7999999999999996E-3</v>
      </c>
      <c r="Q21">
        <v>5.7000000000000002E-3</v>
      </c>
      <c r="R21">
        <v>3.0000000000000001E-3</v>
      </c>
    </row>
    <row r="26" spans="6:18" ht="15.75" thickBot="1" x14ac:dyDescent="0.3"/>
    <row r="27" spans="6:18" ht="15.75" thickBot="1" x14ac:dyDescent="0.3">
      <c r="F27" s="35" t="s">
        <v>83</v>
      </c>
      <c r="G27" s="36">
        <v>16000</v>
      </c>
      <c r="H27" s="36">
        <v>27900</v>
      </c>
      <c r="I27" s="36">
        <v>36500</v>
      </c>
      <c r="J27" s="36">
        <v>49600</v>
      </c>
      <c r="K27" s="36">
        <v>57100</v>
      </c>
      <c r="L27" s="36">
        <v>60000</v>
      </c>
      <c r="M27" s="36">
        <v>76600</v>
      </c>
    </row>
    <row r="28" spans="6:18" ht="15.75" thickBot="1" x14ac:dyDescent="0.3">
      <c r="F28" s="37"/>
      <c r="G28" s="93" t="s">
        <v>84</v>
      </c>
      <c r="H28" s="94"/>
      <c r="I28" s="94"/>
      <c r="J28" s="94"/>
      <c r="K28" s="94"/>
      <c r="L28" s="94"/>
      <c r="M28" s="95"/>
    </row>
    <row r="29" spans="6:18" ht="15.75" thickBot="1" x14ac:dyDescent="0.3">
      <c r="F29" s="38" t="s">
        <v>75</v>
      </c>
      <c r="G29" s="39">
        <v>1.146E-2</v>
      </c>
      <c r="H29" s="39">
        <v>8.4089999999999998E-3</v>
      </c>
      <c r="I29" s="39">
        <v>7.2880000000000002E-3</v>
      </c>
      <c r="J29" s="39">
        <v>5.7679999999999997E-3</v>
      </c>
      <c r="K29" s="39">
        <v>4.3639999999999998E-3</v>
      </c>
      <c r="L29" s="39">
        <v>3.885E-3</v>
      </c>
      <c r="M29" s="39">
        <v>3.1909999999999998E-3</v>
      </c>
    </row>
    <row r="30" spans="6:18" ht="26.25" thickBot="1" x14ac:dyDescent="0.3">
      <c r="F30" s="38" t="s">
        <v>61</v>
      </c>
      <c r="G30" s="39">
        <v>7.4999999999999997E-2</v>
      </c>
      <c r="H30" s="39">
        <v>5.9499999999999997E-2</v>
      </c>
      <c r="I30" s="39">
        <v>5.2900000000000003E-2</v>
      </c>
      <c r="J30" s="39">
        <v>4.6210000000000001E-2</v>
      </c>
      <c r="K30" s="39">
        <v>4.3380000000000002E-2</v>
      </c>
      <c r="L30" s="39">
        <v>4.2430000000000002E-2</v>
      </c>
      <c r="M30" s="39">
        <v>1.941E-3</v>
      </c>
    </row>
    <row r="31" spans="6:18" ht="26.25" thickBot="1" x14ac:dyDescent="0.3">
      <c r="F31" s="38" t="s">
        <v>66</v>
      </c>
      <c r="G31" s="39">
        <v>3.8999999999999998E-3</v>
      </c>
      <c r="H31" s="39">
        <v>2.8999999999999998E-3</v>
      </c>
      <c r="I31" s="39">
        <v>2.5790000000000001E-3</v>
      </c>
      <c r="J31" s="39">
        <v>2.2200000000000002E-3</v>
      </c>
      <c r="K31" s="39">
        <v>2E-3</v>
      </c>
      <c r="L31" s="39">
        <v>1.9980000000000002E-3</v>
      </c>
      <c r="M31" s="39">
        <v>1.1000000000000001E-3</v>
      </c>
    </row>
    <row r="32" spans="6:18" ht="39" thickBot="1" x14ac:dyDescent="0.3">
      <c r="F32" s="38" t="s">
        <v>62</v>
      </c>
      <c r="G32" s="39">
        <v>3.4130000000000001E-2</v>
      </c>
      <c r="H32" s="39">
        <v>2.5899999999999999E-2</v>
      </c>
      <c r="I32" s="39">
        <v>2.2710000000000001E-2</v>
      </c>
      <c r="J32" s="39">
        <v>1.95E-2</v>
      </c>
      <c r="K32" s="39">
        <v>1.8180000000000002E-2</v>
      </c>
      <c r="L32" s="39">
        <v>1.7739999999999999E-2</v>
      </c>
      <c r="M32" s="39">
        <v>4.8999999999999998E-3</v>
      </c>
    </row>
    <row r="33" spans="6:13" ht="26.25" thickBot="1" x14ac:dyDescent="0.3">
      <c r="F33" s="38" t="s">
        <v>63</v>
      </c>
      <c r="G33" s="39">
        <v>3.7019999999999997E-2</v>
      </c>
      <c r="H33" s="39">
        <v>2.818E-2</v>
      </c>
      <c r="I33" s="39">
        <v>2.4639999999999999E-2</v>
      </c>
      <c r="J33" s="39">
        <v>2.12E-2</v>
      </c>
      <c r="K33" s="39">
        <v>1.9789999999999999E-2</v>
      </c>
      <c r="L33" s="39">
        <v>1.9269999999999999E-2</v>
      </c>
      <c r="M33" s="39">
        <v>6.3099999999999996E-3</v>
      </c>
    </row>
    <row r="34" spans="6:13" ht="51.75" thickBot="1" x14ac:dyDescent="0.3">
      <c r="F34" s="38" t="s">
        <v>64</v>
      </c>
      <c r="G34" s="39">
        <v>5.4809999999999998E-2</v>
      </c>
      <c r="H34" s="39">
        <v>4.2220000000000001E-2</v>
      </c>
      <c r="I34" s="39">
        <v>3.7100000000000001E-2</v>
      </c>
      <c r="J34" s="39">
        <v>3.2000000000000001E-2</v>
      </c>
      <c r="K34" s="39">
        <v>2.9940000000000001E-2</v>
      </c>
      <c r="L34" s="39">
        <v>2.92E-2</v>
      </c>
      <c r="M34" s="39">
        <v>4.5199999999999997E-3</v>
      </c>
    </row>
    <row r="35" spans="6:13" ht="39" thickBot="1" x14ac:dyDescent="0.3">
      <c r="F35" s="38" t="s">
        <v>65</v>
      </c>
      <c r="G35" s="39">
        <v>2.726E-2</v>
      </c>
      <c r="H35" s="39">
        <v>2.06E-2</v>
      </c>
      <c r="I35" s="39">
        <v>1.8069999999999999E-2</v>
      </c>
      <c r="J35" s="39">
        <v>1.5509999999999999E-2</v>
      </c>
      <c r="K35" s="39">
        <v>1.447E-2</v>
      </c>
      <c r="L35" s="39">
        <v>1.41E-2</v>
      </c>
      <c r="M35" s="39">
        <v>6.4000000000000003E-3</v>
      </c>
    </row>
    <row r="36" spans="6:13" ht="51.75" thickBot="1" x14ac:dyDescent="0.3">
      <c r="F36" s="38" t="s">
        <v>67</v>
      </c>
      <c r="G36" s="39">
        <v>1.4800000000000001E-2</v>
      </c>
      <c r="H36" s="39">
        <v>1.12E-2</v>
      </c>
      <c r="I36" s="39">
        <v>9.7900000000000001E-3</v>
      </c>
      <c r="J36" s="39">
        <v>8.3899999999999999E-3</v>
      </c>
      <c r="K36" s="39">
        <v>7.8189999999999996E-3</v>
      </c>
      <c r="L36" s="39">
        <v>7.62E-3</v>
      </c>
      <c r="M36" s="39">
        <v>4.2069999999999998E-3</v>
      </c>
    </row>
    <row r="37" spans="6:13" ht="26.25" thickBot="1" x14ac:dyDescent="0.3">
      <c r="F37" s="38" t="s">
        <v>68</v>
      </c>
      <c r="G37" s="40">
        <v>1.0999999999999999E-2</v>
      </c>
      <c r="H37" s="40">
        <v>8.3999999999999995E-3</v>
      </c>
      <c r="I37" s="40">
        <v>7.3600000000000002E-3</v>
      </c>
      <c r="J37" s="40">
        <v>6.3E-3</v>
      </c>
      <c r="K37" s="40">
        <v>5.7999999999999996E-3</v>
      </c>
      <c r="L37" s="40">
        <v>5.7000000000000002E-3</v>
      </c>
      <c r="M37" s="40">
        <v>3.0000000000000001E-3</v>
      </c>
    </row>
  </sheetData>
  <mergeCells count="1">
    <mergeCell ref="G28:M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9"/>
  <sheetViews>
    <sheetView workbookViewId="0">
      <selection activeCell="O12" sqref="N4:O12"/>
    </sheetView>
  </sheetViews>
  <sheetFormatPr defaultRowHeight="15" x14ac:dyDescent="0.25"/>
  <cols>
    <col min="9" max="9" width="33.42578125" customWidth="1"/>
    <col min="13" max="13" width="25" customWidth="1"/>
  </cols>
  <sheetData>
    <row r="3" spans="9:15" x14ac:dyDescent="0.25">
      <c r="I3" t="s">
        <v>80</v>
      </c>
      <c r="J3">
        <v>1900</v>
      </c>
      <c r="K3">
        <v>10300</v>
      </c>
      <c r="M3" t="s">
        <v>80</v>
      </c>
      <c r="N3">
        <v>1900</v>
      </c>
      <c r="O3">
        <v>49900</v>
      </c>
    </row>
    <row r="4" spans="9:15" x14ac:dyDescent="0.25">
      <c r="I4" t="s">
        <v>75</v>
      </c>
      <c r="J4">
        <v>2.512E-2</v>
      </c>
      <c r="K4">
        <v>7.7607692307692308E-3</v>
      </c>
      <c r="M4" t="s">
        <v>75</v>
      </c>
      <c r="N4">
        <v>7.0699999999999999E-2</v>
      </c>
      <c r="O4">
        <v>6.6E-3</v>
      </c>
    </row>
    <row r="5" spans="9:15" x14ac:dyDescent="0.25">
      <c r="I5" t="s">
        <v>61</v>
      </c>
      <c r="J5">
        <v>1.5980000000000001E-2</v>
      </c>
      <c r="K5">
        <v>1.74E-3</v>
      </c>
      <c r="M5" t="s">
        <v>61</v>
      </c>
      <c r="N5">
        <v>2.4400000000000002E-2</v>
      </c>
      <c r="O5">
        <v>1.2700000000000001E-3</v>
      </c>
    </row>
    <row r="6" spans="9:15" x14ac:dyDescent="0.25">
      <c r="I6" t="s">
        <v>66</v>
      </c>
      <c r="J6">
        <v>2E-3</v>
      </c>
      <c r="K6">
        <v>4.2069999999999998E-4</v>
      </c>
      <c r="M6" t="s">
        <v>66</v>
      </c>
      <c r="N6">
        <v>7.4999999999999997E-2</v>
      </c>
      <c r="O6">
        <v>9.5999999999999992E-3</v>
      </c>
    </row>
    <row r="7" spans="9:15" x14ac:dyDescent="0.25">
      <c r="I7" t="s">
        <v>62</v>
      </c>
      <c r="J7">
        <v>1.6379999999999999E-2</v>
      </c>
      <c r="K7">
        <v>1.6100000000000001E-3</v>
      </c>
      <c r="M7" t="s">
        <v>62</v>
      </c>
      <c r="N7">
        <v>0.03</v>
      </c>
      <c r="O7">
        <v>6.6E-3</v>
      </c>
    </row>
    <row r="8" spans="9:15" x14ac:dyDescent="0.25">
      <c r="I8" t="s">
        <v>63</v>
      </c>
      <c r="J8">
        <v>1.2880000000000001E-2</v>
      </c>
      <c r="K8">
        <v>1.6000000000000001E-3</v>
      </c>
      <c r="M8" t="s">
        <v>63</v>
      </c>
      <c r="N8">
        <v>5.5E-2</v>
      </c>
      <c r="O8">
        <v>5.7000000000000002E-3</v>
      </c>
    </row>
    <row r="9" spans="9:15" x14ac:dyDescent="0.25">
      <c r="I9" t="s">
        <v>64</v>
      </c>
      <c r="J9">
        <v>7.0000000000000007E-2</v>
      </c>
      <c r="K9">
        <v>1.315E-4</v>
      </c>
      <c r="M9" t="s">
        <v>64</v>
      </c>
      <c r="N9">
        <v>0.12989999999999999</v>
      </c>
      <c r="O9">
        <v>2.3E-2</v>
      </c>
    </row>
    <row r="10" spans="9:15" x14ac:dyDescent="0.25">
      <c r="I10" t="s">
        <v>65</v>
      </c>
      <c r="J10">
        <v>1.0999999999999999E-2</v>
      </c>
      <c r="K10">
        <v>1.8E-3</v>
      </c>
      <c r="M10" t="s">
        <v>65</v>
      </c>
      <c r="N10">
        <v>5.4199999999999998E-2</v>
      </c>
      <c r="O10">
        <v>5.4999999999999997E-3</v>
      </c>
    </row>
    <row r="11" spans="9:15" x14ac:dyDescent="0.25">
      <c r="I11" t="s">
        <v>67</v>
      </c>
      <c r="J11">
        <v>8.0000000000000002E-3</v>
      </c>
      <c r="K11">
        <v>1.5E-3</v>
      </c>
      <c r="M11" t="s">
        <v>67</v>
      </c>
      <c r="N11">
        <v>7.9000000000000001E-2</v>
      </c>
      <c r="O11">
        <v>1.465E-2</v>
      </c>
    </row>
    <row r="12" spans="9:15" x14ac:dyDescent="0.25">
      <c r="I12" t="s">
        <v>68</v>
      </c>
      <c r="J12">
        <v>5.816E-3</v>
      </c>
      <c r="K12">
        <v>1.33E-3</v>
      </c>
      <c r="M12" t="s">
        <v>68</v>
      </c>
      <c r="N12">
        <v>5.1999999999999998E-2</v>
      </c>
      <c r="O12">
        <v>9.7999999999999997E-3</v>
      </c>
    </row>
    <row r="16" spans="9:15" x14ac:dyDescent="0.25">
      <c r="I16" t="s">
        <v>75</v>
      </c>
      <c r="J16">
        <v>2.512E-2</v>
      </c>
      <c r="K16">
        <v>7.7607692307692308E-3</v>
      </c>
    </row>
    <row r="17" spans="9:11" x14ac:dyDescent="0.25">
      <c r="I17" t="s">
        <v>76</v>
      </c>
      <c r="J17">
        <v>2.3999999999999998E-3</v>
      </c>
      <c r="K17">
        <v>2.0000000000000001E-4</v>
      </c>
    </row>
    <row r="18" spans="9:11" x14ac:dyDescent="0.25">
      <c r="I18" t="s">
        <v>77</v>
      </c>
      <c r="J18">
        <v>0.159</v>
      </c>
      <c r="K18">
        <v>1.375E-2</v>
      </c>
    </row>
    <row r="19" spans="9:11" x14ac:dyDescent="0.25">
      <c r="I19" t="s">
        <v>79</v>
      </c>
      <c r="J19">
        <v>1.6379999999999999E-2</v>
      </c>
      <c r="K19">
        <v>1.6100000000000001E-3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2" workbookViewId="0">
      <selection activeCell="F10" sqref="F10:H27"/>
    </sheetView>
  </sheetViews>
  <sheetFormatPr defaultRowHeight="15" x14ac:dyDescent="0.25"/>
  <cols>
    <col min="6" max="6" width="16.42578125" customWidth="1"/>
  </cols>
  <sheetData>
    <row r="1" spans="1:17" ht="51.75" thickBot="1" x14ac:dyDescent="0.3">
      <c r="A1" s="20" t="s">
        <v>75</v>
      </c>
      <c r="B1" s="21" t="s">
        <v>76</v>
      </c>
      <c r="C1" s="21" t="s">
        <v>77</v>
      </c>
      <c r="D1" s="21" t="s">
        <v>78</v>
      </c>
      <c r="E1" s="21" t="s">
        <v>79</v>
      </c>
    </row>
    <row r="2" spans="1:17" ht="15.75" thickBot="1" x14ac:dyDescent="0.3">
      <c r="A2" s="22">
        <v>1.051031378</v>
      </c>
      <c r="B2" s="23">
        <v>0.25</v>
      </c>
      <c r="C2" s="23">
        <v>4</v>
      </c>
      <c r="D2" s="23">
        <v>0.53800000000000003</v>
      </c>
      <c r="E2" s="23">
        <v>1.4670000000000001</v>
      </c>
    </row>
    <row r="3" spans="1:17" ht="15.75" thickBot="1" x14ac:dyDescent="0.3">
      <c r="A3" s="22">
        <v>0.225274538</v>
      </c>
      <c r="B3" s="23">
        <v>4.4999999999999998E-2</v>
      </c>
      <c r="C3" s="23">
        <v>1.0620000000000001</v>
      </c>
      <c r="D3" s="23">
        <v>7.0000000000000007E-2</v>
      </c>
      <c r="E3" s="23">
        <v>0.23400000000000001</v>
      </c>
    </row>
    <row r="4" spans="1:17" ht="15.75" thickBot="1" x14ac:dyDescent="0.3">
      <c r="A4" s="22">
        <v>0.110535912</v>
      </c>
      <c r="B4" s="23">
        <v>1.5599999999999999E-2</v>
      </c>
      <c r="C4" s="23">
        <v>0.36499999999999999</v>
      </c>
      <c r="D4" s="23">
        <v>2.4799999999999999E-2</v>
      </c>
      <c r="E4" s="23">
        <v>8.3000000000000004E-2</v>
      </c>
    </row>
    <row r="5" spans="1:17" ht="15.75" thickBot="1" x14ac:dyDescent="0.3">
      <c r="A5" s="22">
        <v>5.8002663000000003E-2</v>
      </c>
      <c r="B5" s="23">
        <v>8.9999999999999993E-3</v>
      </c>
      <c r="C5" s="23">
        <v>0.23100000000000001</v>
      </c>
      <c r="D5" s="23">
        <v>1.54E-2</v>
      </c>
      <c r="E5" s="23">
        <v>5.0999999999999997E-2</v>
      </c>
    </row>
    <row r="6" spans="1:17" ht="15.75" thickBot="1" x14ac:dyDescent="0.3">
      <c r="A6" s="22">
        <v>3.4605404999999999E-2</v>
      </c>
      <c r="B6" s="23">
        <v>7.0000000000000001E-3</v>
      </c>
      <c r="C6" s="23">
        <v>0.16900000000000001</v>
      </c>
      <c r="D6" s="23">
        <v>1.1299999999999999E-2</v>
      </c>
      <c r="E6" s="23">
        <v>3.6999999999999998E-2</v>
      </c>
    </row>
    <row r="7" spans="1:17" ht="15.75" thickBot="1" x14ac:dyDescent="0.3">
      <c r="A7" s="22">
        <v>2.1080000000000002E-2</v>
      </c>
      <c r="B7" s="23">
        <v>6.0000000000000001E-3</v>
      </c>
      <c r="C7" s="23">
        <v>0.14000000000000001</v>
      </c>
      <c r="D7" s="23">
        <v>8.9999999999999993E-3</v>
      </c>
      <c r="E7" s="23">
        <v>0.03</v>
      </c>
    </row>
    <row r="8" spans="1:17" ht="15.75" thickBot="1" x14ac:dyDescent="0.3">
      <c r="A8" s="24">
        <v>2.0655E-2</v>
      </c>
      <c r="B8" s="25">
        <v>5.0000000000000001E-3</v>
      </c>
      <c r="C8" s="25">
        <v>0.124</v>
      </c>
      <c r="D8" s="25">
        <v>8.0000000000000002E-3</v>
      </c>
      <c r="E8" s="25">
        <v>2.6700000000000002E-2</v>
      </c>
    </row>
    <row r="10" spans="1:17" x14ac:dyDescent="0.25">
      <c r="F10" t="s">
        <v>80</v>
      </c>
      <c r="G10" s="29">
        <v>210</v>
      </c>
      <c r="H10" s="29">
        <v>1175</v>
      </c>
      <c r="I10" s="29">
        <v>2875</v>
      </c>
      <c r="J10" s="29">
        <v>5275</v>
      </c>
      <c r="K10" s="29">
        <v>7775</v>
      </c>
      <c r="L10" s="29">
        <v>10275</v>
      </c>
      <c r="M10" s="30">
        <v>13775</v>
      </c>
    </row>
    <row r="11" spans="1:17" x14ac:dyDescent="0.25">
      <c r="F11" s="26" t="s">
        <v>75</v>
      </c>
      <c r="G11">
        <v>1.051031377899045</v>
      </c>
      <c r="H11">
        <v>0.2252745376955903</v>
      </c>
      <c r="I11">
        <v>0.11053591160220994</v>
      </c>
      <c r="J11">
        <v>5.8002663115845537E-2</v>
      </c>
      <c r="K11">
        <v>3.4605405405405402E-2</v>
      </c>
      <c r="L11">
        <v>2.1079999999999995E-2</v>
      </c>
      <c r="M11">
        <v>2.0655E-2</v>
      </c>
    </row>
    <row r="12" spans="1:17" ht="15.75" thickBot="1" x14ac:dyDescent="0.3">
      <c r="F12" s="27" t="s">
        <v>61</v>
      </c>
      <c r="G12">
        <v>1.2490000000000001</v>
      </c>
      <c r="H12">
        <v>0.6018</v>
      </c>
      <c r="I12">
        <v>0.4</v>
      </c>
      <c r="J12">
        <v>0.3</v>
      </c>
      <c r="K12">
        <v>0.25</v>
      </c>
      <c r="L12">
        <v>0.2165</v>
      </c>
      <c r="M12">
        <v>0.18840000000000001</v>
      </c>
    </row>
    <row r="13" spans="1:17" ht="30.75" thickBot="1" x14ac:dyDescent="0.3">
      <c r="F13" s="27" t="s">
        <v>66</v>
      </c>
      <c r="G13">
        <v>0.20399999999999999</v>
      </c>
      <c r="H13">
        <v>3.9489999999999997E-2</v>
      </c>
      <c r="I13">
        <v>2.351E-2</v>
      </c>
      <c r="J13">
        <v>1.7000000000000001E-2</v>
      </c>
      <c r="K13">
        <v>1.387E-2</v>
      </c>
      <c r="L13">
        <v>1.205E-2</v>
      </c>
      <c r="M13">
        <v>1.0460000000000001E-2</v>
      </c>
      <c r="Q13" s="32"/>
    </row>
    <row r="14" spans="1:17" ht="30.75" thickBot="1" x14ac:dyDescent="0.3">
      <c r="F14" s="27" t="s">
        <v>62</v>
      </c>
      <c r="G14">
        <v>0.65400000000000003</v>
      </c>
      <c r="H14">
        <v>0.28599999999999998</v>
      </c>
      <c r="I14">
        <v>0.188</v>
      </c>
      <c r="J14">
        <v>0.13900000000000001</v>
      </c>
      <c r="K14">
        <v>0.1145</v>
      </c>
      <c r="L14">
        <v>0.1</v>
      </c>
      <c r="M14">
        <v>7.6899999999999996E-2</v>
      </c>
      <c r="Q14" s="33"/>
    </row>
    <row r="15" spans="1:17" ht="15.75" thickBot="1" x14ac:dyDescent="0.3">
      <c r="F15" s="27" t="s">
        <v>63</v>
      </c>
      <c r="G15">
        <v>0.68500000000000005</v>
      </c>
      <c r="H15">
        <v>0.31309999999999999</v>
      </c>
      <c r="I15">
        <v>0.20899999999999999</v>
      </c>
      <c r="J15">
        <v>0.14990000000000001</v>
      </c>
      <c r="K15">
        <v>0.1234</v>
      </c>
      <c r="L15">
        <v>0.107</v>
      </c>
      <c r="M15">
        <v>9.4E-2</v>
      </c>
      <c r="Q15" s="33"/>
    </row>
    <row r="16" spans="1:17" ht="30.75" thickBot="1" x14ac:dyDescent="0.3">
      <c r="F16" s="27" t="s">
        <v>64</v>
      </c>
      <c r="G16">
        <v>0.87570000000000003</v>
      </c>
      <c r="H16">
        <v>0.42859999999999998</v>
      </c>
      <c r="I16">
        <v>0.2853</v>
      </c>
      <c r="J16">
        <v>0.21410000000000001</v>
      </c>
      <c r="K16">
        <v>0.17699999999999999</v>
      </c>
      <c r="L16">
        <v>0.155</v>
      </c>
      <c r="M16">
        <v>9.8000000000000004E-2</v>
      </c>
      <c r="Q16" s="33"/>
    </row>
    <row r="17" spans="6:17" ht="30.75" thickBot="1" x14ac:dyDescent="0.3">
      <c r="F17" s="27" t="s">
        <v>65</v>
      </c>
      <c r="G17">
        <v>0.52500000000000002</v>
      </c>
      <c r="H17">
        <v>0.2185</v>
      </c>
      <c r="I17">
        <v>0.14000000000000001</v>
      </c>
      <c r="J17">
        <v>0.10299999999999999</v>
      </c>
      <c r="K17">
        <v>8.4000000000000005E-2</v>
      </c>
      <c r="L17">
        <v>7.0000000000000007E-2</v>
      </c>
      <c r="M17">
        <v>6.3E-2</v>
      </c>
      <c r="Q17" s="33"/>
    </row>
    <row r="18" spans="6:17" ht="30.75" thickBot="1" x14ac:dyDescent="0.3">
      <c r="F18" s="28" t="s">
        <v>67</v>
      </c>
      <c r="G18">
        <v>0.3236</v>
      </c>
      <c r="H18">
        <v>0.112</v>
      </c>
      <c r="I18">
        <v>7.4999999999999997E-2</v>
      </c>
      <c r="J18">
        <v>5.5E-2</v>
      </c>
      <c r="K18">
        <v>4.4999999999999998E-2</v>
      </c>
      <c r="L18">
        <v>0.04</v>
      </c>
      <c r="M18">
        <v>2.87E-2</v>
      </c>
      <c r="Q18" s="33"/>
    </row>
    <row r="19" spans="6:17" ht="30.75" thickBot="1" x14ac:dyDescent="0.3">
      <c r="F19" s="27" t="s">
        <v>68</v>
      </c>
      <c r="G19" s="32">
        <v>1.4670000000000001</v>
      </c>
      <c r="H19" s="33">
        <v>0.23400000000000001</v>
      </c>
      <c r="I19" s="33">
        <v>8.3000000000000004E-2</v>
      </c>
      <c r="J19" s="33">
        <v>5.0999999999999997E-2</v>
      </c>
      <c r="K19" s="33">
        <v>3.6999999999999998E-2</v>
      </c>
      <c r="L19" s="33">
        <v>0.03</v>
      </c>
      <c r="M19" s="34">
        <v>2.6700000000000002E-2</v>
      </c>
      <c r="Q19" s="34"/>
    </row>
    <row r="22" spans="6:17" ht="15.75" thickBot="1" x14ac:dyDescent="0.3"/>
    <row r="23" spans="6:17" ht="15.75" thickBot="1" x14ac:dyDescent="0.3">
      <c r="F23" s="20" t="s">
        <v>75</v>
      </c>
      <c r="G23" s="22">
        <v>1.051031378</v>
      </c>
      <c r="H23" s="22">
        <v>0.225274538</v>
      </c>
      <c r="I23" s="22">
        <v>0.110535912</v>
      </c>
      <c r="J23" s="22">
        <v>5.8002663000000003E-2</v>
      </c>
      <c r="K23" s="22">
        <v>3.4605404999999999E-2</v>
      </c>
      <c r="L23" s="22">
        <v>2.1080000000000002E-2</v>
      </c>
      <c r="M23" s="24">
        <v>2.0655E-2</v>
      </c>
    </row>
    <row r="24" spans="6:17" ht="26.25" thickBot="1" x14ac:dyDescent="0.3">
      <c r="F24" s="21" t="s">
        <v>76</v>
      </c>
      <c r="G24" s="23">
        <v>0.25</v>
      </c>
      <c r="H24" s="23">
        <v>4.4999999999999998E-2</v>
      </c>
      <c r="I24" s="23">
        <v>1.5599999999999999E-2</v>
      </c>
      <c r="J24" s="23">
        <v>8.9999999999999993E-3</v>
      </c>
      <c r="K24" s="23">
        <v>7.0000000000000001E-3</v>
      </c>
      <c r="L24" s="23">
        <v>6.0000000000000001E-3</v>
      </c>
      <c r="M24" s="25">
        <v>5.0000000000000001E-3</v>
      </c>
    </row>
    <row r="25" spans="6:17" ht="26.25" thickBot="1" x14ac:dyDescent="0.3">
      <c r="F25" s="21" t="s">
        <v>77</v>
      </c>
      <c r="G25" s="23">
        <v>4</v>
      </c>
      <c r="H25" s="23">
        <v>1.0620000000000001</v>
      </c>
      <c r="I25" s="23">
        <v>0.36499999999999999</v>
      </c>
      <c r="J25" s="23">
        <v>0.23100000000000001</v>
      </c>
      <c r="K25" s="23">
        <v>0.16900000000000001</v>
      </c>
      <c r="L25" s="23">
        <v>0.14000000000000001</v>
      </c>
      <c r="M25" s="25">
        <v>0.124</v>
      </c>
    </row>
    <row r="26" spans="6:17" ht="26.25" thickBot="1" x14ac:dyDescent="0.3">
      <c r="F26" s="21" t="s">
        <v>78</v>
      </c>
      <c r="G26" s="23">
        <v>0.53800000000000003</v>
      </c>
      <c r="H26" s="23">
        <v>7.0000000000000007E-2</v>
      </c>
      <c r="I26" s="23">
        <v>2.4799999999999999E-2</v>
      </c>
      <c r="J26" s="23">
        <v>1.54E-2</v>
      </c>
      <c r="K26" s="23">
        <v>1.1299999999999999E-2</v>
      </c>
      <c r="L26" s="23">
        <v>8.9999999999999993E-3</v>
      </c>
      <c r="M26" s="25">
        <v>8.0000000000000002E-3</v>
      </c>
    </row>
    <row r="27" spans="6:17" ht="26.25" thickBot="1" x14ac:dyDescent="0.3">
      <c r="F27" s="21" t="s">
        <v>79</v>
      </c>
      <c r="G27" s="23">
        <v>1.4670000000000001</v>
      </c>
      <c r="H27" s="23">
        <v>0.23400000000000001</v>
      </c>
      <c r="I27" s="23">
        <v>8.3000000000000004E-2</v>
      </c>
      <c r="J27" s="23">
        <v>5.0999999999999997E-2</v>
      </c>
      <c r="K27" s="23">
        <v>3.6999999999999998E-2</v>
      </c>
      <c r="L27" s="23">
        <v>0.03</v>
      </c>
      <c r="M27" s="25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Setting</vt:lpstr>
      <vt:lpstr>Reach Propertise</vt:lpstr>
      <vt:lpstr>Initial Concentration</vt:lpstr>
      <vt:lpstr>Loading</vt:lpstr>
      <vt:lpstr>hidden tab</vt:lpstr>
      <vt:lpstr>LDC</vt:lpstr>
      <vt:lpstr>چاتا</vt:lpstr>
      <vt:lpstr>ماکیناو</vt:lpstr>
      <vt:lpstr>سورن سفارش نوری</vt:lpstr>
      <vt:lpstr>'hidden tab'!_ftn1</vt:lpstr>
      <vt:lpstr>Delta_T__seconds</vt:lpstr>
      <vt:lpstr>Delta_X</vt:lpstr>
      <vt:lpstr>Delta_X__meters</vt:lpstr>
      <vt:lpstr>Delta_XX</vt:lpstr>
      <vt:lpstr>deltaX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2019-03-02T23:20:47Z</dcterms:modified>
</cp:coreProperties>
</file>