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<sst xmlns="http://schemas.openxmlformats.org/spreadsheetml/2006/main" count="178" uniqueCount="115">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</sst>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37" fillId="0" borderId="24" xfId="0" applyFont="1" applyBorder="1" applyAlignment="1">
      <alignment horizontal="right" vertical="center"/>
    </xf>
    <xf numFmtId="0" fontId="36" fillId="0" borderId="26" xfId="43" applyBorder="1" applyAlignment="1">
      <alignment horizontal="right" vertical="center"/>
    </xf>
    <xf numFmtId="0" fontId="42" fillId="0" borderId="26" xfId="0" applyFont="1" applyBorder="1" applyAlignment="1">
      <alignment horizontal="right" vertical="center"/>
    </xf>
    <xf numFmtId="0" fontId="0" fillId="0" borderId="0" xfId="0" applyBorder="1"/>
    <xf numFmtId="0" fontId="37" fillId="0" borderId="0" xfId="0" applyFont="1" applyBorder="1" applyAlignment="1">
      <alignment horizontal="center" vertical="center"/>
    </xf>
    <xf numFmtId="0" fontId="36" fillId="0" borderId="0" xfId="43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37" fillId="0" borderId="0" xfId="0" applyFont="1" applyBorder="1" applyAlignment="1">
      <alignment horizontal="right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9" sqref="B9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Dx_1975_Fischer_paper02_severn.xlsx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9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53">
        <v>35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53">
        <v>7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88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53">
        <f>Delta_X__meters</f>
        <v>35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28515625" style="63" customWidth="1"/>
    <col min="2" max="2" width="18.140625" style="63" customWidth="1"/>
    <col min="3" max="3" width="17.28515625" style="63" customWidth="1"/>
    <col min="4" max="4" width="14.5703125" style="63" customWidth="1"/>
    <col min="5" max="5" width="8.85546875" style="63" customWidth="1"/>
    <col min="6" max="6" width="7.7109375" style="63" customWidth="1"/>
    <col min="7" max="7" width="10.7109375" style="63" customWidth="1"/>
    <col min="8" max="8" width="13.42578125" style="63" bestFit="1" customWidth="1"/>
    <col min="9" max="9" width="24.85546875" style="63" customWidth="1"/>
    <col min="10" max="10" width="23.7109375" style="63" customWidth="1"/>
    <col min="11" max="12" width="19.140625" style="63" customWidth="1"/>
    <col min="13" max="13" width="10.28515625" style="63" customWidth="1"/>
    <col min="14" max="14" width="12.85546875" style="63" customWidth="1"/>
    <col min="15" max="15" width="17.85546875" style="63" customWidth="1"/>
    <col min="16" max="16" width="12.7109375" style="63" customWidth="1"/>
    <col min="17" max="17" width="39.7109375" style="63" customWidth="1"/>
    <col min="18" max="18" width="19.140625" style="63" customWidth="1"/>
    <col min="19" max="19" width="22.5703125" style="63" customWidth="1"/>
    <col min="20" max="20" width="9.140625" style="63"/>
    <col min="21" max="21" width="21.42578125" style="63" customWidth="1"/>
    <col min="22" max="22" width="38.5703125" style="63" customWidth="1"/>
    <col min="23" max="23" width="29.42578125" style="63" customWidth="1"/>
    <col min="24" max="24" width="24.28515625" style="64" customWidth="1"/>
    <col min="25" max="25" width="17.140625" style="65" customWidth="1"/>
    <col min="26" max="27" width="19.42578125" style="63" customWidth="1"/>
    <col min="28" max="28" width="16.42578125" style="63" customWidth="1"/>
    <col min="29" max="30" width="12.140625" style="63" customWidth="1"/>
    <col min="31" max="31" width="11.140625" style="63" customWidth="1"/>
    <col min="32" max="34" width="12.28515625" style="63" customWidth="1"/>
    <col min="35" max="35" width="11.140625" style="63" customWidth="1"/>
    <col min="36" max="36" width="9.140625" style="63"/>
    <col min="37" max="37" width="12.28515625" style="63" customWidth="1"/>
    <col min="38" max="39" width="11.140625" style="63" customWidth="1"/>
    <col min="40" max="40" width="9.140625" style="63"/>
    <col min="41" max="41" width="34.5703125" style="63" customWidth="1"/>
    <col min="42" max="42" width="23.5703125" style="63" customWidth="1"/>
    <col min="43" max="16384" width="9.140625" style="63"/>
  </cols>
  <sheetData>
    <row r="1" spans="1:42" s="67" customFormat="1" ht="45" x14ac:dyDescent="0.25">
      <c r="A1" s="15" t="s">
        <v>39</v>
      </c>
      <c r="B1" s="16" t="s">
        <v>48</v>
      </c>
      <c r="C1" s="16" t="s">
        <v>47</v>
      </c>
      <c r="D1" s="16" t="s">
        <v>10</v>
      </c>
      <c r="E1" s="16" t="s">
        <v>38</v>
      </c>
      <c r="F1" s="16" t="s">
        <v>37</v>
      </c>
      <c r="G1" s="16" t="s">
        <v>36</v>
      </c>
      <c r="H1" s="16" t="s">
        <v>35</v>
      </c>
      <c r="I1" s="16" t="s">
        <v>49</v>
      </c>
      <c r="J1" s="16" t="s">
        <v>13</v>
      </c>
      <c r="K1" s="16" t="s">
        <v>12</v>
      </c>
      <c r="L1" s="16" t="s">
        <v>11</v>
      </c>
      <c r="M1" s="16" t="s">
        <v>42</v>
      </c>
      <c r="N1" s="16" t="s">
        <v>40</v>
      </c>
      <c r="O1" s="16" t="s">
        <v>41</v>
      </c>
      <c r="P1" s="16" t="s">
        <v>33</v>
      </c>
      <c r="Q1" s="16" t="s">
        <v>43</v>
      </c>
      <c r="R1" s="16" t="s">
        <v>31</v>
      </c>
      <c r="S1" s="16" t="s">
        <v>45</v>
      </c>
      <c r="T1" s="16" t="s">
        <v>14</v>
      </c>
      <c r="U1" s="16" t="s">
        <v>34</v>
      </c>
      <c r="V1" s="16" t="s">
        <v>8</v>
      </c>
      <c r="W1" s="16" t="s">
        <v>21</v>
      </c>
      <c r="X1" s="27" t="s">
        <v>55</v>
      </c>
      <c r="Y1" s="17" t="s">
        <v>44</v>
      </c>
      <c r="Z1" s="16" t="s">
        <v>9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46</v>
      </c>
      <c r="AF1" s="19" t="s">
        <v>50</v>
      </c>
      <c r="AG1" s="20" t="s">
        <v>51</v>
      </c>
      <c r="AH1" s="20" t="s">
        <v>52</v>
      </c>
      <c r="AI1" s="20" t="s">
        <v>53</v>
      </c>
      <c r="AJ1" s="20" t="s">
        <v>56</v>
      </c>
      <c r="AK1" s="20" t="s">
        <v>57</v>
      </c>
      <c r="AL1" s="20" t="s">
        <v>58</v>
      </c>
      <c r="AM1" s="20" t="s">
        <v>59</v>
      </c>
      <c r="AN1" s="66" t="s">
        <v>81</v>
      </c>
      <c r="AO1" s="100" t="s">
        <v>105</v>
      </c>
      <c r="AP1" s="100" t="s">
        <v>106</v>
      </c>
    </row>
    <row r="2" spans="1:42" s="76" customFormat="1" x14ac:dyDescent="0.25">
      <c r="A2" s="71" t="s">
        <v>107</v>
      </c>
      <c r="B2" s="72">
        <v>0</v>
      </c>
      <c r="C2" s="72">
        <v>210</v>
      </c>
      <c r="D2" s="72">
        <v>7.33</v>
      </c>
      <c r="E2" s="72">
        <f>(1/5)*(0.3)*1000/3600</f>
        <v>1.6666666666666666E-2</v>
      </c>
      <c r="F2" s="72">
        <v>8.3299999999999999E-2</v>
      </c>
      <c r="G2" s="72">
        <f>(1/5)*(2.35)*1000/3600</f>
        <v>0.13055555555555556</v>
      </c>
      <c r="H2" s="72">
        <v>7.33</v>
      </c>
      <c r="I2" s="72"/>
      <c r="J2" s="73">
        <f>142.8/10000</f>
        <v>1.4280000000000001E-2</v>
      </c>
      <c r="K2" s="73">
        <v>0.46241399999999999</v>
      </c>
      <c r="L2" s="73">
        <v>17.486969999999999</v>
      </c>
      <c r="M2" s="73">
        <v>1.0510314000000001</v>
      </c>
      <c r="N2" s="74"/>
      <c r="O2" s="74"/>
      <c r="P2" s="74"/>
      <c r="Q2" s="75">
        <f>Table1[Q '[m3/sec']]/(Table1[depth '[meters']]*Table1[width '[meters']])</f>
        <v>0.90648043593010741</v>
      </c>
      <c r="R2" s="76">
        <f>(Table1[[#This Row],[Reach Length '[meters']]]/(Table1[[#This Row],[Q '[m3/sec']]]/(Table1[[#This Row],[depth '[meters']]]*Table1[[#This Row],[width '[meters']]])))/3600</f>
        <v>6.4351453182196455E-2</v>
      </c>
      <c r="S2" s="76">
        <f>(Table1[[#This Row],[End Point distance  '[meters']]]/(3600*Table1[[#This Row],[Tp]]))</f>
        <v>0.70028011204481799</v>
      </c>
      <c r="T2" s="76">
        <v>1</v>
      </c>
      <c r="U2" s="76">
        <v>0</v>
      </c>
      <c r="V2" s="76">
        <v>0</v>
      </c>
      <c r="W2" s="76">
        <f>Table1[[#This Row],[End Point distance  '[meters']]]/1000</f>
        <v>0.21</v>
      </c>
      <c r="X2" s="73">
        <v>1.0510314000000001</v>
      </c>
      <c r="Y2" s="77" t="str">
        <f>IF(AVERAGE(Table1[[#This Row],[Error Ti]]&lt;=AVERAGE(Table1[[#This Row],[Error Tp]])),"use Ti","use Tp")</f>
        <v>use Ti</v>
      </c>
      <c r="Z2" s="76">
        <f>Table1[[#This Row],[End Point distance  '[meters']]]-Table1[[#This Row],[Start point distance '[meters']]]</f>
        <v>210</v>
      </c>
      <c r="AA2" s="76">
        <f>(Table1[[#This Row],[Tp]]-AN2)*3600</f>
        <v>299.88</v>
      </c>
      <c r="AB2" s="78">
        <f>FLOOR((Table1[[#This Row],[Tp]]*3600)/Table1[[#This Row],[Delta T]],1)</f>
        <v>42</v>
      </c>
      <c r="AC2" s="78">
        <f>Table1[[#This Row],[End Point distance  '[meters']]]/Delta_X__meters</f>
        <v>6</v>
      </c>
      <c r="AD2" s="78">
        <f>Table1[[#This Row],[Start point distance '[meters']]]/Delta_X__meters</f>
        <v>0</v>
      </c>
      <c r="AE2" s="76">
        <f t="shared" ref="AE2:AE3" si="0">Delta_T__seconds</f>
        <v>7</v>
      </c>
      <c r="AF2" s="77">
        <f>((Table1[[#This Row],[Ti]]-Table1[[#This Row],[calculated time '[hours']]])/Table1[[#This Row],[Ti]])</f>
        <v>-2.8610871909317876</v>
      </c>
      <c r="AG2" s="77">
        <f>(('Reach Propertise'!$F2-'Reach Propertise'!$R2)/'Reach Propertise'!$F2)</f>
        <v>0.22747355123413618</v>
      </c>
      <c r="AH2" s="77">
        <f>((Table1[[#This Row],[Tt]]-Table1[[#This Row],[calculated time '[hours']]])/Table1[[#This Row],[Tt]])</f>
        <v>0.507095252221474</v>
      </c>
      <c r="AI2" s="79">
        <f>Table1[[#This Row],[width '[meters']]]/Table1[[#This Row],[depth '[meters']]]</f>
        <v>37.816696726310191</v>
      </c>
      <c r="AJ2" s="76">
        <f>Table1[[#This Row],[depth '[meters']]]*Table1[[#This Row],[width '[meters']]]*Delta_X__meters</f>
        <v>283.01769109529999</v>
      </c>
      <c r="AK2" s="76">
        <f>Table1[[#This Row],[Column3]]-Table1[[#This Row],[Column2]]</f>
        <v>8.3299999999999999E-2</v>
      </c>
      <c r="AL2" s="76">
        <v>0</v>
      </c>
      <c r="AM2" s="76">
        <f>'Reach Propertise'!$F2</f>
        <v>8.3299999999999999E-2</v>
      </c>
      <c r="AN2" s="76">
        <v>0</v>
      </c>
      <c r="AO2" s="101">
        <f t="shared" ref="AO2:AO8" si="1">FLOOR(C2:C8/Delta_X__meters,1)</f>
        <v>6</v>
      </c>
      <c r="AP2" s="101">
        <f>((1/1000000)*Table1[[#This Row],[Cup]]*Table1[[#This Row],[R ratio]]*Table1[[#This Row],[Inj Mass]])/Table1[[#This Row],[Q '[m3/sec']]]</f>
        <v>0</v>
      </c>
    </row>
    <row r="3" spans="1:42" s="80" customFormat="1" x14ac:dyDescent="0.25">
      <c r="A3" s="71" t="s">
        <v>99</v>
      </c>
      <c r="B3" s="72">
        <f>C2</f>
        <v>210</v>
      </c>
      <c r="C3" s="72">
        <v>1175</v>
      </c>
      <c r="D3" s="72">
        <v>7.03</v>
      </c>
      <c r="E3" s="72">
        <f>1.25*1000/3600</f>
        <v>0.34722222222222221</v>
      </c>
      <c r="F3" s="72">
        <v>0.43330000000000002</v>
      </c>
      <c r="G3" s="72">
        <f>5.15*1000/3600</f>
        <v>1.4305555555555556</v>
      </c>
      <c r="H3" s="72">
        <v>7.03</v>
      </c>
      <c r="I3" s="72"/>
      <c r="J3" s="73">
        <f>51.81/10000</f>
        <v>5.1809999999999998E-3</v>
      </c>
      <c r="K3" s="73">
        <v>0.38552900000000001</v>
      </c>
      <c r="L3" s="73">
        <v>17.581569999999999</v>
      </c>
      <c r="M3" s="73">
        <v>0.22527449999999999</v>
      </c>
      <c r="N3" s="74"/>
      <c r="O3" s="74"/>
      <c r="P3" s="74"/>
      <c r="Q3" s="75">
        <f>Table1[Q '[m3/sec']]/(Table1[depth '[meters']]*Table1[width '[meters']])</f>
        <v>1.0371477250592951</v>
      </c>
      <c r="R3" s="76">
        <f>(Table1[[#This Row],[Reach Length '[meters']]]/(Table1[[#This Row],[Q '[m3/sec']]]/(Table1[[#This Row],[depth '[meters']]]*Table1[[#This Row],[width '[meters']]])))/3600</f>
        <v>0.25845455674140388</v>
      </c>
      <c r="S3" s="76">
        <f>(Table1[[#This Row],[End Point distance  '[meters']]]/(3600*Table1[[#This Row],[Tp]]))</f>
        <v>0.75326307151832184</v>
      </c>
      <c r="T3" s="76">
        <v>1</v>
      </c>
      <c r="U3" s="76">
        <v>0</v>
      </c>
      <c r="V3" s="76">
        <v>0</v>
      </c>
      <c r="W3" s="76">
        <f>Table1[[#This Row],[End Point distance  '[meters']]]/1000</f>
        <v>1.175</v>
      </c>
      <c r="X3" s="73">
        <v>0.22527449999999999</v>
      </c>
      <c r="Y3" s="77" t="str">
        <f>IF(AVERAGE(Table1[[#This Row],[Error Ti]]&lt;=AVERAGE(Table1[[#This Row],[Error Tp]])),"use Ti","use Tp")</f>
        <v>use Ti</v>
      </c>
      <c r="Z3" s="76">
        <f>Table1[[#This Row],[End Point distance  '[meters']]]-Table1[[#This Row],[Start point distance '[meters']]]</f>
        <v>965</v>
      </c>
      <c r="AA3" s="76">
        <f>(Table1[[#This Row],[Tp]]-AN3)*3600</f>
        <v>-2040.12</v>
      </c>
      <c r="AB3" s="78">
        <f>FLOOR((Table1[[#This Row],[Tp]]*3600)/Table1[[#This Row],[Delta T]],1)</f>
        <v>222</v>
      </c>
      <c r="AC3" s="78">
        <f>Table1[[#This Row],[End Point distance  '[meters']]]/Delta_X__meters</f>
        <v>33.571428571428569</v>
      </c>
      <c r="AD3" s="78">
        <f>Table1[[#This Row],[Start point distance '[meters']]]/Delta_X__meters</f>
        <v>6</v>
      </c>
      <c r="AE3" s="76">
        <f t="shared" si="0"/>
        <v>7</v>
      </c>
      <c r="AF3" s="77">
        <f>((Table1[[#This Row],[Ti]]-Table1[[#This Row],[calculated time '[hours']]])/Table1[[#This Row],[Ti]])</f>
        <v>0.25565087658475677</v>
      </c>
      <c r="AG3" s="77">
        <f>(('Reach Propertise'!$F3-'Reach Propertise'!$R3)/'Reach Propertise'!$F3)</f>
        <v>0.40352052448325898</v>
      </c>
      <c r="AH3" s="77">
        <f>((Table1[[#This Row],[Tt]]-Table1[[#This Row],[calculated time '[hours']]])/Table1[[#This Row],[Tt]])</f>
        <v>0.81933273703513521</v>
      </c>
      <c r="AI3" s="79">
        <f>Table1[[#This Row],[width '[meters']]]/Table1[[#This Row],[depth '[meters']]]</f>
        <v>45.603754840751279</v>
      </c>
      <c r="AJ3" s="76">
        <f>Table1[[#This Row],[depth '[meters']]]*Table1[[#This Row],[width '[meters']]]*Delta_X__meters</f>
        <v>237.23717851855</v>
      </c>
      <c r="AK3" s="76">
        <f>Table1[[#This Row],[Column3]]-Table1[[#This Row],[Column2]]</f>
        <v>-0.56669999999999998</v>
      </c>
      <c r="AL3" s="76">
        <v>1</v>
      </c>
      <c r="AM3" s="76">
        <f>'Reach Propertise'!$F3</f>
        <v>0.43330000000000002</v>
      </c>
      <c r="AN3" s="76">
        <v>1</v>
      </c>
      <c r="AO3" s="101">
        <f t="shared" si="1"/>
        <v>33</v>
      </c>
      <c r="AP3" s="101">
        <f>((1/1000000)*Table1[[#This Row],[Cup]]*Table1[[#This Row],[R ratio]]*Table1[[#This Row],[Inj Mass]])/Table1[[#This Row],[Q '[m3/sec']]]</f>
        <v>0</v>
      </c>
    </row>
    <row r="4" spans="1:42" s="80" customFormat="1" x14ac:dyDescent="0.25">
      <c r="A4" s="81" t="s">
        <v>100</v>
      </c>
      <c r="B4" s="72">
        <f t="shared" ref="B4:B8" si="2">C3</f>
        <v>1175</v>
      </c>
      <c r="C4" s="72">
        <v>2875</v>
      </c>
      <c r="D4" s="72">
        <v>7.24</v>
      </c>
      <c r="E4" s="72">
        <f>3.25*1000/3600</f>
        <v>0.90277777777777779</v>
      </c>
      <c r="F4" s="72">
        <v>1.1333</v>
      </c>
      <c r="G4" s="72">
        <f>8.8*1000/3600</f>
        <v>2.4444444444444446</v>
      </c>
      <c r="H4" s="72">
        <v>7.24</v>
      </c>
      <c r="I4" s="72"/>
      <c r="J4" s="82">
        <f>11.76/10000</f>
        <v>1.176E-3</v>
      </c>
      <c r="K4" s="82">
        <v>0.57269499999999995</v>
      </c>
      <c r="L4" s="82">
        <v>16.589739999999999</v>
      </c>
      <c r="M4" s="82">
        <v>0.11053590000000001</v>
      </c>
      <c r="N4" s="76"/>
      <c r="O4" s="76"/>
      <c r="P4" s="76"/>
      <c r="Q4" s="83">
        <f>Table1[Q '[m3/sec']]/(Table1[depth '[meters']]*Table1[width '[meters']])</f>
        <v>0.76203618663908446</v>
      </c>
      <c r="R4" s="76">
        <f>(Table1[[#This Row],[Reach Length '[meters']]]/(Table1[[#This Row],[Q '[m3/sec']]]/(Table1[[#This Row],[depth '[meters']]]*Table1[[#This Row],[width '[meters']]])))/3600</f>
        <v>0.61968477416398082</v>
      </c>
      <c r="S4" s="76">
        <f>(Table1[[#This Row],[End Point distance  '[meters']]]/(3600*Table1[[#This Row],[Tp]]))</f>
        <v>0.70467758855652618</v>
      </c>
      <c r="T4" s="76">
        <v>1</v>
      </c>
      <c r="U4" s="76">
        <v>0</v>
      </c>
      <c r="V4" s="76">
        <v>0</v>
      </c>
      <c r="W4" s="84">
        <f>Table1[[#This Row],[End Point distance  '[meters']]]/1000</f>
        <v>2.875</v>
      </c>
      <c r="X4" s="82">
        <v>0.11053590000000001</v>
      </c>
      <c r="Y4" s="77" t="str">
        <f>IF(AVERAGE(Table1[[#This Row],[Error Ti]]&lt;=AVERAGE(Table1[[#This Row],[Error Tp]])),"use Ti","use Tp")</f>
        <v>use Ti</v>
      </c>
      <c r="Z4" s="76">
        <f>Table1[[#This Row],[End Point distance  '[meters']]]-Table1[[#This Row],[Start point distance '[meters']]]</f>
        <v>1700</v>
      </c>
      <c r="AA4" s="84">
        <f>(Table1[[#This Row],[Tp]]-AN4)*3600</f>
        <v>4079.88</v>
      </c>
      <c r="AB4" s="85">
        <f>FLOOR((Table1[[#This Row],[Tp]]*3600)/Table1[[#This Row],[Delta T]],1)</f>
        <v>582</v>
      </c>
      <c r="AC4" s="85">
        <f>Table1[[#This Row],[End Point distance  '[meters']]]/Delta_X__meters</f>
        <v>82.142857142857139</v>
      </c>
      <c r="AD4" s="85">
        <f>Table1[[#This Row],[Start point distance '[meters']]]/Delta_X__meters</f>
        <v>33.571428571428569</v>
      </c>
      <c r="AE4" s="76">
        <f>Delta_T__seconds</f>
        <v>7</v>
      </c>
      <c r="AF4" s="77">
        <f>((Table1[[#This Row],[Ti]]-Table1[[#This Row],[calculated time '[hours']]])/Table1[[#This Row],[Ti]])</f>
        <v>0.31357994246451354</v>
      </c>
      <c r="AG4" s="77">
        <f>(('Reach Propertise'!$F4-'Reach Propertise'!$R4)/'Reach Propertise'!$F4)</f>
        <v>0.45320323465633033</v>
      </c>
      <c r="AH4" s="77">
        <f>((Table1[[#This Row],[Tt]]-Table1[[#This Row],[calculated time '[hours']]])/Table1[[#This Row],[Tt]])</f>
        <v>0.74649259238746246</v>
      </c>
      <c r="AI4" s="79">
        <f>Table1[[#This Row],[width '[meters']]]/Table1[[#This Row],[depth '[meters']]]</f>
        <v>28.967845013488855</v>
      </c>
      <c r="AJ4" s="84">
        <f>Table1[[#This Row],[depth '[meters']]]*Table1[[#This Row],[width '[meters']]]*Delta_X__meters</f>
        <v>332.53014022549996</v>
      </c>
      <c r="AK4" s="84">
        <f>Table1[[#This Row],[Column3]]-Table1[[#This Row],[Column2]]</f>
        <v>1.1333</v>
      </c>
      <c r="AL4" s="76"/>
      <c r="AM4" s="76">
        <f>'Reach Propertise'!$F4</f>
        <v>1.1333</v>
      </c>
      <c r="AN4" s="76"/>
      <c r="AO4" s="101">
        <f t="shared" si="1"/>
        <v>82</v>
      </c>
      <c r="AP4" s="101">
        <f>((1/1000000)*Table1[[#This Row],[Cup]]*Table1[[#This Row],[R ratio]]*Table1[[#This Row],[Inj Mass]])/Table1[[#This Row],[Q '[m3/sec']]]</f>
        <v>0</v>
      </c>
    </row>
    <row r="5" spans="1:42" s="80" customFormat="1" x14ac:dyDescent="0.25">
      <c r="A5" s="81" t="s">
        <v>101</v>
      </c>
      <c r="B5" s="72">
        <f t="shared" si="2"/>
        <v>2875</v>
      </c>
      <c r="C5" s="72">
        <v>5275</v>
      </c>
      <c r="D5" s="72">
        <v>7.51</v>
      </c>
      <c r="E5" s="72">
        <f>3.75*1000/3600</f>
        <v>1.0416666666666667</v>
      </c>
      <c r="F5" s="72">
        <v>2.4666999999999999</v>
      </c>
      <c r="G5" s="72">
        <f>14.8*1000/3600</f>
        <v>4.1111111111111107</v>
      </c>
      <c r="H5" s="72">
        <v>7.51</v>
      </c>
      <c r="I5" s="72"/>
      <c r="J5" s="82">
        <f>16.67/10000</f>
        <v>1.6670000000000001E-3</v>
      </c>
      <c r="K5" s="82">
        <v>0.62161200000000005</v>
      </c>
      <c r="L5" s="82">
        <v>17.83409</v>
      </c>
      <c r="M5" s="82">
        <v>5.8002699999999997E-2</v>
      </c>
      <c r="N5" s="76"/>
      <c r="O5" s="76"/>
      <c r="P5" s="76"/>
      <c r="Q5" s="83">
        <f>Table1[Q '[m3/sec']]/(Table1[depth '[meters']]*Table1[width '[meters']])</f>
        <v>0.67743806094400494</v>
      </c>
      <c r="R5" s="76">
        <f>(Table1[[#This Row],[Reach Length '[meters']]]/(Table1[[#This Row],[Q '[m3/sec']]]/(Table1[[#This Row],[depth '[meters']]]*Table1[[#This Row],[width '[meters']]])))/3600</f>
        <v>0.98409980941677766</v>
      </c>
      <c r="S5" s="76">
        <f>(Table1[[#This Row],[End Point distance  '[meters']]]/(3600*Table1[[#This Row],[Tp]]))</f>
        <v>0.59402350418688044</v>
      </c>
      <c r="T5" s="76">
        <v>1</v>
      </c>
      <c r="U5" s="76">
        <v>0</v>
      </c>
      <c r="V5" s="76">
        <v>0</v>
      </c>
      <c r="W5" s="84">
        <f>Table1[[#This Row],[End Point distance  '[meters']]]/1000</f>
        <v>5.2750000000000004</v>
      </c>
      <c r="X5" s="82">
        <v>5.8002699999999997E-2</v>
      </c>
      <c r="Y5" s="77" t="str">
        <f>IF(AVERAGE(Table1[[#This Row],[Error Ti]]&lt;=AVERAGE(Table1[[#This Row],[Error Tp]])),"use Ti","use Tp")</f>
        <v>use Ti</v>
      </c>
      <c r="Z5" s="76">
        <f>Table1[[#This Row],[End Point distance  '[meters']]]-Table1[[#This Row],[Start point distance '[meters']]]</f>
        <v>2400</v>
      </c>
      <c r="AA5" s="84">
        <f>(Table1[[#This Row],[Tp]]-AN5)*3600</f>
        <v>8880.119999999999</v>
      </c>
      <c r="AB5" s="85">
        <f>FLOOR((Table1[[#This Row],[Tp]]*3600)/Table1[[#This Row],[Delta T]],1)</f>
        <v>1268</v>
      </c>
      <c r="AC5" s="85">
        <f>Table1[[#This Row],[End Point distance  '[meters']]]/Delta_X__meters</f>
        <v>150.71428571428572</v>
      </c>
      <c r="AD5" s="85">
        <f>Table1[[#This Row],[Start point distance '[meters']]]/Delta_X__meters</f>
        <v>82.142857142857139</v>
      </c>
      <c r="AE5" s="76">
        <f>Delta_T__seconds</f>
        <v>7</v>
      </c>
      <c r="AF5" s="77">
        <f>((Table1[[#This Row],[Ti]]-Table1[[#This Row],[calculated time '[hours']]])/Table1[[#This Row],[Ti]])</f>
        <v>5.5264182959893514E-2</v>
      </c>
      <c r="AG5" s="77">
        <f>(('Reach Propertise'!$F5-'Reach Propertise'!$R5)/'Reach Propertise'!$F5)</f>
        <v>0.60104600907415673</v>
      </c>
      <c r="AH5" s="77">
        <f>((Table1[[#This Row],[Tt]]-Table1[[#This Row],[calculated time '[hours']]])/Table1[[#This Row],[Tt]])</f>
        <v>0.7606243706824054</v>
      </c>
      <c r="AI5" s="79">
        <f>Table1[[#This Row],[width '[meters']]]/Table1[[#This Row],[depth '[meters']]]</f>
        <v>28.690067115821442</v>
      </c>
      <c r="AJ5" s="84">
        <f>Table1[[#This Row],[depth '[meters']]]*Table1[[#This Row],[width '[meters']]]*Delta_X__meters</f>
        <v>388.00595235780003</v>
      </c>
      <c r="AK5" s="84">
        <f>Table1[[#This Row],[Column3]]-Table1[[#This Row],[Column2]]</f>
        <v>2.4666999999999999</v>
      </c>
      <c r="AL5" s="76"/>
      <c r="AM5" s="76">
        <f>'Reach Propertise'!$F5</f>
        <v>2.4666999999999999</v>
      </c>
      <c r="AN5" s="76"/>
      <c r="AO5" s="101">
        <f t="shared" si="1"/>
        <v>150</v>
      </c>
      <c r="AP5" s="101">
        <f>((1/1000000)*Table1[[#This Row],[Cup]]*Table1[[#This Row],[R ratio]]*Table1[[#This Row],[Inj Mass]])/Table1[[#This Row],[Q '[m3/sec']]]</f>
        <v>0</v>
      </c>
    </row>
    <row r="6" spans="1:42" s="80" customFormat="1" x14ac:dyDescent="0.25">
      <c r="A6" s="81" t="s">
        <v>102</v>
      </c>
      <c r="B6" s="72">
        <f t="shared" si="2"/>
        <v>5275</v>
      </c>
      <c r="C6" s="72">
        <v>7775</v>
      </c>
      <c r="D6" s="72">
        <v>9.25</v>
      </c>
      <c r="E6" s="72">
        <f>10.5*1000/3600</f>
        <v>2.9166666666666665</v>
      </c>
      <c r="F6" s="72">
        <v>3.7332999999999998</v>
      </c>
      <c r="G6" s="72">
        <f>20*1000/3600</f>
        <v>5.5555555555555554</v>
      </c>
      <c r="H6" s="72">
        <v>9.25</v>
      </c>
      <c r="I6" s="72"/>
      <c r="J6" s="82">
        <f>24/10000</f>
        <v>2.3999999999999998E-3</v>
      </c>
      <c r="K6" s="82">
        <v>0.52793800000000002</v>
      </c>
      <c r="L6" s="82">
        <v>34.910490000000003</v>
      </c>
      <c r="M6" s="82">
        <v>3.4605400000000001E-2</v>
      </c>
      <c r="N6" s="76"/>
      <c r="O6" s="76"/>
      <c r="P6" s="76"/>
      <c r="Q6" s="83">
        <f>Table1[Q '[m3/sec']]/(Table1[depth '[meters']]*Table1[width '[meters']])</f>
        <v>0.50188343915290901</v>
      </c>
      <c r="R6" s="76">
        <f>(Table1[[#This Row],[Reach Length '[meters']]]/(Table1[[#This Row],[Q '[m3/sec']]]/(Table1[[#This Row],[depth '[meters']]]*Table1[[#This Row],[width '[meters']]])))/3600</f>
        <v>1.3836767469684685</v>
      </c>
      <c r="S6" s="76">
        <f>(Table1[[#This Row],[End Point distance  '[meters']]]/(3600*Table1[[#This Row],[Tp]]))</f>
        <v>0.57850218900763994</v>
      </c>
      <c r="T6" s="76">
        <v>1</v>
      </c>
      <c r="U6" s="76">
        <v>0</v>
      </c>
      <c r="V6" s="76">
        <v>0</v>
      </c>
      <c r="W6" s="84">
        <f>Table1[[#This Row],[End Point distance  '[meters']]]/1000</f>
        <v>7.7750000000000004</v>
      </c>
      <c r="X6" s="82">
        <v>3.4605400000000001E-2</v>
      </c>
      <c r="Y6" s="77" t="str">
        <f>IF(AVERAGE(Table1[[#This Row],[Error Ti]]&lt;=AVERAGE(Table1[[#This Row],[Error Tp]])),"use Ti","use Tp")</f>
        <v>use Ti</v>
      </c>
      <c r="Z6" s="76">
        <f>Table1[[#This Row],[End Point distance  '[meters']]]-Table1[[#This Row],[Start point distance '[meters']]]</f>
        <v>2500</v>
      </c>
      <c r="AA6" s="84">
        <f>(Table1[[#This Row],[Tp]]-AN6)*3600</f>
        <v>13439.88</v>
      </c>
      <c r="AB6" s="85">
        <f>FLOOR((Table1[[#This Row],[Tp]]*3600)/Table1[[#This Row],[Delta T]],1)</f>
        <v>1919</v>
      </c>
      <c r="AC6" s="85">
        <f>Table1[[#This Row],[End Point distance  '[meters']]]/Delta_X__meters</f>
        <v>222.14285714285714</v>
      </c>
      <c r="AD6" s="85">
        <f>Table1[[#This Row],[Start point distance '[meters']]]/Delta_X__meters</f>
        <v>150.71428571428572</v>
      </c>
      <c r="AE6" s="76">
        <f>Delta_T__seconds</f>
        <v>7</v>
      </c>
      <c r="AF6" s="77">
        <f>((Table1[[#This Row],[Ti]]-Table1[[#This Row],[calculated time '[hours']]])/Table1[[#This Row],[Ti]])</f>
        <v>0.52559654389652499</v>
      </c>
      <c r="AG6" s="77">
        <f>(('Reach Propertise'!$F6-'Reach Propertise'!$R6)/'Reach Propertise'!$F6)</f>
        <v>0.6293689907137201</v>
      </c>
      <c r="AH6" s="77">
        <f>((Table1[[#This Row],[Tt]]-Table1[[#This Row],[calculated time '[hours']]])/Table1[[#This Row],[Tt]])</f>
        <v>0.7509381855456756</v>
      </c>
      <c r="AI6" s="79">
        <f>Table1[[#This Row],[width '[meters']]]/Table1[[#This Row],[depth '[meters']]]</f>
        <v>66.126117081930076</v>
      </c>
      <c r="AJ6" s="84">
        <f>Table1[[#This Row],[depth '[meters']]]*Table1[[#This Row],[width '[meters']]]*Delta_X__meters</f>
        <v>645.07009943670005</v>
      </c>
      <c r="AK6" s="84">
        <f>Table1[[#This Row],[Column3]]-Table1[[#This Row],[Column2]]</f>
        <v>3.7332999999999998</v>
      </c>
      <c r="AL6" s="76"/>
      <c r="AM6" s="76">
        <f>'Reach Propertise'!$F6</f>
        <v>3.7332999999999998</v>
      </c>
      <c r="AN6" s="76"/>
      <c r="AO6" s="101">
        <f t="shared" si="1"/>
        <v>222</v>
      </c>
      <c r="AP6" s="101">
        <f>((1/1000000)*Table1[[#This Row],[Cup]]*Table1[[#This Row],[R ratio]]*Table1[[#This Row],[Inj Mass]])/Table1[[#This Row],[Q '[m3/sec']]]</f>
        <v>0</v>
      </c>
    </row>
    <row r="7" spans="1:42" s="80" customFormat="1" x14ac:dyDescent="0.25">
      <c r="A7" s="81" t="s">
        <v>103</v>
      </c>
      <c r="B7" s="72">
        <f t="shared" si="2"/>
        <v>7775</v>
      </c>
      <c r="C7" s="72">
        <v>10275</v>
      </c>
      <c r="D7" s="72">
        <v>9.8000000000000007</v>
      </c>
      <c r="E7" s="72">
        <f>15.1*1000/3600</f>
        <v>4.1944444444444446</v>
      </c>
      <c r="F7" s="72">
        <v>5.0332999999999997</v>
      </c>
      <c r="G7" s="72">
        <f>26*1000/3600</f>
        <v>7.2222222222222223</v>
      </c>
      <c r="H7" s="72">
        <v>9.8000000000000007</v>
      </c>
      <c r="I7" s="72"/>
      <c r="J7" s="82">
        <f>44/10000</f>
        <v>4.4000000000000003E-3</v>
      </c>
      <c r="K7" s="82">
        <v>0.42355799999999999</v>
      </c>
      <c r="L7" s="82">
        <v>31.004169999999998</v>
      </c>
      <c r="M7" s="82">
        <v>2.1080000000000002E-2</v>
      </c>
      <c r="N7" s="76"/>
      <c r="O7" s="76"/>
      <c r="P7" s="76"/>
      <c r="Q7" s="83">
        <f>Table1[Q '[m3/sec']]/(Table1[depth '[meters']]*Table1[width '[meters']])</f>
        <v>0.74626500626555514</v>
      </c>
      <c r="R7" s="76">
        <f>(Table1[[#This Row],[Reach Length '[meters']]]/(Table1[[#This Row],[Q '[m3/sec']]]/(Table1[[#This Row],[depth '[meters']]]*Table1[[#This Row],[width '[meters']]])))/3600</f>
        <v>0.93056010748724483</v>
      </c>
      <c r="S7" s="76">
        <f>(Table1[[#This Row],[End Point distance  '[meters']]]/(3600*Table1[[#This Row],[Tp]]))</f>
        <v>0.56705673547506941</v>
      </c>
      <c r="T7" s="76">
        <v>1</v>
      </c>
      <c r="U7" s="76">
        <v>0</v>
      </c>
      <c r="V7" s="76">
        <v>0</v>
      </c>
      <c r="W7" s="84">
        <f>Table1[[#This Row],[End Point distance  '[meters']]]/1000</f>
        <v>10.275</v>
      </c>
      <c r="X7" s="82">
        <v>2.1080000000000002E-2</v>
      </c>
      <c r="Y7" s="77" t="str">
        <f>IF(AVERAGE(Table1[[#This Row],[Error Ti]]&lt;=AVERAGE(Table1[[#This Row],[Error Tp]])),"use Ti","use Tp")</f>
        <v>use Ti</v>
      </c>
      <c r="Z7" s="76">
        <f>Table1[[#This Row],[End Point distance  '[meters']]]-Table1[[#This Row],[Start point distance '[meters']]]</f>
        <v>2500</v>
      </c>
      <c r="AA7" s="84">
        <f>(Table1[[#This Row],[Tp]]-AN7)*3600</f>
        <v>18119.879999999997</v>
      </c>
      <c r="AB7" s="85">
        <f>FLOOR((Table1[[#This Row],[Tp]]*3600)/Table1[[#This Row],[Delta T]],1)</f>
        <v>2588</v>
      </c>
      <c r="AC7" s="85">
        <f>Table1[[#This Row],[End Point distance  '[meters']]]/Delta_X__meters</f>
        <v>293.57142857142856</v>
      </c>
      <c r="AD7" s="85">
        <f>Table1[[#This Row],[Start point distance '[meters']]]/Delta_X__meters</f>
        <v>222.14285714285714</v>
      </c>
      <c r="AE7" s="76">
        <f>Delta_T__seconds</f>
        <v>7</v>
      </c>
      <c r="AF7" s="77">
        <f>((Table1[[#This Row],[Ti]]-Table1[[#This Row],[calculated time '[hours']]])/Table1[[#This Row],[Ti]])</f>
        <v>0.7781446101354913</v>
      </c>
      <c r="AG7" s="77">
        <f>(('Reach Propertise'!$F7-'Reach Propertise'!$R7)/'Reach Propertise'!$F7)</f>
        <v>0.8151192840706406</v>
      </c>
      <c r="AH7" s="77">
        <f>((Table1[[#This Row],[Tt]]-Table1[[#This Row],[calculated time '[hours']]])/Table1[[#This Row],[Tt]])</f>
        <v>0.8711532158863815</v>
      </c>
      <c r="AI7" s="79">
        <f>Table1[[#This Row],[width '[meters']]]/Table1[[#This Row],[depth '[meters']]]</f>
        <v>73.199349321698563</v>
      </c>
      <c r="AJ7" s="84">
        <f>Table1[[#This Row],[depth '[meters']]]*Table1[[#This Row],[width '[meters']]]*Delta_X__meters</f>
        <v>459.6222482901</v>
      </c>
      <c r="AK7" s="84">
        <f>Table1[[#This Row],[Column3]]-Table1[[#This Row],[Column2]]</f>
        <v>5.0332999999999997</v>
      </c>
      <c r="AL7" s="76"/>
      <c r="AM7" s="76">
        <f>'Reach Propertise'!$F7</f>
        <v>5.0332999999999997</v>
      </c>
      <c r="AN7" s="76"/>
      <c r="AO7" s="101">
        <f t="shared" si="1"/>
        <v>293</v>
      </c>
      <c r="AP7" s="101">
        <f>((1/1000000)*Table1[[#This Row],[Cup]]*Table1[[#This Row],[R ratio]]*Table1[[#This Row],[Inj Mass]])/Table1[[#This Row],[Q '[m3/sec']]]</f>
        <v>0</v>
      </c>
    </row>
    <row r="8" spans="1:42" s="80" customFormat="1" x14ac:dyDescent="0.25">
      <c r="A8" s="81" t="s">
        <v>104</v>
      </c>
      <c r="B8" s="72">
        <f t="shared" si="2"/>
        <v>10275</v>
      </c>
      <c r="C8" s="72">
        <v>13775</v>
      </c>
      <c r="D8" s="72">
        <v>10</v>
      </c>
      <c r="E8" s="72">
        <f>19*1000/3600</f>
        <v>5.2777777777777777</v>
      </c>
      <c r="F8" s="72">
        <v>6.5369000000000002</v>
      </c>
      <c r="G8" s="72">
        <f>33.5*1000/3600</f>
        <v>9.3055555555555554</v>
      </c>
      <c r="H8" s="72">
        <v>10</v>
      </c>
      <c r="I8" s="72"/>
      <c r="J8" s="82">
        <f>25.71/10000</f>
        <v>2.5709999999999999E-3</v>
      </c>
      <c r="K8" s="82">
        <v>0.62438099999999996</v>
      </c>
      <c r="L8" s="82">
        <v>23.586819999999999</v>
      </c>
      <c r="M8" s="82">
        <v>2.0655E-2</v>
      </c>
      <c r="N8" s="76"/>
      <c r="O8" s="76"/>
      <c r="P8" s="76"/>
      <c r="Q8" s="83">
        <f>Table1[Q '[m3/sec']]/(Table1[depth '[meters']]*Table1[width '[meters']])</f>
        <v>0.67901743896945754</v>
      </c>
      <c r="R8" s="76">
        <f>(Table1[[#This Row],[Reach Length '[meters']]]/(Table1[[#This Row],[Q '[m3/sec']]]/(Table1[[#This Row],[depth '[meters']]]*Table1[[#This Row],[width '[meters']]])))/3600</f>
        <v>1.4318074417908333</v>
      </c>
      <c r="S8" s="76">
        <f>(Table1[[#This Row],[End Point distance  '[meters']]]/(3600*Table1[[#This Row],[Tp]]))</f>
        <v>0.58535221418239358</v>
      </c>
      <c r="T8" s="76">
        <v>1</v>
      </c>
      <c r="U8" s="76">
        <v>0</v>
      </c>
      <c r="V8" s="76">
        <v>0</v>
      </c>
      <c r="W8" s="84">
        <f>Table1[[#This Row],[End Point distance  '[meters']]]/1000</f>
        <v>13.775</v>
      </c>
      <c r="X8" s="82">
        <v>2.0655E-2</v>
      </c>
      <c r="Y8" s="77" t="str">
        <f>IF(AVERAGE(Table1[[#This Row],[Error Ti]]&lt;=AVERAGE(Table1[[#This Row],[Error Tp]])),"use Ti","use Tp")</f>
        <v>use Ti</v>
      </c>
      <c r="Z8" s="76">
        <f>Table1[[#This Row],[End Point distance  '[meters']]]-Table1[[#This Row],[Start point distance '[meters']]]</f>
        <v>3500</v>
      </c>
      <c r="AA8" s="84">
        <f>(Table1[[#This Row],[Tp]]-AN8)*3600</f>
        <v>23532.84</v>
      </c>
      <c r="AB8" s="85">
        <f>FLOOR((Table1[[#This Row],[Tp]]*3600)/Table1[[#This Row],[Delta T]],1)</f>
        <v>3361</v>
      </c>
      <c r="AC8" s="85">
        <f>Table1[[#This Row],[End Point distance  '[meters']]]/Delta_X__meters</f>
        <v>393.57142857142856</v>
      </c>
      <c r="AD8" s="85">
        <f>Table1[[#This Row],[Start point distance '[meters']]]/Delta_X__meters</f>
        <v>293.57142857142856</v>
      </c>
      <c r="AE8" s="76">
        <f>Delta_T__seconds</f>
        <v>7</v>
      </c>
      <c r="AF8" s="77">
        <f>((Table1[[#This Row],[Ti]]-Table1[[#This Row],[calculated time '[hours']]])/Table1[[#This Row],[Ti]])</f>
        <v>0.72871016892384211</v>
      </c>
      <c r="AG8" s="77">
        <f>(('Reach Propertise'!$F8-'Reach Propertise'!$R8)/'Reach Propertise'!$F8)</f>
        <v>0.78096537475090133</v>
      </c>
      <c r="AH8" s="77">
        <f>((Table1[[#This Row],[Tt]]-Table1[[#This Row],[calculated time '[hours']]])/Table1[[#This Row],[Tt]])</f>
        <v>0.84613412565829849</v>
      </c>
      <c r="AI8" s="79">
        <f>Table1[[#This Row],[width '[meters']]]/Table1[[#This Row],[depth '[meters']]]</f>
        <v>37.776325672946484</v>
      </c>
      <c r="AJ8" s="84">
        <f>Table1[[#This Row],[depth '[meters']]]*Table1[[#This Row],[width '[meters']]]*Delta_X__meters</f>
        <v>515.45067904469988</v>
      </c>
      <c r="AK8" s="84">
        <f>Table1[[#This Row],[Column3]]-Table1[[#This Row],[Column2]]</f>
        <v>6.5369000000000002</v>
      </c>
      <c r="AL8" s="76"/>
      <c r="AM8" s="76">
        <f>'Reach Propertise'!$F8</f>
        <v>6.5369000000000002</v>
      </c>
      <c r="AN8" s="76"/>
      <c r="AO8" s="101">
        <f t="shared" si="1"/>
        <v>393</v>
      </c>
      <c r="AP8" s="101">
        <f>((1/1000000)*Table1[[#This Row],[Cup]]*Table1[[#This Row],[R ratio]]*Table1[[#This Row],[Inj Mass]])/Table1[[#This Row],[Q '[m3/sec']]]</f>
        <v>0</v>
      </c>
    </row>
    <row r="9" spans="1:42" s="86" customFormat="1" x14ac:dyDescent="0.25">
      <c r="X9" s="87"/>
      <c r="Y9" s="88"/>
    </row>
    <row r="10" spans="1:42" s="86" customFormat="1" x14ac:dyDescent="0.25">
      <c r="X10" s="87"/>
      <c r="Y10" s="88"/>
    </row>
    <row r="11" spans="1:42" s="68" customFormat="1" x14ac:dyDescent="0.25">
      <c r="X11" s="69"/>
      <c r="Y11" s="70"/>
    </row>
    <row r="15" spans="1:42" x14ac:dyDescent="0.25">
      <c r="Y15" s="94"/>
      <c r="Z15" s="90"/>
    </row>
    <row r="16" spans="1:42" x14ac:dyDescent="0.25">
      <c r="Y16" s="95"/>
      <c r="Z16" s="91"/>
    </row>
    <row r="17" spans="25:26" x14ac:dyDescent="0.25">
      <c r="Y17" s="96"/>
      <c r="Z17" s="92"/>
    </row>
    <row r="18" spans="25:26" x14ac:dyDescent="0.25">
      <c r="Y18" s="97"/>
      <c r="Z18" s="93"/>
    </row>
    <row r="19" spans="25:26" x14ac:dyDescent="0.25">
      <c r="Y19" s="96"/>
      <c r="Z19" s="92"/>
    </row>
    <row r="20" spans="25:26" x14ac:dyDescent="0.25">
      <c r="Y20" s="97"/>
      <c r="Z20" s="93"/>
    </row>
    <row r="21" spans="25:26" x14ac:dyDescent="0.25">
      <c r="Y21" s="99"/>
      <c r="Z21" s="9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25</v>
      </c>
      <c r="B1" s="59" t="s">
        <v>26</v>
      </c>
      <c r="C1" s="59" t="s">
        <v>27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28</v>
      </c>
      <c r="B1" s="60" t="s">
        <v>16</v>
      </c>
      <c r="C1" s="60" t="s">
        <v>15</v>
      </c>
      <c r="D1" s="60" t="s">
        <v>69</v>
      </c>
      <c r="E1" s="60" t="s">
        <v>70</v>
      </c>
      <c r="F1" s="60" t="s">
        <v>71</v>
      </c>
      <c r="G1" s="60" t="s">
        <v>18</v>
      </c>
      <c r="H1" s="60" t="s">
        <v>19</v>
      </c>
      <c r="I1" s="60" t="s">
        <v>32</v>
      </c>
      <c r="J1" s="60" t="s">
        <v>15</v>
      </c>
      <c r="K1" s="60" t="s">
        <v>23</v>
      </c>
      <c r="L1" s="60" t="s">
        <v>24</v>
      </c>
      <c r="M1" s="60" t="s">
        <v>20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D1" workbookViewId="0">
      <selection activeCell="M11" sqref="M11"/>
    </sheetView>
  </sheetViews>
  <sheetFormatPr defaultRowHeight="15" x14ac:dyDescent="0.25"/>
  <cols>
    <col min="1" max="1" width="47.140625" bestFit="1" customWidth="1"/>
    <col min="12" max="13" width="9.140625" style="106"/>
    <col min="14" max="14" width="47.140625" style="109" bestFit="1" customWidth="1"/>
    <col min="15" max="15" width="9.140625" style="106"/>
    <col min="16" max="16" width="34.5703125" bestFit="1" customWidth="1"/>
  </cols>
  <sheetData>
    <row r="1" spans="1:16" ht="16.5" thickBot="1" x14ac:dyDescent="0.3">
      <c r="A1" s="11"/>
      <c r="H1">
        <v>1</v>
      </c>
      <c r="N1" s="107"/>
    </row>
    <row r="2" spans="1:16" ht="16.5" thickBot="1" x14ac:dyDescent="0.3">
      <c r="A2" s="12"/>
      <c r="H2">
        <v>5</v>
      </c>
      <c r="N2" s="108"/>
      <c r="P2" s="103" t="s">
        <v>108</v>
      </c>
    </row>
    <row r="3" spans="1:16" ht="15.75" thickBot="1" x14ac:dyDescent="0.3">
      <c r="A3" s="12"/>
      <c r="H3">
        <v>10</v>
      </c>
      <c r="N3" s="108"/>
      <c r="P3" s="104" t="s">
        <v>85</v>
      </c>
    </row>
    <row r="4" spans="1:16" ht="15.75" thickBot="1" x14ac:dyDescent="0.3">
      <c r="A4" s="12"/>
      <c r="H4">
        <v>25</v>
      </c>
      <c r="N4" s="108"/>
      <c r="P4" s="104" t="s">
        <v>86</v>
      </c>
    </row>
    <row r="5" spans="1:16" ht="15.75" thickBot="1" x14ac:dyDescent="0.3">
      <c r="A5" s="12"/>
      <c r="H5">
        <v>50</v>
      </c>
      <c r="N5" s="108"/>
      <c r="P5" s="104" t="s">
        <v>87</v>
      </c>
    </row>
    <row r="6" spans="1:16" ht="15.75" thickBot="1" x14ac:dyDescent="0.3">
      <c r="A6" s="12"/>
      <c r="H6">
        <v>100</v>
      </c>
      <c r="N6" s="108"/>
      <c r="P6" s="104" t="s">
        <v>88</v>
      </c>
    </row>
    <row r="7" spans="1:16" ht="15.75" thickBot="1" x14ac:dyDescent="0.3">
      <c r="A7" s="12"/>
      <c r="H7">
        <v>150</v>
      </c>
      <c r="N7" s="108"/>
      <c r="P7" s="104" t="s">
        <v>89</v>
      </c>
    </row>
    <row r="8" spans="1:16" ht="15.75" thickBot="1" x14ac:dyDescent="0.3">
      <c r="A8" s="10"/>
      <c r="H8">
        <v>200</v>
      </c>
      <c r="N8" s="108"/>
      <c r="P8" s="104" t="s">
        <v>90</v>
      </c>
    </row>
    <row r="9" spans="1:16" ht="15.75" thickBot="1" x14ac:dyDescent="0.3">
      <c r="A9" s="12"/>
      <c r="H9">
        <v>250</v>
      </c>
      <c r="N9" s="108"/>
      <c r="P9" s="104" t="s">
        <v>91</v>
      </c>
    </row>
    <row r="10" spans="1:16" ht="15.75" thickBot="1" x14ac:dyDescent="0.3">
      <c r="A10" s="10"/>
      <c r="H10">
        <v>300</v>
      </c>
      <c r="N10" s="108"/>
      <c r="P10" s="104" t="s">
        <v>92</v>
      </c>
    </row>
    <row r="11" spans="1:16" ht="15.75" thickBot="1" x14ac:dyDescent="0.3">
      <c r="H11">
        <v>350</v>
      </c>
      <c r="N11" s="108"/>
      <c r="P11" s="104" t="s">
        <v>109</v>
      </c>
    </row>
    <row r="12" spans="1:16" ht="16.5" thickBot="1" x14ac:dyDescent="0.3">
      <c r="H12">
        <v>400</v>
      </c>
      <c r="N12" s="108"/>
      <c r="P12" s="105" t="s">
        <v>110</v>
      </c>
    </row>
    <row r="13" spans="1:16" ht="15.75" thickBot="1" x14ac:dyDescent="0.3">
      <c r="H13">
        <v>450</v>
      </c>
      <c r="N13" s="108"/>
      <c r="P13" s="104" t="s">
        <v>111</v>
      </c>
    </row>
    <row r="14" spans="1:16" ht="15.75" thickBot="1" x14ac:dyDescent="0.3">
      <c r="H14">
        <v>500</v>
      </c>
      <c r="N14" s="108"/>
      <c r="P14" s="104" t="s">
        <v>93</v>
      </c>
    </row>
    <row r="15" spans="1:16" ht="15.75" thickBot="1" x14ac:dyDescent="0.3">
      <c r="H15">
        <v>550</v>
      </c>
      <c r="N15" s="108"/>
      <c r="P15" s="104" t="s">
        <v>94</v>
      </c>
    </row>
    <row r="16" spans="1:16" ht="15.75" thickBot="1" x14ac:dyDescent="0.3">
      <c r="H16">
        <v>600</v>
      </c>
      <c r="N16" s="108"/>
      <c r="P16" s="104" t="s">
        <v>95</v>
      </c>
    </row>
    <row r="17" spans="8:16" ht="15.75" thickBot="1" x14ac:dyDescent="0.3">
      <c r="H17">
        <v>650</v>
      </c>
      <c r="N17" s="108"/>
      <c r="P17" s="104" t="s">
        <v>96</v>
      </c>
    </row>
    <row r="18" spans="8:16" ht="15.75" thickBot="1" x14ac:dyDescent="0.3">
      <c r="H18">
        <v>700</v>
      </c>
      <c r="N18" s="108"/>
      <c r="P18" s="104" t="s">
        <v>97</v>
      </c>
    </row>
    <row r="19" spans="8:16" ht="15.75" thickBot="1" x14ac:dyDescent="0.3">
      <c r="H19">
        <v>750</v>
      </c>
      <c r="N19" s="108"/>
      <c r="P19" s="104" t="s">
        <v>98</v>
      </c>
    </row>
    <row r="20" spans="8:16" ht="15.75" thickBot="1" x14ac:dyDescent="0.3">
      <c r="H20">
        <v>800</v>
      </c>
      <c r="P20" s="104" t="s">
        <v>112</v>
      </c>
    </row>
    <row r="21" spans="8:16" ht="15.75" thickBot="1" x14ac:dyDescent="0.3">
      <c r="H21">
        <v>900</v>
      </c>
      <c r="P21" s="104" t="s">
        <v>113</v>
      </c>
    </row>
    <row r="22" spans="8:16" x14ac:dyDescent="0.25">
      <c r="H22">
        <v>1000</v>
      </c>
      <c r="P22" s="102" t="s">
        <v>114</v>
      </c>
    </row>
    <row r="23" spans="8:16" ht="15.75" x14ac:dyDescent="0.25">
      <c r="H23">
        <v>1250</v>
      </c>
      <c r="N23" s="110"/>
    </row>
    <row r="24" spans="8:16" x14ac:dyDescent="0.25">
      <c r="H24">
        <v>1500</v>
      </c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A2" sqref="A2:S9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 s="25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 s="39">
        <v>30.806528017469848</v>
      </c>
      <c r="Q5" s="39">
        <v>4.3379828015827844</v>
      </c>
      <c r="R5" s="39">
        <v>23.551261448561682</v>
      </c>
      <c r="S5" s="39">
        <v>13.278955923320112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9">
        <v>43.34296430768245</v>
      </c>
      <c r="Q6" s="39">
        <v>7.3080205694117195</v>
      </c>
      <c r="R6" s="39">
        <v>33.465758842333642</v>
      </c>
      <c r="S6" s="39">
        <v>24.85729790564373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9">
        <v>37.450196851082339</v>
      </c>
      <c r="Q7" s="39">
        <v>7.4357658243047737</v>
      </c>
      <c r="R7" s="39">
        <v>27.08994181247148</v>
      </c>
      <c r="S7" s="39">
        <v>21.067085368232753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9">
        <v>37.394201405106315</v>
      </c>
      <c r="Q8" s="39">
        <v>6.422533260982461</v>
      </c>
      <c r="R8" s="39">
        <v>28.194582095621172</v>
      </c>
      <c r="S8" s="39">
        <v>16.791435597158287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s="39" t="e">
        <v>#N/A</v>
      </c>
      <c r="Q9" s="39" t="e">
        <v>#N/A</v>
      </c>
      <c r="R9" s="39" t="e">
        <v>#N/A</v>
      </c>
      <c r="S9" s="39" t="e">
        <v>#N/A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60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61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66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62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63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64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65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67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68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76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77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83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11" t="s">
        <v>84</v>
      </c>
      <c r="H28" s="112"/>
      <c r="I28" s="112"/>
      <c r="J28" s="112"/>
      <c r="K28" s="112"/>
      <c r="L28" s="112"/>
      <c r="M28" s="113"/>
    </row>
    <row r="29" spans="6:18" ht="15.75" thickBot="1" x14ac:dyDescent="0.3">
      <c r="F29" s="46" t="s">
        <v>75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61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66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62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63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64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65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67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68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75</v>
      </c>
      <c r="B1" s="29" t="s">
        <v>76</v>
      </c>
      <c r="C1" s="29" t="s">
        <v>77</v>
      </c>
      <c r="D1" s="29" t="s">
        <v>78</v>
      </c>
      <c r="E1" s="29" t="s">
        <v>79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80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68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75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76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77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78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79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2019-03-09T13:19:22Z</dcterms:modified>
</cp:coreProperties>
</file>