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firstSheet="2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D2" i="3" l="1"/>
  <c r="A2" i="3"/>
  <c r="W17" i="12" l="1"/>
  <c r="O22" i="12" l="1"/>
  <c r="O15" i="12"/>
  <c r="O16" i="12"/>
  <c r="O17" i="12"/>
  <c r="O18" i="12"/>
  <c r="O19" i="12"/>
  <c r="O20" i="12"/>
  <c r="O14" i="12"/>
  <c r="P22" i="12"/>
  <c r="P15" i="12"/>
  <c r="P16" i="12"/>
  <c r="P17" i="12"/>
  <c r="P18" i="12"/>
  <c r="P19" i="12"/>
  <c r="P20" i="12"/>
  <c r="P14" i="12"/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<sst xmlns="http://schemas.openxmlformats.org/spreadsheetml/2006/main" count="208" uniqueCount="122">
  <si>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</si>
  <si>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</si>
  <si>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</si>
  <si>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</si>
  <si>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</si>
  <si>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</si>
  <si>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</si>
  <si>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</si>
  <si>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</si>
  <si>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</si>
  <si>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</si>
  <si>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</si>
  <si>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</si>
  <si>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</si>
  <si>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</si>
  <si>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</si>
  <si>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</si>
  <si>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</si>
  <si>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</si>
  <si>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</si>
  <si>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</si>
  <si>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</si>
  <si>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</si>
  <si>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</si>
  <si>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</si>
  <si>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</si>
  <si>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</si>
  <si>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</si>
  <si>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</si>
  <si>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</si>
  <si>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</si>
  <si>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</si>
  <si>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</si>
  <si>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</si>
  <si>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</si>
  <si>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</si>
  <si>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</si>
  <si>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</si>
  <si>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</si>
  <si>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</si>
  <si>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</si>
  <si>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</si>
  <si>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</si>
  <si>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</si>
  <si>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</si>
  <si>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</si>
  <si>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</si>
  <si>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</si>
  <si>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</si>
  <si>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</si>
  <si>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</si>
  <si>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</si>
  <si>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</si>
  <si>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</si>
  <si>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</si>
  <si>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</si>
  <si>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</si>
  <si>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</si>
  <si>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</si>
  <si>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</si>
  <si>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</si>
  <si>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</si>
  <si>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</si>
  <si>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</si>
  <si>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</si>
  <si>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</si>
  <si>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</si>
  <si>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</si>
  <si>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</si>
  <si>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</si>
  <si>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</si>
  <si>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</si>
  <si>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</si>
  <si>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</si>
  <si>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</si>
  <si>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</si>
  <si>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</si>
  <si>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</si>
  <si>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</si>
  <si>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</si>
  <si>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</si>
  <si>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</si>
  <si>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</si>
  <si>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</si>
  <si>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</si>
  <si>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</si>
  <si>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</si>
  <si>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</si>
  <si>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</si>
  <si>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</si>
  <si>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</si>
  <si>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</si>
  <si>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</si>
  <si>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</si>
  <si>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</si>
  <si>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</si>
  <si>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</si>
  <si>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</si>
  <si>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</si>
  <si>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</si>
  <si>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</si>
  <si>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</si>
  <si>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</si>
  <si>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</si>
  <si>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</si>
  <si>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</si>
  <si>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</si>
  <si>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</si>
  <si>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</si>
  <si>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</si>
  <si>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</si>
  <si>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</si>
  <si>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</si>
  <si>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</si>
  <si>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</si>
  <si>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</si>
  <si>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</si>
  <si>
    <t>ov</t>
  </si>
  <si>
    <t>ldc</t>
  </si>
  <si>
    <t>dX</t>
  </si>
  <si>
    <t>dT</t>
  </si>
  <si>
    <t>cr=[cp(160),cp(279),cp(365),cp(496),cp(571),cp(605),cp(766)]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</si>
</sst>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  <font>
      <sz val="11"/>
      <color theme="1"/>
      <name val="Monaco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6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42" fillId="0" borderId="0" xfId="0" applyFont="1"/>
    <xf numFmtId="0" fontId="42" fillId="0" borderId="0" xfId="0" applyFont="1" applyAlignment="1">
      <alignment vertical="center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11</xdr:row>
      <xdr:rowOff>19050</xdr:rowOff>
    </xdr:from>
    <xdr:to>
      <xdr:col>12</xdr:col>
      <xdr:colOff>895350</xdr:colOff>
      <xdr:row>13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2686050"/>
          <a:ext cx="155257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381000</xdr:colOff>
      <xdr:row>14</xdr:row>
      <xdr:rowOff>57150</xdr:rowOff>
    </xdr:from>
    <xdr:to>
      <xdr:col>12</xdr:col>
      <xdr:colOff>819150</xdr:colOff>
      <xdr:row>18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3676650"/>
          <a:ext cx="13620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49" customWidth="1"/>
    <col min="3" max="16384" width="9.140625" style="1"/>
  </cols>
  <sheetData>
    <row r="1" spans="1:24" x14ac:dyDescent="0.25">
      <c r="A1" s="4"/>
      <c r="B1" s="41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2" t="str">
        <f ca="1">MID(CELL("filename"),SEARCH("[",CELL("filename"))+1, SEARCH("]",CELL("filename"))-SEARCH("[",CELL("filename"))-1)</f>
        <v>Dx_2015_Disley_et_al_Paper02_Chattahoochee_dx320_dt15.xlsx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8">
        <f>DATE(2019,2,6)</f>
        <v>43502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2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2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3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4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1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5">
        <v>320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6">
        <v>15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6" t="s">
        <v>101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5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7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5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4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4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4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4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4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8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4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3"/>
  <sheetViews>
    <sheetView topLeftCell="AI1" workbookViewId="0">
      <pane ySplit="1" topLeftCell="A2" activePane="bottomLeft" state="frozen"/>
      <selection pane="bottomLeft" activeCell="AO13" sqref="AO13"/>
    </sheetView>
  </sheetViews>
  <sheetFormatPr defaultRowHeight="15" x14ac:dyDescent="0.25"/>
  <cols>
    <col min="1" max="1" width="23.28515625" style="55" customWidth="1"/>
    <col min="2" max="2" width="18.140625" style="55" customWidth="1"/>
    <col min="3" max="3" width="17.28515625" style="55" customWidth="1"/>
    <col min="4" max="4" width="14.5703125" style="55" customWidth="1"/>
    <col min="5" max="5" width="8.85546875" style="55" customWidth="1"/>
    <col min="6" max="6" width="7.7109375" style="55" customWidth="1"/>
    <col min="7" max="7" width="10.7109375" style="55" customWidth="1"/>
    <col min="8" max="8" width="13.42578125" style="55" bestFit="1" customWidth="1"/>
    <col min="9" max="9" width="24.85546875" style="55" customWidth="1"/>
    <col min="10" max="10" width="23.7109375" style="55" customWidth="1"/>
    <col min="11" max="12" width="19.140625" style="55" customWidth="1"/>
    <col min="13" max="13" width="10.28515625" style="55" customWidth="1"/>
    <col min="14" max="14" width="12.85546875" style="55" customWidth="1"/>
    <col min="15" max="15" width="17.85546875" style="55" customWidth="1"/>
    <col min="16" max="16" width="12.7109375" style="55" customWidth="1"/>
    <col min="17" max="17" width="39.7109375" style="55" customWidth="1"/>
    <col min="18" max="18" width="19.140625" style="55" customWidth="1"/>
    <col min="19" max="19" width="22.5703125" style="55" customWidth="1"/>
    <col min="20" max="20" width="9.140625" style="55"/>
    <col min="21" max="21" width="21.42578125" style="55" customWidth="1"/>
    <col min="22" max="22" width="38.5703125" style="55" customWidth="1"/>
    <col min="23" max="23" width="29.42578125" style="55" customWidth="1"/>
    <col min="24" max="24" width="41.140625" style="56" customWidth="1"/>
    <col min="25" max="25" width="17.140625" style="57" customWidth="1"/>
    <col min="26" max="27" width="19.42578125" style="55" customWidth="1"/>
    <col min="28" max="28" width="16.42578125" style="55" customWidth="1"/>
    <col min="29" max="30" width="12.140625" style="55" customWidth="1"/>
    <col min="31" max="31" width="11.140625" style="55" customWidth="1"/>
    <col min="32" max="34" width="12.28515625" style="55" customWidth="1"/>
    <col min="35" max="35" width="11.140625" style="55" customWidth="1"/>
    <col min="36" max="36" width="9.140625" style="55"/>
    <col min="37" max="37" width="12.28515625" style="55" customWidth="1"/>
    <col min="38" max="39" width="11.140625" style="55" customWidth="1"/>
    <col min="40" max="40" width="9.140625" style="55"/>
    <col min="41" max="41" width="30.140625" style="55" bestFit="1" customWidth="1"/>
    <col min="42" max="42" width="26.5703125" style="55" bestFit="1" customWidth="1"/>
    <col min="43" max="16384" width="9.140625" style="55"/>
  </cols>
  <sheetData>
    <row r="1" spans="1:42" s="90" customFormat="1" ht="51.75" customHeight="1" x14ac:dyDescent="0.25">
      <c r="A1" s="84" t="s">
        <v>40</v>
      </c>
      <c r="B1" s="84" t="s">
        <v>49</v>
      </c>
      <c r="C1" s="84" t="s">
        <v>48</v>
      </c>
      <c r="D1" s="84" t="s">
        <v>11</v>
      </c>
      <c r="E1" s="84" t="s">
        <v>39</v>
      </c>
      <c r="F1" s="84" t="s">
        <v>38</v>
      </c>
      <c r="G1" s="84" t="s">
        <v>37</v>
      </c>
      <c r="H1" s="84" t="s">
        <v>36</v>
      </c>
      <c r="I1" s="84" t="s">
        <v>50</v>
      </c>
      <c r="J1" s="84" t="s">
        <v>14</v>
      </c>
      <c r="K1" s="84" t="s">
        <v>13</v>
      </c>
      <c r="L1" s="84" t="s">
        <v>12</v>
      </c>
      <c r="M1" s="84" t="s">
        <v>43</v>
      </c>
      <c r="N1" s="84" t="s">
        <v>41</v>
      </c>
      <c r="O1" s="84" t="s">
        <v>42</v>
      </c>
      <c r="P1" s="84" t="s">
        <v>34</v>
      </c>
      <c r="Q1" s="84" t="s">
        <v>44</v>
      </c>
      <c r="R1" s="84" t="s">
        <v>32</v>
      </c>
      <c r="S1" s="84" t="s">
        <v>46</v>
      </c>
      <c r="T1" s="84" t="s">
        <v>15</v>
      </c>
      <c r="U1" s="84" t="s">
        <v>35</v>
      </c>
      <c r="V1" s="84" t="s">
        <v>9</v>
      </c>
      <c r="W1" s="84" t="s">
        <v>22</v>
      </c>
      <c r="X1" s="85" t="s">
        <v>108</v>
      </c>
      <c r="Y1" s="86" t="s">
        <v>45</v>
      </c>
      <c r="Z1" s="84" t="s">
        <v>10</v>
      </c>
      <c r="AA1" s="84" t="s">
        <v>82</v>
      </c>
      <c r="AB1" s="87" t="s">
        <v>72</v>
      </c>
      <c r="AC1" s="87" t="s">
        <v>73</v>
      </c>
      <c r="AD1" s="87" t="s">
        <v>74</v>
      </c>
      <c r="AE1" s="88" t="s">
        <v>47</v>
      </c>
      <c r="AF1" s="88" t="s">
        <v>51</v>
      </c>
      <c r="AG1" s="88" t="s">
        <v>52</v>
      </c>
      <c r="AH1" s="88" t="s">
        <v>53</v>
      </c>
      <c r="AI1" s="88" t="s">
        <v>54</v>
      </c>
      <c r="AJ1" s="88" t="s">
        <v>56</v>
      </c>
      <c r="AK1" s="88" t="s">
        <v>57</v>
      </c>
      <c r="AL1" s="88" t="s">
        <v>58</v>
      </c>
      <c r="AM1" s="88" t="s">
        <v>59</v>
      </c>
      <c r="AN1" s="88" t="s">
        <v>81</v>
      </c>
      <c r="AO1" s="89" t="s">
        <v>106</v>
      </c>
      <c r="AP1" s="89" t="s">
        <v>107</v>
      </c>
    </row>
    <row r="2" spans="1:42" s="75" customFormat="1" ht="16.5" x14ac:dyDescent="0.25">
      <c r="A2" s="67" t="s">
        <v>110</v>
      </c>
      <c r="B2" s="68">
        <v>0</v>
      </c>
      <c r="C2" s="68">
        <v>16000</v>
      </c>
      <c r="D2" s="69">
        <v>136.19999999999999</v>
      </c>
      <c r="E2" s="70">
        <v>4.0199999999999996</v>
      </c>
      <c r="F2" s="71">
        <v>4.83</v>
      </c>
      <c r="G2" s="68"/>
      <c r="H2" s="69">
        <v>136.19999999999999</v>
      </c>
      <c r="I2" s="68"/>
      <c r="J2" s="72">
        <v>5.0000000000000001E-4</v>
      </c>
      <c r="K2" s="69">
        <v>2.2999999999999998</v>
      </c>
      <c r="L2" s="69">
        <v>74.099999999999994</v>
      </c>
      <c r="M2" s="69">
        <v>1.1459499999999999E-2</v>
      </c>
      <c r="N2" s="73"/>
      <c r="O2" s="73"/>
      <c r="P2" s="73"/>
      <c r="Q2" s="74">
        <f>Table1[Q '[m3/sec']]/(Table1[depth '[meters']]*Table1[width '[meters']])</f>
        <v>0.79915507833127974</v>
      </c>
      <c r="R2" s="75">
        <f>(Table1[[#This Row],[Reach Length '[meters']]]/(Table1[[#This Row],[Q '[m3/sec']]]/(Table1[[#This Row],[depth '[meters']]]*Table1[[#This Row],[width '[meters']]])))/3600</f>
        <v>5.5614292706803719</v>
      </c>
      <c r="S2" s="75">
        <f>(Table1[[#This Row],[End Point distance  '[meters']]]/(3600*Table1[[#This Row],[Tp]]))</f>
        <v>0.92017483321831151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16</v>
      </c>
      <c r="X2" s="69">
        <v>1.1459499999999999E-2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16000</v>
      </c>
      <c r="AA2" s="75">
        <f>(Table1[[#This Row],[Tp]]-AN2)*3600</f>
        <v>17388</v>
      </c>
      <c r="AB2" s="77">
        <f>FLOOR((Table1[[#This Row],[Tp]]*3600)/Table1[[#This Row],[Delta T]],1)</f>
        <v>1159</v>
      </c>
      <c r="AC2" s="77">
        <f>Table1[[#This Row],[End Point distance  '[meters']]]/Delta_X__meters</f>
        <v>50</v>
      </c>
      <c r="AD2" s="77">
        <f>Table1[[#This Row],[Start point distance '[meters']]]/Delta_X__meters</f>
        <v>0</v>
      </c>
      <c r="AE2" s="75">
        <f t="shared" ref="AE2:AE3" si="0">Delta_T__seconds</f>
        <v>15</v>
      </c>
      <c r="AF2" s="76">
        <f>((Table1[[#This Row],[Ti]]-Table1[[#This Row],[calculated time '[hours']]])/Table1[[#This Row],[Ti]])</f>
        <v>-0.38344011708466974</v>
      </c>
      <c r="AG2" s="76">
        <f>(('Reach Propertise'!$F2-'Reach Propertise'!$R2)/'Reach Propertise'!$F2)</f>
        <v>-0.15143463161084303</v>
      </c>
      <c r="AH2" s="76" t="e">
        <f>((Table1[[#This Row],[Tt]]-Table1[[#This Row],[calculated time '[hours']]])/Table1[[#This Row],[Tt]])</f>
        <v>#DIV/0!</v>
      </c>
      <c r="AI2" s="78">
        <f>Table1[[#This Row],[width '[meters']]]/Table1[[#This Row],[depth '[meters']]]</f>
        <v>32.217391304347828</v>
      </c>
      <c r="AJ2" s="75">
        <f>Table1[[#This Row],[depth '[meters']]]*Table1[[#This Row],[width '[meters']]]*Delta_X__meters</f>
        <v>54537.599999999991</v>
      </c>
      <c r="AK2" s="75">
        <f>Table1[[#This Row],[Column3]]-Table1[[#This Row],[Column2]]</f>
        <v>4.83</v>
      </c>
      <c r="AL2" s="75">
        <v>0</v>
      </c>
      <c r="AM2" s="75">
        <f>'Reach Propertise'!$F2</f>
        <v>4.83</v>
      </c>
      <c r="AN2" s="75">
        <v>0</v>
      </c>
      <c r="AO2" s="79">
        <f>FLOOR(Table1[[#This Row],[End Point distance  '[meters']]]/Delta_X__meters,1)</f>
        <v>50</v>
      </c>
      <c r="AP2" s="79">
        <f>((1/1000000)*Table1[[#This Row],[Cup]]*Table1[[#This Row],[R ratio]]*Table1[[#This Row],[Inj Mass]])/Table1[[#This Row],[Q '[m3/sec']]]</f>
        <v>0</v>
      </c>
    </row>
    <row r="3" spans="1:42" s="72" customFormat="1" ht="16.5" x14ac:dyDescent="0.25">
      <c r="A3" s="67" t="s">
        <v>111</v>
      </c>
      <c r="B3" s="68">
        <f>C2</f>
        <v>16000</v>
      </c>
      <c r="C3" s="68">
        <v>27900</v>
      </c>
      <c r="D3" s="69">
        <v>179.5</v>
      </c>
      <c r="E3" s="70">
        <v>7.02</v>
      </c>
      <c r="F3" s="71">
        <v>8.08</v>
      </c>
      <c r="G3" s="68"/>
      <c r="H3" s="69">
        <v>179.5</v>
      </c>
      <c r="I3" s="68"/>
      <c r="J3" s="72">
        <v>2.7999999999999998E-4</v>
      </c>
      <c r="K3" s="69">
        <v>2.9</v>
      </c>
      <c r="L3" s="69">
        <v>65.8</v>
      </c>
      <c r="M3" s="69">
        <v>8.4092000000000004E-3</v>
      </c>
      <c r="N3" s="73"/>
      <c r="O3" s="73"/>
      <c r="P3" s="73"/>
      <c r="Q3" s="74">
        <f>Table1[Q '[m3/sec']]/(Table1[depth '[meters']]*Table1[width '[meters']])</f>
        <v>0.94067707787443666</v>
      </c>
      <c r="R3" s="75">
        <f>(Table1[[#This Row],[Reach Length '[meters']]]/(Table1[[#This Row],[Q '[m3/sec']]]/(Table1[[#This Row],[depth '[meters']]]*Table1[[#This Row],[width '[meters']]])))/3600</f>
        <v>3.5140173320953263</v>
      </c>
      <c r="S3" s="75">
        <f>(Table1[[#This Row],[End Point distance  '[meters']]]/(3600*Table1[[#This Row],[Tp]]))</f>
        <v>0.95915841584158412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27.9</v>
      </c>
      <c r="X3" s="69">
        <v>8.4092000000000004E-3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11900</v>
      </c>
      <c r="AA3" s="75">
        <f>(Table1[[#This Row],[Tp]]-AN3)*3600</f>
        <v>25488</v>
      </c>
      <c r="AB3" s="77">
        <f>FLOOR((Table1[[#This Row],[Tp]]*3600)/Table1[[#This Row],[Delta T]],1)</f>
        <v>1939</v>
      </c>
      <c r="AC3" s="77">
        <f>Table1[[#This Row],[End Point distance  '[meters']]]/Delta_X__meters</f>
        <v>87.1875</v>
      </c>
      <c r="AD3" s="77">
        <f>Table1[[#This Row],[Start point distance '[meters']]]/Delta_X__meters</f>
        <v>50</v>
      </c>
      <c r="AE3" s="75">
        <f t="shared" si="0"/>
        <v>15</v>
      </c>
      <c r="AF3" s="76">
        <f>((Table1[[#This Row],[Ti]]-Table1[[#This Row],[calculated time '[hours']]])/Table1[[#This Row],[Ti]])</f>
        <v>0.49942773047075123</v>
      </c>
      <c r="AG3" s="76">
        <f>(('Reach Propertise'!$F3-'Reach Propertise'!$R3)/'Reach Propertise'!$F3)</f>
        <v>0.56509686483968735</v>
      </c>
      <c r="AH3" s="76" t="e">
        <f>((Table1[[#This Row],[Tt]]-Table1[[#This Row],[calculated time '[hours']]])/Table1[[#This Row],[Tt]])</f>
        <v>#DIV/0!</v>
      </c>
      <c r="AI3" s="78">
        <f>Table1[[#This Row],[width '[meters']]]/Table1[[#This Row],[depth '[meters']]]</f>
        <v>22.689655172413794</v>
      </c>
      <c r="AJ3" s="75">
        <f>Table1[[#This Row],[depth '[meters']]]*Table1[[#This Row],[width '[meters']]]*Delta_X__meters</f>
        <v>61062.399999999994</v>
      </c>
      <c r="AK3" s="75">
        <f>Table1[[#This Row],[Column3]]-Table1[[#This Row],[Column2]]</f>
        <v>7.08</v>
      </c>
      <c r="AL3" s="75">
        <v>1</v>
      </c>
      <c r="AM3" s="75">
        <f>'Reach Propertise'!$F3</f>
        <v>8.08</v>
      </c>
      <c r="AN3" s="75">
        <v>1</v>
      </c>
      <c r="AO3" s="79">
        <f>FLOOR(Table1[[#This Row],[End Point distance  '[meters']]]/Delta_X__meters,1)</f>
        <v>87</v>
      </c>
      <c r="AP3" s="79">
        <f>((1/1000000)*Table1[[#This Row],[Cup]]*Table1[[#This Row],[R ratio]]*Table1[[#This Row],[Inj Mass]])/Table1[[#This Row],[Q '[m3/sec']]]</f>
        <v>0</v>
      </c>
    </row>
    <row r="4" spans="1:42" s="72" customFormat="1" ht="16.5" x14ac:dyDescent="0.25">
      <c r="A4" s="80" t="s">
        <v>112</v>
      </c>
      <c r="B4" s="68">
        <f t="shared" ref="B4:B8" si="1">C3</f>
        <v>27900</v>
      </c>
      <c r="C4" s="68">
        <v>36500</v>
      </c>
      <c r="D4" s="69">
        <v>174.7</v>
      </c>
      <c r="E4" s="70">
        <v>9.09</v>
      </c>
      <c r="F4" s="71">
        <v>10.33</v>
      </c>
      <c r="G4" s="68"/>
      <c r="H4" s="69">
        <v>174.7</v>
      </c>
      <c r="I4" s="68"/>
      <c r="J4" s="72">
        <v>6.0999999999999997E-4</v>
      </c>
      <c r="K4" s="69">
        <v>2.2999999999999998</v>
      </c>
      <c r="L4" s="69">
        <v>74.099999999999994</v>
      </c>
      <c r="M4" s="69">
        <v>7.2880999999999996E-3</v>
      </c>
      <c r="N4" s="75"/>
      <c r="O4" s="75"/>
      <c r="P4" s="75"/>
      <c r="Q4" s="81">
        <f>Table1[Q '[m3/sec']]/(Table1[depth '[meters']]*Table1[width '[meters']])</f>
        <v>1.0250542744821922</v>
      </c>
      <c r="R4" s="75">
        <f>(Table1[[#This Row],[Reach Length '[meters']]]/(Table1[[#This Row],[Q '[m3/sec']]]/(Table1[[#This Row],[depth '[meters']]]*Table1[[#This Row],[width '[meters']]])))/3600</f>
        <v>2.330499904598359</v>
      </c>
      <c r="S4" s="75">
        <f>(Table1[[#This Row],[End Point distance  '[meters']]]/(3600*Table1[[#This Row],[Tp]]))</f>
        <v>0.98149940841131544</v>
      </c>
      <c r="T4" s="75">
        <v>1</v>
      </c>
      <c r="U4" s="75">
        <v>0</v>
      </c>
      <c r="V4" s="75">
        <v>0</v>
      </c>
      <c r="W4" s="82">
        <f>Table1[[#This Row],[End Point distance  '[meters']]]/1000</f>
        <v>36.5</v>
      </c>
      <c r="X4" s="69">
        <v>7.2880999999999996E-3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8600</v>
      </c>
      <c r="AA4" s="82">
        <f>(Table1[[#This Row],[Tp]]-AN4)*3600</f>
        <v>37188</v>
      </c>
      <c r="AB4" s="83">
        <f>FLOOR((Table1[[#This Row],[Tp]]*3600)/Table1[[#This Row],[Delta T]],1)</f>
        <v>2479</v>
      </c>
      <c r="AC4" s="83">
        <f>Table1[[#This Row],[End Point distance  '[meters']]]/Delta_X__meters</f>
        <v>114.0625</v>
      </c>
      <c r="AD4" s="83">
        <f>Table1[[#This Row],[Start point distance '[meters']]]/Delta_X__meters</f>
        <v>87.1875</v>
      </c>
      <c r="AE4" s="75">
        <f>Delta_T__seconds</f>
        <v>15</v>
      </c>
      <c r="AF4" s="76">
        <f>((Table1[[#This Row],[Ti]]-Table1[[#This Row],[calculated time '[hours']]])/Table1[[#This Row],[Ti]])</f>
        <v>0.74361937243142373</v>
      </c>
      <c r="AG4" s="76">
        <f>(('Reach Propertise'!$F4-'Reach Propertise'!$R4)/'Reach Propertise'!$F4)</f>
        <v>0.77439497535349866</v>
      </c>
      <c r="AH4" s="76" t="e">
        <f>((Table1[[#This Row],[Tt]]-Table1[[#This Row],[calculated time '[hours']]])/Table1[[#This Row],[Tt]])</f>
        <v>#DIV/0!</v>
      </c>
      <c r="AI4" s="78">
        <f>Table1[[#This Row],[width '[meters']]]/Table1[[#This Row],[depth '[meters']]]</f>
        <v>32.217391304347828</v>
      </c>
      <c r="AJ4" s="82">
        <f>Table1[[#This Row],[depth '[meters']]]*Table1[[#This Row],[width '[meters']]]*Delta_X__meters</f>
        <v>54537.599999999991</v>
      </c>
      <c r="AK4" s="82">
        <f>Table1[[#This Row],[Column3]]-Table1[[#This Row],[Column2]]</f>
        <v>10.33</v>
      </c>
      <c r="AL4" s="75"/>
      <c r="AM4" s="75">
        <f>'Reach Propertise'!$F4</f>
        <v>10.33</v>
      </c>
      <c r="AN4" s="75"/>
      <c r="AO4" s="79">
        <f>FLOOR(Table1[[#This Row],[End Point distance  '[meters']]]/Delta_X__meters,1)</f>
        <v>114</v>
      </c>
      <c r="AP4" s="79">
        <f>((1/1000000)*Table1[[#This Row],[Cup]]*Table1[[#This Row],[R ratio]]*Table1[[#This Row],[Inj Mass]])/Table1[[#This Row],[Q '[m3/sec']]]</f>
        <v>0</v>
      </c>
    </row>
    <row r="5" spans="1:42" s="72" customFormat="1" ht="16.5" x14ac:dyDescent="0.25">
      <c r="A5" s="80" t="s">
        <v>113</v>
      </c>
      <c r="B5" s="68">
        <f t="shared" si="1"/>
        <v>36500</v>
      </c>
      <c r="C5" s="68">
        <v>49600</v>
      </c>
      <c r="D5" s="69">
        <v>169.9</v>
      </c>
      <c r="E5" s="70">
        <v>13.03</v>
      </c>
      <c r="F5" s="71">
        <v>14.8</v>
      </c>
      <c r="G5" s="68"/>
      <c r="H5" s="69">
        <v>169.9</v>
      </c>
      <c r="I5" s="68"/>
      <c r="J5" s="72">
        <v>3.1E-4</v>
      </c>
      <c r="K5" s="69">
        <v>2.2999999999999998</v>
      </c>
      <c r="L5" s="69">
        <v>77.7</v>
      </c>
      <c r="M5" s="69">
        <v>5.7676999999999997E-3</v>
      </c>
      <c r="N5" s="75"/>
      <c r="O5" s="75"/>
      <c r="P5" s="75"/>
      <c r="Q5" s="81">
        <f>Table1[Q '[m3/sec']]/(Table1[depth '[meters']]*Table1[width '[meters']])</f>
        <v>0.95070225505008132</v>
      </c>
      <c r="R5" s="75">
        <f>(Table1[[#This Row],[Reach Length '[meters']]]/(Table1[[#This Row],[Q '[m3/sec']]]/(Table1[[#This Row],[depth '[meters']]]*Table1[[#This Row],[width '[meters']]])))/3600</f>
        <v>3.8275799489896007</v>
      </c>
      <c r="S5" s="75">
        <f>(Table1[[#This Row],[End Point distance  '[meters']]]/(3600*Table1[[#This Row],[Tp]]))</f>
        <v>0.93093093093093093</v>
      </c>
      <c r="T5" s="75">
        <v>1</v>
      </c>
      <c r="U5" s="75">
        <v>0</v>
      </c>
      <c r="V5" s="75">
        <v>0</v>
      </c>
      <c r="W5" s="82">
        <f>Table1[[#This Row],[End Point distance  '[meters']]]/1000</f>
        <v>49.6</v>
      </c>
      <c r="X5" s="69">
        <v>5.7676999999999997E-3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13100</v>
      </c>
      <c r="AA5" s="82">
        <f>(Table1[[#This Row],[Tp]]-AN5)*3600</f>
        <v>53280</v>
      </c>
      <c r="AB5" s="83">
        <f>FLOOR((Table1[[#This Row],[Tp]]*3600)/Table1[[#This Row],[Delta T]],1)</f>
        <v>3552</v>
      </c>
      <c r="AC5" s="83">
        <f>Table1[[#This Row],[End Point distance  '[meters']]]/Delta_X__meters</f>
        <v>155</v>
      </c>
      <c r="AD5" s="83">
        <f>Table1[[#This Row],[Start point distance '[meters']]]/Delta_X__meters</f>
        <v>114.0625</v>
      </c>
      <c r="AE5" s="75">
        <f>Delta_T__seconds</f>
        <v>15</v>
      </c>
      <c r="AF5" s="76">
        <f>((Table1[[#This Row],[Ti]]-Table1[[#This Row],[calculated time '[hours']]])/Table1[[#This Row],[Ti]])</f>
        <v>0.70624866086035298</v>
      </c>
      <c r="AG5" s="76">
        <f>(('Reach Propertise'!$F5-'Reach Propertise'!$R5)/'Reach Propertise'!$F5)</f>
        <v>0.74137973317637829</v>
      </c>
      <c r="AH5" s="76" t="e">
        <f>((Table1[[#This Row],[Tt]]-Table1[[#This Row],[calculated time '[hours']]])/Table1[[#This Row],[Tt]])</f>
        <v>#DIV/0!</v>
      </c>
      <c r="AI5" s="78">
        <f>Table1[[#This Row],[width '[meters']]]/Table1[[#This Row],[depth '[meters']]]</f>
        <v>33.782608695652179</v>
      </c>
      <c r="AJ5" s="82">
        <f>Table1[[#This Row],[depth '[meters']]]*Table1[[#This Row],[width '[meters']]]*Delta_X__meters</f>
        <v>57187.199999999997</v>
      </c>
      <c r="AK5" s="82">
        <f>Table1[[#This Row],[Column3]]-Table1[[#This Row],[Column2]]</f>
        <v>14.8</v>
      </c>
      <c r="AL5" s="75"/>
      <c r="AM5" s="75">
        <f>'Reach Propertise'!$F5</f>
        <v>14.8</v>
      </c>
      <c r="AN5" s="75"/>
      <c r="AO5" s="79">
        <f>FLOOR(Table1[[#This Row],[End Point distance  '[meters']]]/Delta_X__meters,1)</f>
        <v>155</v>
      </c>
      <c r="AP5" s="79">
        <f>((1/1000000)*Table1[[#This Row],[Cup]]*Table1[[#This Row],[R ratio]]*Table1[[#This Row],[Inj Mass]])/Table1[[#This Row],[Q '[m3/sec']]]</f>
        <v>0</v>
      </c>
    </row>
    <row r="6" spans="1:42" s="72" customFormat="1" ht="16.5" x14ac:dyDescent="0.25">
      <c r="A6" s="80" t="s">
        <v>114</v>
      </c>
      <c r="B6" s="68">
        <f t="shared" si="1"/>
        <v>49600</v>
      </c>
      <c r="C6" s="68">
        <v>57100</v>
      </c>
      <c r="D6" s="69">
        <v>107.6</v>
      </c>
      <c r="E6" s="70">
        <v>17.7</v>
      </c>
      <c r="F6" s="71">
        <v>19.829999999999998</v>
      </c>
      <c r="G6" s="68"/>
      <c r="H6" s="69">
        <v>107.6</v>
      </c>
      <c r="I6" s="68"/>
      <c r="J6" s="72">
        <v>2.0000000000000002E-5</v>
      </c>
      <c r="K6" s="69">
        <v>2.4</v>
      </c>
      <c r="L6" s="69">
        <v>84.7</v>
      </c>
      <c r="M6" s="69">
        <v>4.3641000000000001E-3</v>
      </c>
      <c r="N6" s="75"/>
      <c r="O6" s="75"/>
      <c r="P6" s="75"/>
      <c r="Q6" s="81">
        <f>Table1[Q '[m3/sec']]/(Table1[depth '[meters']]*Table1[width '[meters']])</f>
        <v>0.52931916568280202</v>
      </c>
      <c r="R6" s="75">
        <f>(Table1[[#This Row],[Reach Length '[meters']]]/(Table1[[#This Row],[Q '[m3/sec']]]/(Table1[[#This Row],[depth '[meters']]]*Table1[[#This Row],[width '[meters']]])))/3600</f>
        <v>3.9358736059479558</v>
      </c>
      <c r="S6" s="75">
        <f>(Table1[[#This Row],[End Point distance  '[meters']]]/(3600*Table1[[#This Row],[Tp]]))</f>
        <v>0.79985431725219924</v>
      </c>
      <c r="T6" s="75">
        <v>1</v>
      </c>
      <c r="U6" s="75">
        <v>0</v>
      </c>
      <c r="V6" s="75">
        <v>0</v>
      </c>
      <c r="W6" s="82">
        <f>Table1[[#This Row],[End Point distance  '[meters']]]/1000</f>
        <v>57.1</v>
      </c>
      <c r="X6" s="69">
        <v>4.3641000000000001E-3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7500</v>
      </c>
      <c r="AA6" s="82">
        <f>(Table1[[#This Row],[Tp]]-AN6)*3600</f>
        <v>71388</v>
      </c>
      <c r="AB6" s="83">
        <f>FLOOR((Table1[[#This Row],[Tp]]*3600)/Table1[[#This Row],[Delta T]],1)</f>
        <v>4759</v>
      </c>
      <c r="AC6" s="83">
        <f>Table1[[#This Row],[End Point distance  '[meters']]]/Delta_X__meters</f>
        <v>178.4375</v>
      </c>
      <c r="AD6" s="83">
        <f>Table1[[#This Row],[Start point distance '[meters']]]/Delta_X__meters</f>
        <v>155</v>
      </c>
      <c r="AE6" s="75">
        <f>Delta_T__seconds</f>
        <v>15</v>
      </c>
      <c r="AF6" s="76">
        <f>((Table1[[#This Row],[Ti]]-Table1[[#This Row],[calculated time '[hours']]])/Table1[[#This Row],[Ti]])</f>
        <v>0.77763425955096299</v>
      </c>
      <c r="AG6" s="76">
        <f>(('Reach Propertise'!$F6-'Reach Propertise'!$R6)/'Reach Propertise'!$F6)</f>
        <v>0.80151923318467189</v>
      </c>
      <c r="AH6" s="76" t="e">
        <f>((Table1[[#This Row],[Tt]]-Table1[[#This Row],[calculated time '[hours']]])/Table1[[#This Row],[Tt]])</f>
        <v>#DIV/0!</v>
      </c>
      <c r="AI6" s="78">
        <f>Table1[[#This Row],[width '[meters']]]/Table1[[#This Row],[depth '[meters']]]</f>
        <v>35.291666666666671</v>
      </c>
      <c r="AJ6" s="82">
        <f>Table1[[#This Row],[depth '[meters']]]*Table1[[#This Row],[width '[meters']]]*Delta_X__meters</f>
        <v>65049.599999999999</v>
      </c>
      <c r="AK6" s="82">
        <f>Table1[[#This Row],[Column3]]-Table1[[#This Row],[Column2]]</f>
        <v>19.829999999999998</v>
      </c>
      <c r="AL6" s="75"/>
      <c r="AM6" s="75">
        <f>'Reach Propertise'!$F6</f>
        <v>19.829999999999998</v>
      </c>
      <c r="AN6" s="75"/>
      <c r="AO6" s="79">
        <f>FLOOR(Table1[[#This Row],[End Point distance  '[meters']]]/Delta_X__meters,1)</f>
        <v>178</v>
      </c>
      <c r="AP6" s="79">
        <f>((1/1000000)*Table1[[#This Row],[Cup]]*Table1[[#This Row],[R ratio]]*Table1[[#This Row],[Inj Mass]])/Table1[[#This Row],[Q '[m3/sec']]]</f>
        <v>0</v>
      </c>
    </row>
    <row r="7" spans="1:42" s="72" customFormat="1" ht="16.5" x14ac:dyDescent="0.25">
      <c r="A7" s="80" t="s">
        <v>115</v>
      </c>
      <c r="B7" s="68">
        <f t="shared" si="1"/>
        <v>57100</v>
      </c>
      <c r="C7" s="68">
        <v>60500</v>
      </c>
      <c r="D7" s="69">
        <v>107.6</v>
      </c>
      <c r="E7" s="70">
        <v>19.03</v>
      </c>
      <c r="F7" s="71">
        <v>21.5</v>
      </c>
      <c r="G7" s="68"/>
      <c r="H7" s="69">
        <v>107.6</v>
      </c>
      <c r="I7" s="68"/>
      <c r="J7" s="72">
        <v>4.4000000000000007E-4</v>
      </c>
      <c r="K7" s="69">
        <v>2.4</v>
      </c>
      <c r="L7" s="69">
        <v>84.7</v>
      </c>
      <c r="M7" s="69">
        <v>3.885E-3</v>
      </c>
      <c r="N7" s="75"/>
      <c r="O7" s="75"/>
      <c r="P7" s="75"/>
      <c r="Q7" s="81">
        <f>Table1[Q '[m3/sec']]/(Table1[depth '[meters']]*Table1[width '[meters']])</f>
        <v>0.52931916568280202</v>
      </c>
      <c r="R7" s="75">
        <f>(Table1[[#This Row],[Reach Length '[meters']]]/(Table1[[#This Row],[Q '[m3/sec']]]/(Table1[[#This Row],[depth '[meters']]]*Table1[[#This Row],[width '[meters']]])))/3600</f>
        <v>1.7842627013630732</v>
      </c>
      <c r="S7" s="75">
        <f>(Table1[[#This Row],[End Point distance  '[meters']]]/(3600*Table1[[#This Row],[Tp]]))</f>
        <v>0.78165374677002586</v>
      </c>
      <c r="T7" s="75">
        <v>1</v>
      </c>
      <c r="U7" s="75">
        <v>0</v>
      </c>
      <c r="V7" s="75">
        <v>0</v>
      </c>
      <c r="W7" s="82">
        <f>Table1[[#This Row],[End Point distance  '[meters']]]/1000</f>
        <v>60.5</v>
      </c>
      <c r="X7" s="69">
        <v>3.885E-3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3400</v>
      </c>
      <c r="AA7" s="82">
        <f>(Table1[[#This Row],[Tp]]-AN7)*3600</f>
        <v>77400</v>
      </c>
      <c r="AB7" s="83">
        <f>FLOOR((Table1[[#This Row],[Tp]]*3600)/Table1[[#This Row],[Delta T]],1)</f>
        <v>5160</v>
      </c>
      <c r="AC7" s="83">
        <f>Table1[[#This Row],[End Point distance  '[meters']]]/Delta_X__meters</f>
        <v>189.0625</v>
      </c>
      <c r="AD7" s="83">
        <f>Table1[[#This Row],[Start point distance '[meters']]]/Delta_X__meters</f>
        <v>178.4375</v>
      </c>
      <c r="AE7" s="75">
        <f>Delta_T__seconds</f>
        <v>15</v>
      </c>
      <c r="AF7" s="76">
        <f>((Table1[[#This Row],[Ti]]-Table1[[#This Row],[calculated time '[hours']]])/Table1[[#This Row],[Ti]])</f>
        <v>0.90623947969715857</v>
      </c>
      <c r="AG7" s="76">
        <f>(('Reach Propertise'!$F7-'Reach Propertise'!$R7)/'Reach Propertise'!$F7)</f>
        <v>0.9170110371459036</v>
      </c>
      <c r="AH7" s="76" t="e">
        <f>((Table1[[#This Row],[Tt]]-Table1[[#This Row],[calculated time '[hours']]])/Table1[[#This Row],[Tt]])</f>
        <v>#DIV/0!</v>
      </c>
      <c r="AI7" s="78">
        <f>Table1[[#This Row],[width '[meters']]]/Table1[[#This Row],[depth '[meters']]]</f>
        <v>35.291666666666671</v>
      </c>
      <c r="AJ7" s="82">
        <f>Table1[[#This Row],[depth '[meters']]]*Table1[[#This Row],[width '[meters']]]*Delta_X__meters</f>
        <v>65049.599999999999</v>
      </c>
      <c r="AK7" s="82">
        <f>Table1[[#This Row],[Column3]]-Table1[[#This Row],[Column2]]</f>
        <v>21.5</v>
      </c>
      <c r="AL7" s="75"/>
      <c r="AM7" s="75">
        <f>'Reach Propertise'!$F7</f>
        <v>21.5</v>
      </c>
      <c r="AN7" s="75"/>
      <c r="AO7" s="79">
        <f>FLOOR(Table1[[#This Row],[End Point distance  '[meters']]]/Delta_X__meters,1)</f>
        <v>189</v>
      </c>
      <c r="AP7" s="79">
        <f>((1/1000000)*Table1[[#This Row],[Cup]]*Table1[[#This Row],[R ratio]]*Table1[[#This Row],[Inj Mass]])/Table1[[#This Row],[Q '[m3/sec']]]</f>
        <v>0</v>
      </c>
    </row>
    <row r="8" spans="1:42" s="72" customFormat="1" ht="16.5" x14ac:dyDescent="0.25">
      <c r="A8" s="80" t="s">
        <v>116</v>
      </c>
      <c r="B8" s="68">
        <f t="shared" si="1"/>
        <v>60500</v>
      </c>
      <c r="C8" s="68">
        <v>76600</v>
      </c>
      <c r="D8" s="69">
        <v>107.6</v>
      </c>
      <c r="E8" s="70">
        <v>24.75</v>
      </c>
      <c r="F8" s="71">
        <v>28.82</v>
      </c>
      <c r="G8" s="68"/>
      <c r="H8" s="69">
        <v>107.6</v>
      </c>
      <c r="I8" s="68"/>
      <c r="J8" s="72">
        <v>9.8999999999999999E-4</v>
      </c>
      <c r="K8" s="69">
        <v>2</v>
      </c>
      <c r="L8" s="69">
        <v>75.599999999999994</v>
      </c>
      <c r="M8" s="69">
        <v>3.1906999999999999E-3</v>
      </c>
      <c r="N8" s="75"/>
      <c r="O8" s="75"/>
      <c r="P8" s="75"/>
      <c r="Q8" s="81">
        <f>Table1[Q '[m3/sec']]/(Table1[depth '[meters']]*Table1[width '[meters']])</f>
        <v>0.71164021164021163</v>
      </c>
      <c r="R8" s="75">
        <f>(Table1[[#This Row],[Reach Length '[meters']]]/(Table1[[#This Row],[Q '[m3/sec']]]/(Table1[[#This Row],[depth '[meters']]]*Table1[[#This Row],[width '[meters']]])))/3600</f>
        <v>6.2843866171003722</v>
      </c>
      <c r="S8" s="75">
        <f>(Table1[[#This Row],[End Point distance  '[meters']]]/(3600*Table1[[#This Row],[Tp]]))</f>
        <v>0.73829902074176879</v>
      </c>
      <c r="T8" s="75">
        <v>1</v>
      </c>
      <c r="U8" s="75">
        <v>0</v>
      </c>
      <c r="V8" s="75">
        <v>0</v>
      </c>
      <c r="W8" s="82">
        <f>Table1[[#This Row],[End Point distance  '[meters']]]/1000</f>
        <v>76.599999999999994</v>
      </c>
      <c r="X8" s="69">
        <v>3.1906999999999999E-3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16100</v>
      </c>
      <c r="AA8" s="82">
        <f>(Table1[[#This Row],[Tp]]-AN8)*3600</f>
        <v>103752</v>
      </c>
      <c r="AB8" s="83">
        <f>FLOOR((Table1[[#This Row],[Tp]]*3600)/Table1[[#This Row],[Delta T]],1)</f>
        <v>6916</v>
      </c>
      <c r="AC8" s="83">
        <f>Table1[[#This Row],[End Point distance  '[meters']]]/Delta_X__meters</f>
        <v>239.375</v>
      </c>
      <c r="AD8" s="83">
        <f>Table1[[#This Row],[Start point distance '[meters']]]/Delta_X__meters</f>
        <v>189.0625</v>
      </c>
      <c r="AE8" s="75">
        <f>Delta_T__seconds</f>
        <v>15</v>
      </c>
      <c r="AF8" s="76">
        <f>((Table1[[#This Row],[Ti]]-Table1[[#This Row],[calculated time '[hours']]])/Table1[[#This Row],[Ti]])</f>
        <v>0.74608538920806566</v>
      </c>
      <c r="AG8" s="76">
        <f>(('Reach Propertise'!$F8-'Reach Propertise'!$R8)/'Reach Propertise'!$F8)</f>
        <v>0.78194355943440752</v>
      </c>
      <c r="AH8" s="76" t="e">
        <f>((Table1[[#This Row],[Tt]]-Table1[[#This Row],[calculated time '[hours']]])/Table1[[#This Row],[Tt]])</f>
        <v>#DIV/0!</v>
      </c>
      <c r="AI8" s="78">
        <f>Table1[[#This Row],[width '[meters']]]/Table1[[#This Row],[depth '[meters']]]</f>
        <v>37.799999999999997</v>
      </c>
      <c r="AJ8" s="82">
        <f>Table1[[#This Row],[depth '[meters']]]*Table1[[#This Row],[width '[meters']]]*Delta_X__meters</f>
        <v>48384</v>
      </c>
      <c r="AK8" s="82">
        <f>Table1[[#This Row],[Column3]]-Table1[[#This Row],[Column2]]</f>
        <v>28.82</v>
      </c>
      <c r="AL8" s="75"/>
      <c r="AM8" s="75">
        <f>'Reach Propertise'!$F8</f>
        <v>28.82</v>
      </c>
      <c r="AN8" s="75"/>
      <c r="AO8" s="79">
        <f>FLOOR(Table1[[#This Row],[End Point distance  '[meters']]]/Delta_X__meters,1)</f>
        <v>239</v>
      </c>
      <c r="AP8" s="79">
        <f>((1/1000000)*Table1[[#This Row],[Cup]]*Table1[[#This Row],[R ratio]]*Table1[[#This Row],[Inj Mass]])/Table1[[#This Row],[Q '[m3/sec']]]</f>
        <v>0</v>
      </c>
    </row>
    <row r="13" spans="1:42" x14ac:dyDescent="0.25">
      <c r="AO13" s="55" t="s">
        <v>121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1" t="s">
        <v>26</v>
      </c>
      <c r="B1" s="51" t="s">
        <v>27</v>
      </c>
      <c r="C1" s="51" t="s">
        <v>28</v>
      </c>
      <c r="D1" s="15"/>
    </row>
    <row r="2" spans="1:4" x14ac:dyDescent="0.25">
      <c r="A2" s="50"/>
      <c r="B2" s="50"/>
      <c r="C2" s="50"/>
    </row>
    <row r="3" spans="1:4" x14ac:dyDescent="0.25">
      <c r="A3" s="50"/>
      <c r="B3" s="50"/>
      <c r="C3" s="50"/>
    </row>
    <row r="4" spans="1:4" x14ac:dyDescent="0.25">
      <c r="A4" s="50"/>
      <c r="B4" s="50"/>
      <c r="C4" s="50"/>
    </row>
    <row r="5" spans="1:4" x14ac:dyDescent="0.25">
      <c r="A5" s="50"/>
      <c r="B5" s="50"/>
      <c r="C5" s="50"/>
    </row>
    <row r="6" spans="1:4" x14ac:dyDescent="0.25">
      <c r="A6" s="50"/>
      <c r="B6" s="50"/>
      <c r="C6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3" sqref="D3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2" t="s">
        <v>29</v>
      </c>
      <c r="B1" s="52" t="s">
        <v>17</v>
      </c>
      <c r="C1" s="52" t="s">
        <v>16</v>
      </c>
      <c r="D1" s="52" t="s">
        <v>69</v>
      </c>
      <c r="E1" s="52" t="s">
        <v>70</v>
      </c>
      <c r="F1" s="52" t="s">
        <v>71</v>
      </c>
      <c r="G1" s="52" t="s">
        <v>19</v>
      </c>
      <c r="H1" s="52" t="s">
        <v>20</v>
      </c>
      <c r="I1" s="52" t="s">
        <v>33</v>
      </c>
      <c r="J1" s="52" t="s">
        <v>16</v>
      </c>
      <c r="K1" s="52" t="s">
        <v>24</v>
      </c>
      <c r="L1" s="52" t="s">
        <v>25</v>
      </c>
      <c r="M1" s="52" t="s">
        <v>21</v>
      </c>
    </row>
    <row r="2" spans="1:13" x14ac:dyDescent="0.25">
      <c r="A2" s="53">
        <f>FLOOR(Delta_X__meters + 0.1*Delta_X__meters,1) + 5</f>
        <v>357</v>
      </c>
      <c r="B2" s="13">
        <v>7814</v>
      </c>
      <c r="C2" s="54">
        <v>0</v>
      </c>
      <c r="D2" s="53">
        <f>FLOOR(Delta_T__seconds + 0.15 * Delta_T__seconds,1) + 3</f>
        <v>20</v>
      </c>
      <c r="F2" s="53"/>
      <c r="G2" s="53"/>
      <c r="H2" s="53"/>
      <c r="I2" s="53"/>
      <c r="J2" s="53"/>
      <c r="K2" s="53"/>
      <c r="L2" s="53"/>
      <c r="M2" s="18"/>
    </row>
    <row r="3" spans="1:13" x14ac:dyDescent="0.25">
      <c r="A3" s="53"/>
      <c r="B3" s="53"/>
      <c r="C3" s="53"/>
      <c r="D3" s="53"/>
      <c r="F3" s="53"/>
      <c r="G3" s="53"/>
      <c r="H3" s="53"/>
      <c r="I3" s="53"/>
      <c r="J3" s="53"/>
      <c r="K3" s="53"/>
      <c r="L3" s="53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9" t="s">
        <v>105</v>
      </c>
    </row>
    <row r="3" spans="1:16" ht="15.75" thickBot="1" x14ac:dyDescent="0.3">
      <c r="A3" s="12" t="s">
        <v>66</v>
      </c>
      <c r="H3">
        <v>10</v>
      </c>
      <c r="P3" s="60" t="s">
        <v>85</v>
      </c>
    </row>
    <row r="4" spans="1:16" ht="15.75" thickBot="1" x14ac:dyDescent="0.3">
      <c r="A4" s="12" t="s">
        <v>62</v>
      </c>
      <c r="H4">
        <v>25</v>
      </c>
      <c r="P4" s="60" t="s">
        <v>86</v>
      </c>
    </row>
    <row r="5" spans="1:16" ht="15.75" thickBot="1" x14ac:dyDescent="0.3">
      <c r="A5" s="12" t="s">
        <v>63</v>
      </c>
      <c r="H5">
        <v>50</v>
      </c>
      <c r="P5" s="60" t="s">
        <v>87</v>
      </c>
    </row>
    <row r="6" spans="1:16" ht="15.75" thickBot="1" x14ac:dyDescent="0.3">
      <c r="A6" s="12" t="s">
        <v>64</v>
      </c>
      <c r="H6">
        <v>100</v>
      </c>
      <c r="P6" s="60" t="s">
        <v>88</v>
      </c>
    </row>
    <row r="7" spans="1:16" ht="15.75" thickBot="1" x14ac:dyDescent="0.3">
      <c r="A7" s="12" t="s">
        <v>65</v>
      </c>
      <c r="H7">
        <v>150</v>
      </c>
      <c r="P7" s="60" t="s">
        <v>89</v>
      </c>
    </row>
    <row r="8" spans="1:16" ht="15.75" thickBot="1" x14ac:dyDescent="0.3">
      <c r="A8" s="10" t="s">
        <v>67</v>
      </c>
      <c r="H8">
        <v>200</v>
      </c>
      <c r="P8" s="60" t="s">
        <v>90</v>
      </c>
    </row>
    <row r="9" spans="1:16" ht="15.75" thickBot="1" x14ac:dyDescent="0.3">
      <c r="A9" s="12" t="s">
        <v>68</v>
      </c>
      <c r="H9">
        <v>250</v>
      </c>
      <c r="P9" s="60" t="s">
        <v>91</v>
      </c>
    </row>
    <row r="10" spans="1:16" ht="15.75" thickBot="1" x14ac:dyDescent="0.3">
      <c r="A10" s="10" t="s">
        <v>8</v>
      </c>
      <c r="H10">
        <v>300</v>
      </c>
      <c r="P10" s="60" t="s">
        <v>92</v>
      </c>
    </row>
    <row r="11" spans="1:16" ht="15.75" thickBot="1" x14ac:dyDescent="0.3">
      <c r="H11">
        <v>350</v>
      </c>
      <c r="P11" s="60" t="s">
        <v>93</v>
      </c>
    </row>
    <row r="12" spans="1:16" ht="19.5" thickBot="1" x14ac:dyDescent="0.3">
      <c r="H12">
        <v>400</v>
      </c>
      <c r="P12" s="61" t="s">
        <v>103</v>
      </c>
    </row>
    <row r="13" spans="1:16" ht="15.75" thickBot="1" x14ac:dyDescent="0.3">
      <c r="H13">
        <v>450</v>
      </c>
      <c r="P13" s="60" t="s">
        <v>94</v>
      </c>
    </row>
    <row r="14" spans="1:16" ht="15.75" thickBot="1" x14ac:dyDescent="0.3">
      <c r="H14">
        <v>500</v>
      </c>
      <c r="P14" s="60" t="s">
        <v>95</v>
      </c>
    </row>
    <row r="15" spans="1:16" ht="15.75" thickBot="1" x14ac:dyDescent="0.3">
      <c r="H15">
        <v>550</v>
      </c>
      <c r="P15" s="60" t="s">
        <v>96</v>
      </c>
    </row>
    <row r="16" spans="1:16" ht="15.75" thickBot="1" x14ac:dyDescent="0.3">
      <c r="H16">
        <v>600</v>
      </c>
      <c r="P16" s="60" t="s">
        <v>97</v>
      </c>
    </row>
    <row r="17" spans="8:16" ht="15.75" thickBot="1" x14ac:dyDescent="0.3">
      <c r="H17">
        <v>650</v>
      </c>
      <c r="P17" s="60" t="s">
        <v>98</v>
      </c>
    </row>
    <row r="18" spans="8:16" ht="15.75" thickBot="1" x14ac:dyDescent="0.3">
      <c r="H18">
        <v>700</v>
      </c>
      <c r="P18" s="60" t="s">
        <v>99</v>
      </c>
    </row>
    <row r="19" spans="8:16" ht="15.75" thickBot="1" x14ac:dyDescent="0.3">
      <c r="H19">
        <v>750</v>
      </c>
      <c r="P19" s="60" t="s">
        <v>100</v>
      </c>
    </row>
    <row r="20" spans="8:16" ht="15.75" thickBot="1" x14ac:dyDescent="0.3">
      <c r="H20">
        <v>800</v>
      </c>
      <c r="P20" s="60" t="s">
        <v>101</v>
      </c>
    </row>
    <row r="21" spans="8:16" ht="15.75" thickBot="1" x14ac:dyDescent="0.3">
      <c r="H21">
        <v>900</v>
      </c>
      <c r="P21" s="60" t="s">
        <v>102</v>
      </c>
    </row>
    <row r="22" spans="8:16" x14ac:dyDescent="0.25">
      <c r="H22">
        <v>1000</v>
      </c>
      <c r="P22" s="62" t="s">
        <v>104</v>
      </c>
    </row>
    <row r="23" spans="8:16" x14ac:dyDescent="0.25">
      <c r="H23">
        <v>1250</v>
      </c>
      <c r="P23" s="62"/>
    </row>
    <row r="24" spans="8:16" x14ac:dyDescent="0.25">
      <c r="H24">
        <v>1500</v>
      </c>
      <c r="P24" s="63"/>
    </row>
    <row r="25" spans="8:16" x14ac:dyDescent="0.25">
      <c r="P25" s="6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5.5703125" bestFit="1" customWidth="1"/>
    <col min="19" max="19" width="10.7109375" customWidth="1"/>
  </cols>
  <sheetData>
    <row r="1" spans="1:24" s="65" customFormat="1" ht="60" x14ac:dyDescent="0.25">
      <c r="A1" s="65" t="s">
        <v>85</v>
      </c>
      <c r="B1" s="65" t="s">
        <v>86</v>
      </c>
      <c r="C1" s="65" t="s">
        <v>87</v>
      </c>
      <c r="D1" s="65" t="s">
        <v>88</v>
      </c>
      <c r="E1" s="65" t="s">
        <v>89</v>
      </c>
      <c r="F1" s="65" t="s">
        <v>90</v>
      </c>
      <c r="G1" s="65" t="s">
        <v>91</v>
      </c>
      <c r="H1" s="65" t="s">
        <v>92</v>
      </c>
      <c r="I1" s="65" t="s">
        <v>93</v>
      </c>
      <c r="J1" s="65" t="s">
        <v>109</v>
      </c>
      <c r="K1" s="65" t="s">
        <v>94</v>
      </c>
      <c r="L1" s="65" t="s">
        <v>95</v>
      </c>
      <c r="M1" s="65" t="s">
        <v>96</v>
      </c>
      <c r="N1" s="65" t="s">
        <v>97</v>
      </c>
      <c r="O1" s="65" t="s">
        <v>98</v>
      </c>
      <c r="P1" s="65" t="s">
        <v>99</v>
      </c>
      <c r="Q1" s="65" t="s">
        <v>100</v>
      </c>
      <c r="R1" s="65" t="s">
        <v>101</v>
      </c>
      <c r="S1" s="65" t="s">
        <v>102</v>
      </c>
    </row>
    <row r="2" spans="1:24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24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24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24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 s="19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24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 s="31">
        <v>138.15226738619569</v>
      </c>
      <c r="Q6" s="31">
        <v>5.3170305457334655</v>
      </c>
      <c r="R6" s="31">
        <v>168.62001399386003</v>
      </c>
      <c r="S6" s="31">
        <v>106.711199464503</v>
      </c>
      <c r="T6" s="31"/>
      <c r="U6" s="31"/>
      <c r="V6" s="31"/>
      <c r="W6" s="31"/>
      <c r="X6" s="31"/>
    </row>
    <row r="7" spans="1:24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 s="31">
        <v>170.82157063232501</v>
      </c>
      <c r="Q7" s="31">
        <v>20.338713520745497</v>
      </c>
      <c r="R7" s="31">
        <v>162.94320298506472</v>
      </c>
      <c r="S7" s="31">
        <v>85.716128010718748</v>
      </c>
      <c r="T7" s="31"/>
      <c r="U7" s="31"/>
      <c r="V7" s="31"/>
      <c r="W7" s="31"/>
      <c r="X7" s="31"/>
    </row>
    <row r="8" spans="1:24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 s="31">
        <v>148.27838876461212</v>
      </c>
      <c r="Q8" s="31">
        <v>23.239318384723983</v>
      </c>
      <c r="R8" s="31">
        <v>131.83868176335167</v>
      </c>
      <c r="S8" s="31">
        <v>68.970232752916189</v>
      </c>
      <c r="T8" s="31"/>
      <c r="U8" s="31"/>
      <c r="V8" s="31"/>
      <c r="W8" s="31"/>
      <c r="X8" s="31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s="31"/>
      <c r="U9" s="31"/>
      <c r="V9" s="31"/>
      <c r="W9" s="31"/>
      <c r="X9" s="31"/>
    </row>
    <row r="10" spans="1:24" x14ac:dyDescent="0.25">
      <c r="P10" s="31"/>
      <c r="Q10" s="31"/>
      <c r="R10" s="31"/>
      <c r="S10" s="31"/>
      <c r="T10" s="31"/>
      <c r="U10" s="31"/>
      <c r="V10" s="31"/>
      <c r="W10" s="31"/>
      <c r="X10" s="31"/>
    </row>
    <row r="11" spans="1:24" x14ac:dyDescent="0.25">
      <c r="P11" s="31"/>
      <c r="Q11" s="31"/>
      <c r="R11" s="31"/>
      <c r="S11" s="31"/>
      <c r="T11" s="31"/>
      <c r="U11" s="31"/>
      <c r="V11" s="31"/>
      <c r="W11" s="31"/>
      <c r="X11" s="31"/>
    </row>
    <row r="12" spans="1:24" x14ac:dyDescent="0.25"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45" x14ac:dyDescent="0.25">
      <c r="C13" s="65" t="s">
        <v>85</v>
      </c>
      <c r="D13" s="65" t="s">
        <v>86</v>
      </c>
      <c r="E13" s="65" t="s">
        <v>89</v>
      </c>
      <c r="F13" s="65" t="s">
        <v>90</v>
      </c>
      <c r="G13" s="65" t="s">
        <v>98</v>
      </c>
      <c r="O13" t="s">
        <v>120</v>
      </c>
      <c r="P13" t="s">
        <v>119</v>
      </c>
      <c r="R13" t="s">
        <v>118</v>
      </c>
      <c r="T13" t="s">
        <v>117</v>
      </c>
    </row>
    <row r="14" spans="1:24" x14ac:dyDescent="0.25">
      <c r="C14">
        <v>0.68015664268852827</v>
      </c>
      <c r="D14">
        <v>28625.050200190482</v>
      </c>
      <c r="E14">
        <v>8397713719.6893826</v>
      </c>
      <c r="F14">
        <v>16659637699.36138</v>
      </c>
      <c r="G14">
        <v>5.4214850129549559</v>
      </c>
      <c r="O14">
        <f>P14/T14</f>
        <v>378.97167921409323</v>
      </c>
      <c r="P14">
        <f>R14*2/T14</f>
        <v>348.72020171529169</v>
      </c>
      <c r="R14" s="91">
        <v>160.44177672661223</v>
      </c>
      <c r="T14" s="91">
        <v>0.92017483321831151</v>
      </c>
    </row>
    <row r="15" spans="1:24" x14ac:dyDescent="0.25">
      <c r="C15">
        <v>0.31322849740396147</v>
      </c>
      <c r="D15">
        <v>68852.677170974173</v>
      </c>
      <c r="E15">
        <v>1191998690413.3914</v>
      </c>
      <c r="F15">
        <v>1694556080269.5063</v>
      </c>
      <c r="G15">
        <v>10.147704164784699</v>
      </c>
      <c r="O15">
        <f t="shared" ref="O15:O20" si="0">P15/T15</f>
        <v>373.84613751439321</v>
      </c>
      <c r="P15">
        <f t="shared" ref="P15:P20" si="1">R15*2/T15</f>
        <v>358.57766902680038</v>
      </c>
      <c r="R15" s="91">
        <v>171.96639448995685</v>
      </c>
      <c r="T15" s="91">
        <v>0.95915841584158412</v>
      </c>
    </row>
    <row r="16" spans="1:24" x14ac:dyDescent="0.25">
      <c r="C16">
        <v>0.26698111766955995</v>
      </c>
      <c r="D16">
        <v>39274.013348111286</v>
      </c>
      <c r="E16">
        <v>12738920.171506403</v>
      </c>
      <c r="F16">
        <v>14182975.825430201</v>
      </c>
      <c r="G16">
        <v>65535</v>
      </c>
      <c r="O16">
        <f t="shared" si="0"/>
        <v>345.8209052428964</v>
      </c>
      <c r="P16">
        <f t="shared" si="1"/>
        <v>339.42301391216841</v>
      </c>
      <c r="R16" s="91">
        <v>166.5717436779895</v>
      </c>
      <c r="T16" s="91">
        <v>0.98149940841131544</v>
      </c>
    </row>
    <row r="17" spans="3:23" x14ac:dyDescent="0.25">
      <c r="C17">
        <v>0.35933783316164253</v>
      </c>
      <c r="D17">
        <v>64026.44107621452</v>
      </c>
      <c r="E17">
        <v>11660815.389813524</v>
      </c>
      <c r="F17">
        <v>15746001.233835166</v>
      </c>
      <c r="G17">
        <v>149551654.81536677</v>
      </c>
      <c r="O17">
        <f t="shared" si="0"/>
        <v>386.25247961772345</v>
      </c>
      <c r="P17">
        <f t="shared" si="1"/>
        <v>359.5743804249077</v>
      </c>
      <c r="R17" s="91">
        <v>167.36945635393602</v>
      </c>
      <c r="T17" s="91">
        <v>0.93093093093093093</v>
      </c>
      <c r="W17">
        <f>200/0.7</f>
        <v>285.71428571428572</v>
      </c>
    </row>
    <row r="18" spans="3:23" x14ac:dyDescent="0.25">
      <c r="C18">
        <v>0.34387364708602081</v>
      </c>
      <c r="D18">
        <v>9147441664.3559856</v>
      </c>
      <c r="E18">
        <v>1.9290048029375352E+18</v>
      </c>
      <c r="F18">
        <v>2.801819736520597E+18</v>
      </c>
      <c r="G18">
        <v>18.279787512399285</v>
      </c>
      <c r="N18" s="31"/>
      <c r="O18">
        <f t="shared" si="0"/>
        <v>527.12951043914154</v>
      </c>
      <c r="P18">
        <f t="shared" si="1"/>
        <v>421.62681467578562</v>
      </c>
      <c r="Q18" s="31"/>
      <c r="R18" s="92">
        <v>168.62001399386003</v>
      </c>
      <c r="S18" s="31"/>
      <c r="T18" s="91">
        <v>0.79985431725219924</v>
      </c>
    </row>
    <row r="19" spans="3:23" x14ac:dyDescent="0.25">
      <c r="C19">
        <v>0.33506683054146424</v>
      </c>
      <c r="D19">
        <v>621158150.54461765</v>
      </c>
      <c r="E19">
        <v>2.2739472572257246E+20</v>
      </c>
      <c r="F19">
        <v>3.6764427167066312E+20</v>
      </c>
      <c r="G19">
        <v>1.3901698702784904</v>
      </c>
      <c r="M19" s="27"/>
      <c r="N19" s="31"/>
      <c r="O19">
        <f t="shared" si="0"/>
        <v>533.38084705405709</v>
      </c>
      <c r="P19">
        <f t="shared" si="1"/>
        <v>416.91913755517385</v>
      </c>
      <c r="Q19" s="31"/>
      <c r="R19" s="92">
        <v>162.94320298506472</v>
      </c>
      <c r="S19" s="31"/>
      <c r="T19" s="91">
        <v>0.78165374677002586</v>
      </c>
    </row>
    <row r="20" spans="3:23" x14ac:dyDescent="0.25">
      <c r="C20">
        <v>0.45280611092443795</v>
      </c>
      <c r="D20">
        <v>2723227.9512344319</v>
      </c>
      <c r="E20">
        <v>7078511204.2171917</v>
      </c>
      <c r="F20">
        <v>10784896704.219383</v>
      </c>
      <c r="G20">
        <v>6.92028242188655</v>
      </c>
      <c r="M20" s="27"/>
      <c r="N20" s="31"/>
      <c r="O20">
        <f t="shared" si="0"/>
        <v>483.73583704252343</v>
      </c>
      <c r="P20">
        <f t="shared" si="1"/>
        <v>357.14169478619488</v>
      </c>
      <c r="Q20" s="31"/>
      <c r="R20" s="92">
        <v>131.83868176335167</v>
      </c>
      <c r="S20" s="31"/>
      <c r="T20" s="91">
        <v>0.73829902074176879</v>
      </c>
    </row>
    <row r="21" spans="3:23" x14ac:dyDescent="0.25">
      <c r="M21" s="27"/>
      <c r="N21" s="31"/>
      <c r="O21" s="31"/>
      <c r="P21" s="31"/>
      <c r="Q21" s="31"/>
      <c r="R21" s="31"/>
      <c r="S21" s="31"/>
      <c r="T21" s="31"/>
    </row>
    <row r="22" spans="3:23" x14ac:dyDescent="0.25">
      <c r="M22" s="27"/>
      <c r="N22" s="31"/>
      <c r="O22" s="31">
        <f>MIN(O14:O20)</f>
        <v>345.8209052428964</v>
      </c>
      <c r="P22" s="31">
        <f>MIN(P14:P20)</f>
        <v>339.42301391216841</v>
      </c>
      <c r="Q22" s="31"/>
      <c r="R22" s="31"/>
      <c r="S22" s="31"/>
      <c r="T22" s="31"/>
    </row>
    <row r="23" spans="3:23" x14ac:dyDescent="0.25">
      <c r="M23" s="27"/>
      <c r="N23" s="31"/>
      <c r="O23" s="31"/>
      <c r="P23" s="31"/>
      <c r="Q23" s="31"/>
      <c r="R23" s="31"/>
      <c r="S23" s="31"/>
      <c r="T23" s="31"/>
    </row>
    <row r="24" spans="3:23" x14ac:dyDescent="0.25">
      <c r="M24" s="27"/>
      <c r="N24" s="31"/>
      <c r="O24" s="31"/>
      <c r="P24" s="31"/>
      <c r="Q24" s="31"/>
      <c r="R24" s="31"/>
      <c r="S24" s="31"/>
      <c r="T24" s="31"/>
    </row>
    <row r="25" spans="3:23" x14ac:dyDescent="0.25">
      <c r="M25" s="28"/>
      <c r="N25" s="31"/>
      <c r="O25" s="31"/>
      <c r="P25" s="31"/>
      <c r="Q25" s="31"/>
      <c r="R25" s="31"/>
      <c r="S25" s="31"/>
      <c r="T25" s="31"/>
    </row>
    <row r="26" spans="3:23" x14ac:dyDescent="0.25">
      <c r="M26" s="27"/>
      <c r="N26" s="31"/>
      <c r="O26" s="31"/>
      <c r="P26" s="31"/>
      <c r="Q26" s="31"/>
      <c r="R26" s="31"/>
      <c r="S26" s="31"/>
      <c r="T26" s="3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9">
        <v>16000</v>
      </c>
      <c r="M5" s="29">
        <v>27900</v>
      </c>
      <c r="N5" s="29">
        <v>36500</v>
      </c>
      <c r="O5" s="29">
        <v>49600</v>
      </c>
      <c r="P5" s="29">
        <v>57100</v>
      </c>
      <c r="Q5" s="29">
        <v>60000</v>
      </c>
      <c r="R5" s="30">
        <v>76600</v>
      </c>
    </row>
    <row r="6" spans="11:18" x14ac:dyDescent="0.25">
      <c r="K6" s="26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7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7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7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7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7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7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8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7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0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1" t="s">
        <v>76</v>
      </c>
      <c r="L19" s="23">
        <v>1.1000000000000001E-3</v>
      </c>
      <c r="M19" s="23">
        <v>8.0000000000000004E-4</v>
      </c>
      <c r="N19" s="23">
        <v>6.9999999999999999E-4</v>
      </c>
      <c r="O19" s="23">
        <v>6.4000000000000005E-4</v>
      </c>
      <c r="P19" s="23">
        <v>5.8E-4</v>
      </c>
      <c r="Q19" s="23">
        <v>5.6999999999999998E-4</v>
      </c>
      <c r="R19" s="25">
        <v>3.8999999999999999E-4</v>
      </c>
    </row>
    <row r="20" spans="6:18" ht="26.25" thickBot="1" x14ac:dyDescent="0.3">
      <c r="K20" s="21" t="s">
        <v>77</v>
      </c>
      <c r="L20" s="23">
        <v>7.46E-2</v>
      </c>
      <c r="M20" s="23">
        <v>5.62E-2</v>
      </c>
      <c r="N20" s="23">
        <v>4.9000000000000002E-2</v>
      </c>
      <c r="O20" s="23">
        <v>4.1799999999999997E-2</v>
      </c>
      <c r="P20" s="23">
        <v>3.918E-2</v>
      </c>
      <c r="Q20" s="23">
        <v>3.7999999999999999E-2</v>
      </c>
      <c r="R20" s="25">
        <v>2.0400000000000001E-2</v>
      </c>
    </row>
    <row r="21" spans="6:18" ht="26.25" thickBot="1" x14ac:dyDescent="0.3">
      <c r="K21" s="21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5" t="s">
        <v>83</v>
      </c>
      <c r="G27" s="36">
        <v>16000</v>
      </c>
      <c r="H27" s="36">
        <v>27900</v>
      </c>
      <c r="I27" s="36">
        <v>36500</v>
      </c>
      <c r="J27" s="36">
        <v>49600</v>
      </c>
      <c r="K27" s="36">
        <v>57100</v>
      </c>
      <c r="L27" s="36">
        <v>60000</v>
      </c>
      <c r="M27" s="36">
        <v>76600</v>
      </c>
    </row>
    <row r="28" spans="6:18" ht="15.75" thickBot="1" x14ac:dyDescent="0.3">
      <c r="F28" s="37"/>
      <c r="G28" s="93" t="s">
        <v>84</v>
      </c>
      <c r="H28" s="94"/>
      <c r="I28" s="94"/>
      <c r="J28" s="94"/>
      <c r="K28" s="94"/>
      <c r="L28" s="94"/>
      <c r="M28" s="95"/>
    </row>
    <row r="29" spans="6:18" ht="15.75" thickBot="1" x14ac:dyDescent="0.3">
      <c r="F29" s="38" t="s">
        <v>75</v>
      </c>
      <c r="G29" s="39">
        <v>1.146E-2</v>
      </c>
      <c r="H29" s="39">
        <v>8.4089999999999998E-3</v>
      </c>
      <c r="I29" s="39">
        <v>7.2880000000000002E-3</v>
      </c>
      <c r="J29" s="39">
        <v>5.7679999999999997E-3</v>
      </c>
      <c r="K29" s="39">
        <v>4.3639999999999998E-3</v>
      </c>
      <c r="L29" s="39">
        <v>3.885E-3</v>
      </c>
      <c r="M29" s="39">
        <v>3.1909999999999998E-3</v>
      </c>
    </row>
    <row r="30" spans="6:18" ht="26.25" thickBot="1" x14ac:dyDescent="0.3">
      <c r="F30" s="38" t="s">
        <v>61</v>
      </c>
      <c r="G30" s="39">
        <v>7.4999999999999997E-2</v>
      </c>
      <c r="H30" s="39">
        <v>5.9499999999999997E-2</v>
      </c>
      <c r="I30" s="39">
        <v>5.2900000000000003E-2</v>
      </c>
      <c r="J30" s="39">
        <v>4.6210000000000001E-2</v>
      </c>
      <c r="K30" s="39">
        <v>4.3380000000000002E-2</v>
      </c>
      <c r="L30" s="39">
        <v>4.2430000000000002E-2</v>
      </c>
      <c r="M30" s="39">
        <v>1.941E-3</v>
      </c>
    </row>
    <row r="31" spans="6:18" ht="26.25" thickBot="1" x14ac:dyDescent="0.3">
      <c r="F31" s="38" t="s">
        <v>66</v>
      </c>
      <c r="G31" s="39">
        <v>3.8999999999999998E-3</v>
      </c>
      <c r="H31" s="39">
        <v>2.8999999999999998E-3</v>
      </c>
      <c r="I31" s="39">
        <v>2.5790000000000001E-3</v>
      </c>
      <c r="J31" s="39">
        <v>2.2200000000000002E-3</v>
      </c>
      <c r="K31" s="39">
        <v>2E-3</v>
      </c>
      <c r="L31" s="39">
        <v>1.9980000000000002E-3</v>
      </c>
      <c r="M31" s="39">
        <v>1.1000000000000001E-3</v>
      </c>
    </row>
    <row r="32" spans="6:18" ht="39" thickBot="1" x14ac:dyDescent="0.3">
      <c r="F32" s="38" t="s">
        <v>62</v>
      </c>
      <c r="G32" s="39">
        <v>3.4130000000000001E-2</v>
      </c>
      <c r="H32" s="39">
        <v>2.5899999999999999E-2</v>
      </c>
      <c r="I32" s="39">
        <v>2.2710000000000001E-2</v>
      </c>
      <c r="J32" s="39">
        <v>1.95E-2</v>
      </c>
      <c r="K32" s="39">
        <v>1.8180000000000002E-2</v>
      </c>
      <c r="L32" s="39">
        <v>1.7739999999999999E-2</v>
      </c>
      <c r="M32" s="39">
        <v>4.8999999999999998E-3</v>
      </c>
    </row>
    <row r="33" spans="6:13" ht="26.25" thickBot="1" x14ac:dyDescent="0.3">
      <c r="F33" s="38" t="s">
        <v>63</v>
      </c>
      <c r="G33" s="39">
        <v>3.7019999999999997E-2</v>
      </c>
      <c r="H33" s="39">
        <v>2.818E-2</v>
      </c>
      <c r="I33" s="39">
        <v>2.4639999999999999E-2</v>
      </c>
      <c r="J33" s="39">
        <v>2.12E-2</v>
      </c>
      <c r="K33" s="39">
        <v>1.9789999999999999E-2</v>
      </c>
      <c r="L33" s="39">
        <v>1.9269999999999999E-2</v>
      </c>
      <c r="M33" s="39">
        <v>6.3099999999999996E-3</v>
      </c>
    </row>
    <row r="34" spans="6:13" ht="51.75" thickBot="1" x14ac:dyDescent="0.3">
      <c r="F34" s="38" t="s">
        <v>64</v>
      </c>
      <c r="G34" s="39">
        <v>5.4809999999999998E-2</v>
      </c>
      <c r="H34" s="39">
        <v>4.2220000000000001E-2</v>
      </c>
      <c r="I34" s="39">
        <v>3.7100000000000001E-2</v>
      </c>
      <c r="J34" s="39">
        <v>3.2000000000000001E-2</v>
      </c>
      <c r="K34" s="39">
        <v>2.9940000000000001E-2</v>
      </c>
      <c r="L34" s="39">
        <v>2.92E-2</v>
      </c>
      <c r="M34" s="39">
        <v>4.5199999999999997E-3</v>
      </c>
    </row>
    <row r="35" spans="6:13" ht="39" thickBot="1" x14ac:dyDescent="0.3">
      <c r="F35" s="38" t="s">
        <v>65</v>
      </c>
      <c r="G35" s="39">
        <v>2.726E-2</v>
      </c>
      <c r="H35" s="39">
        <v>2.06E-2</v>
      </c>
      <c r="I35" s="39">
        <v>1.8069999999999999E-2</v>
      </c>
      <c r="J35" s="39">
        <v>1.5509999999999999E-2</v>
      </c>
      <c r="K35" s="39">
        <v>1.447E-2</v>
      </c>
      <c r="L35" s="39">
        <v>1.41E-2</v>
      </c>
      <c r="M35" s="39">
        <v>6.4000000000000003E-3</v>
      </c>
    </row>
    <row r="36" spans="6:13" ht="51.75" thickBot="1" x14ac:dyDescent="0.3">
      <c r="F36" s="38" t="s">
        <v>67</v>
      </c>
      <c r="G36" s="39">
        <v>1.4800000000000001E-2</v>
      </c>
      <c r="H36" s="39">
        <v>1.12E-2</v>
      </c>
      <c r="I36" s="39">
        <v>9.7900000000000001E-3</v>
      </c>
      <c r="J36" s="39">
        <v>8.3899999999999999E-3</v>
      </c>
      <c r="K36" s="39">
        <v>7.8189999999999996E-3</v>
      </c>
      <c r="L36" s="39">
        <v>7.62E-3</v>
      </c>
      <c r="M36" s="39">
        <v>4.2069999999999998E-3</v>
      </c>
    </row>
    <row r="37" spans="6:13" ht="26.25" thickBot="1" x14ac:dyDescent="0.3">
      <c r="F37" s="38" t="s">
        <v>68</v>
      </c>
      <c r="G37" s="40">
        <v>1.0999999999999999E-2</v>
      </c>
      <c r="H37" s="40">
        <v>8.3999999999999995E-3</v>
      </c>
      <c r="I37" s="40">
        <v>7.3600000000000002E-3</v>
      </c>
      <c r="J37" s="40">
        <v>6.3E-3</v>
      </c>
      <c r="K37" s="40">
        <v>5.7999999999999996E-3</v>
      </c>
      <c r="L37" s="40">
        <v>5.7000000000000002E-3</v>
      </c>
      <c r="M37" s="40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0" t="s">
        <v>75</v>
      </c>
      <c r="B1" s="21" t="s">
        <v>76</v>
      </c>
      <c r="C1" s="21" t="s">
        <v>77</v>
      </c>
      <c r="D1" s="21" t="s">
        <v>78</v>
      </c>
      <c r="E1" s="21" t="s">
        <v>79</v>
      </c>
    </row>
    <row r="2" spans="1:17" ht="15.75" thickBot="1" x14ac:dyDescent="0.3">
      <c r="A2" s="22">
        <v>1.051031378</v>
      </c>
      <c r="B2" s="23">
        <v>0.25</v>
      </c>
      <c r="C2" s="23">
        <v>4</v>
      </c>
      <c r="D2" s="23">
        <v>0.53800000000000003</v>
      </c>
      <c r="E2" s="23">
        <v>1.4670000000000001</v>
      </c>
    </row>
    <row r="3" spans="1:17" ht="15.75" thickBot="1" x14ac:dyDescent="0.3">
      <c r="A3" s="22">
        <v>0.225274538</v>
      </c>
      <c r="B3" s="23">
        <v>4.4999999999999998E-2</v>
      </c>
      <c r="C3" s="23">
        <v>1.0620000000000001</v>
      </c>
      <c r="D3" s="23">
        <v>7.0000000000000007E-2</v>
      </c>
      <c r="E3" s="23">
        <v>0.23400000000000001</v>
      </c>
    </row>
    <row r="4" spans="1:17" ht="15.75" thickBot="1" x14ac:dyDescent="0.3">
      <c r="A4" s="22">
        <v>0.110535912</v>
      </c>
      <c r="B4" s="23">
        <v>1.5599999999999999E-2</v>
      </c>
      <c r="C4" s="23">
        <v>0.36499999999999999</v>
      </c>
      <c r="D4" s="23">
        <v>2.4799999999999999E-2</v>
      </c>
      <c r="E4" s="23">
        <v>8.3000000000000004E-2</v>
      </c>
    </row>
    <row r="5" spans="1:17" ht="15.75" thickBot="1" x14ac:dyDescent="0.3">
      <c r="A5" s="22">
        <v>5.8002663000000003E-2</v>
      </c>
      <c r="B5" s="23">
        <v>8.9999999999999993E-3</v>
      </c>
      <c r="C5" s="23">
        <v>0.23100000000000001</v>
      </c>
      <c r="D5" s="23">
        <v>1.54E-2</v>
      </c>
      <c r="E5" s="23">
        <v>5.0999999999999997E-2</v>
      </c>
    </row>
    <row r="6" spans="1:17" ht="15.75" thickBot="1" x14ac:dyDescent="0.3">
      <c r="A6" s="22">
        <v>3.4605404999999999E-2</v>
      </c>
      <c r="B6" s="23">
        <v>7.0000000000000001E-3</v>
      </c>
      <c r="C6" s="23">
        <v>0.16900000000000001</v>
      </c>
      <c r="D6" s="23">
        <v>1.1299999999999999E-2</v>
      </c>
      <c r="E6" s="23">
        <v>3.6999999999999998E-2</v>
      </c>
    </row>
    <row r="7" spans="1:17" ht="15.75" thickBot="1" x14ac:dyDescent="0.3">
      <c r="A7" s="22">
        <v>2.1080000000000002E-2</v>
      </c>
      <c r="B7" s="23">
        <v>6.0000000000000001E-3</v>
      </c>
      <c r="C7" s="23">
        <v>0.14000000000000001</v>
      </c>
      <c r="D7" s="23">
        <v>8.9999999999999993E-3</v>
      </c>
      <c r="E7" s="23">
        <v>0.03</v>
      </c>
    </row>
    <row r="8" spans="1:17" ht="15.75" thickBot="1" x14ac:dyDescent="0.3">
      <c r="A8" s="24">
        <v>2.0655E-2</v>
      </c>
      <c r="B8" s="25">
        <v>5.0000000000000001E-3</v>
      </c>
      <c r="C8" s="25">
        <v>0.124</v>
      </c>
      <c r="D8" s="25">
        <v>8.0000000000000002E-3</v>
      </c>
      <c r="E8" s="25">
        <v>2.6700000000000002E-2</v>
      </c>
    </row>
    <row r="10" spans="1:17" x14ac:dyDescent="0.25">
      <c r="F10" t="s">
        <v>80</v>
      </c>
      <c r="G10" s="29">
        <v>210</v>
      </c>
      <c r="H10" s="29">
        <v>1175</v>
      </c>
      <c r="I10" s="29">
        <v>2875</v>
      </c>
      <c r="J10" s="29">
        <v>5275</v>
      </c>
      <c r="K10" s="29">
        <v>7775</v>
      </c>
      <c r="L10" s="29">
        <v>10275</v>
      </c>
      <c r="M10" s="30">
        <v>13775</v>
      </c>
    </row>
    <row r="11" spans="1:17" x14ac:dyDescent="0.25">
      <c r="F11" s="26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7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7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2"/>
    </row>
    <row r="14" spans="1:17" ht="30.75" thickBot="1" x14ac:dyDescent="0.3">
      <c r="F14" s="27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3"/>
    </row>
    <row r="15" spans="1:17" ht="15.75" thickBot="1" x14ac:dyDescent="0.3">
      <c r="F15" s="27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3"/>
    </row>
    <row r="16" spans="1:17" ht="30.75" thickBot="1" x14ac:dyDescent="0.3">
      <c r="F16" s="27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3"/>
    </row>
    <row r="17" spans="6:17" ht="30.75" thickBot="1" x14ac:dyDescent="0.3">
      <c r="F17" s="27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3"/>
    </row>
    <row r="18" spans="6:17" ht="30.75" thickBot="1" x14ac:dyDescent="0.3">
      <c r="F18" s="28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3"/>
    </row>
    <row r="19" spans="6:17" ht="30.75" thickBot="1" x14ac:dyDescent="0.3">
      <c r="F19" s="27" t="s">
        <v>68</v>
      </c>
      <c r="G19" s="32">
        <v>1.4670000000000001</v>
      </c>
      <c r="H19" s="33">
        <v>0.23400000000000001</v>
      </c>
      <c r="I19" s="33">
        <v>8.3000000000000004E-2</v>
      </c>
      <c r="J19" s="33">
        <v>5.0999999999999997E-2</v>
      </c>
      <c r="K19" s="33">
        <v>3.6999999999999998E-2</v>
      </c>
      <c r="L19" s="33">
        <v>0.03</v>
      </c>
      <c r="M19" s="34">
        <v>2.6700000000000002E-2</v>
      </c>
      <c r="Q19" s="34"/>
    </row>
    <row r="22" spans="6:17" ht="15.75" thickBot="1" x14ac:dyDescent="0.3"/>
    <row r="23" spans="6:17" ht="15.75" thickBot="1" x14ac:dyDescent="0.3">
      <c r="F23" s="20" t="s">
        <v>75</v>
      </c>
      <c r="G23" s="22">
        <v>1.051031378</v>
      </c>
      <c r="H23" s="22">
        <v>0.225274538</v>
      </c>
      <c r="I23" s="22">
        <v>0.110535912</v>
      </c>
      <c r="J23" s="22">
        <v>5.8002663000000003E-2</v>
      </c>
      <c r="K23" s="22">
        <v>3.4605404999999999E-2</v>
      </c>
      <c r="L23" s="22">
        <v>2.1080000000000002E-2</v>
      </c>
      <c r="M23" s="24">
        <v>2.0655E-2</v>
      </c>
    </row>
    <row r="24" spans="6:17" ht="26.25" thickBot="1" x14ac:dyDescent="0.3">
      <c r="F24" s="21" t="s">
        <v>76</v>
      </c>
      <c r="G24" s="23">
        <v>0.25</v>
      </c>
      <c r="H24" s="23">
        <v>4.4999999999999998E-2</v>
      </c>
      <c r="I24" s="23">
        <v>1.5599999999999999E-2</v>
      </c>
      <c r="J24" s="23">
        <v>8.9999999999999993E-3</v>
      </c>
      <c r="K24" s="23">
        <v>7.0000000000000001E-3</v>
      </c>
      <c r="L24" s="23">
        <v>6.0000000000000001E-3</v>
      </c>
      <c r="M24" s="25">
        <v>5.0000000000000001E-3</v>
      </c>
    </row>
    <row r="25" spans="6:17" ht="26.25" thickBot="1" x14ac:dyDescent="0.3">
      <c r="F25" s="21" t="s">
        <v>77</v>
      </c>
      <c r="G25" s="23">
        <v>4</v>
      </c>
      <c r="H25" s="23">
        <v>1.0620000000000001</v>
      </c>
      <c r="I25" s="23">
        <v>0.36499999999999999</v>
      </c>
      <c r="J25" s="23">
        <v>0.23100000000000001</v>
      </c>
      <c r="K25" s="23">
        <v>0.16900000000000001</v>
      </c>
      <c r="L25" s="23">
        <v>0.14000000000000001</v>
      </c>
      <c r="M25" s="25">
        <v>0.124</v>
      </c>
    </row>
    <row r="26" spans="6:17" ht="26.25" thickBot="1" x14ac:dyDescent="0.3">
      <c r="F26" s="21" t="s">
        <v>78</v>
      </c>
      <c r="G26" s="23">
        <v>0.53800000000000003</v>
      </c>
      <c r="H26" s="23">
        <v>7.0000000000000007E-2</v>
      </c>
      <c r="I26" s="23">
        <v>2.4799999999999999E-2</v>
      </c>
      <c r="J26" s="23">
        <v>1.54E-2</v>
      </c>
      <c r="K26" s="23">
        <v>1.1299999999999999E-2</v>
      </c>
      <c r="L26" s="23">
        <v>8.9999999999999993E-3</v>
      </c>
      <c r="M26" s="25">
        <v>8.0000000000000002E-3</v>
      </c>
    </row>
    <row r="27" spans="6:17" ht="26.25" thickBot="1" x14ac:dyDescent="0.3">
      <c r="F27" s="21" t="s">
        <v>79</v>
      </c>
      <c r="G27" s="23">
        <v>1.4670000000000001</v>
      </c>
      <c r="H27" s="23">
        <v>0.23400000000000001</v>
      </c>
      <c r="I27" s="23">
        <v>8.3000000000000004E-2</v>
      </c>
      <c r="J27" s="23">
        <v>5.0999999999999997E-2</v>
      </c>
      <c r="K27" s="23">
        <v>3.6999999999999998E-2</v>
      </c>
      <c r="L27" s="23">
        <v>0.03</v>
      </c>
      <c r="M27" s="25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2019-03-03T05:51:13Z</dcterms:modified>
</cp:coreProperties>
</file>