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_ftn1" localSheetId="4">'hidden tab'!$P$24</definedName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AP2" i="1" l="1"/>
  <c r="AP3" i="1"/>
  <c r="AP4" i="1"/>
  <c r="AP5" i="1"/>
  <c r="AP6" i="1"/>
  <c r="AP7" i="1"/>
  <c r="AP8" i="1"/>
  <c r="AO2" i="1" l="1"/>
  <c r="AO3" i="1"/>
  <c r="AO4" i="1"/>
  <c r="AO5" i="1"/>
  <c r="AO6" i="1"/>
  <c r="AO7" i="1"/>
  <c r="AO8" i="1"/>
  <c r="B2" i="8" l="1"/>
  <c r="B3" i="8"/>
  <c r="Z2" i="1"/>
  <c r="S3" i="1"/>
  <c r="S4" i="1"/>
  <c r="S5" i="1"/>
  <c r="S6" i="1"/>
  <c r="S7" i="1"/>
  <c r="S8" i="1"/>
  <c r="Z4" i="1"/>
  <c r="R4" i="1" s="1"/>
  <c r="Z5" i="1"/>
  <c r="R5" i="1" s="1"/>
  <c r="Z6" i="1"/>
  <c r="R6" i="1" s="1"/>
  <c r="Z7" i="1"/>
  <c r="R7" i="1" s="1"/>
  <c r="Z8" i="1"/>
  <c r="R8" i="1" s="1"/>
  <c r="Z3" i="1"/>
  <c r="R3" i="1" s="1"/>
  <c r="E8" i="1"/>
  <c r="E7" i="1"/>
  <c r="E6" i="1"/>
  <c r="E5" i="1"/>
  <c r="E4" i="1"/>
  <c r="G8" i="1"/>
  <c r="G7" i="1"/>
  <c r="G6" i="1"/>
  <c r="G5" i="1"/>
  <c r="G4" i="1"/>
  <c r="G3" i="1"/>
  <c r="E3" i="1"/>
  <c r="G2" i="1"/>
  <c r="E2" i="1"/>
  <c r="J8" i="1"/>
  <c r="J7" i="1"/>
  <c r="J6" i="1"/>
  <c r="J5" i="1"/>
  <c r="J4" i="1"/>
  <c r="J3" i="1"/>
  <c r="J2" i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<sst xmlns="http://schemas.openxmlformats.org/spreadsheetml/2006/main" count="198" uniqueCount="121">
  <si>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</si>
  <si>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</si>
  <si>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</si>
  <si>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</si>
  <si>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</si>
  <si>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</si>
  <si>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</si>
  <si>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</si>
  <si>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</si>
  <si>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</si>
  <si>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</si>
  <si>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</si>
  <si>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</si>
  <si>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</si>
  <si>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</si>
  <si>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</si>
  <si>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</si>
  <si>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</si>
  <si>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</si>
  <si>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</si>
  <si>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</si>
  <si>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</si>
  <si>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</si>
  <si>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</si>
  <si>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</si>
  <si>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</si>
  <si>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</si>
  <si>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</si>
  <si>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</si>
  <si>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</si>
  <si>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</si>
  <si>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</si>
  <si>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</si>
  <si>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</si>
  <si>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</si>
  <si>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</si>
  <si>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</si>
  <si>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</si>
  <si>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</si>
  <si>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</si>
  <si>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</si>
  <si>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</si>
  <si>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</si>
  <si>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</si>
  <si>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</si>
  <si>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</si>
  <si>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</si>
  <si>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</si>
  <si>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</si>
  <si>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</si>
  <si>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</si>
  <si>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</si>
  <si>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</si>
  <si>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</si>
  <si>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</si>
  <si>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</si>
  <si>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</si>
  <si>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</si>
  <si>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</si>
  <si>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</si>
  <si>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</si>
  <si>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</si>
  <si>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</si>
  <si>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</si>
  <si>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</si>
  <si>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</si>
  <si>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</si>
  <si>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</si>
  <si>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</si>
  <si>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</si>
  <si>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</si>
  <si>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</si>
  <si>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</si>
  <si>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</si>
  <si>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</si>
  <si>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</si>
  <si>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</si>
  <si>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</si>
  <si>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</si>
  <si>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</si>
  <si>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</si>
  <si>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</si>
  <si>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</si>
  <si>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</si>
  <si>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</si>
  <si>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</si>
  <si>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</si>
  <si>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</si>
  <si>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</si>
  <si>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</si>
  <si>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</si>
  <si>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</si>
  <si>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</si>
  <si>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</si>
  <si>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</si>
  <si>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</si>
  <si>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</si>
  <si>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</si>
  <si>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</si>
  <si>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</si>
  <si>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</si>
  <si>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</si>
  <si>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</si>
  <si>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St1 @ 2.1 (km)</t>
  </si>
  <si>
    <t>St2 @ 1.175 (km)</t>
  </si>
  <si>
    <t>St3 @ 2.875 (km)</t>
  </si>
  <si>
    <t>St4 @ 5.275 (km)</t>
  </si>
  <si>
    <t>St5 @ 7.775 (km)</t>
  </si>
  <si>
    <t>St6 @ 10.275 (km)</t>
  </si>
  <si>
    <t>St7 @ 13.775 (km)</t>
  </si>
  <si>
    <t>None Dispersive Model</t>
  </si>
  <si>
    <t>Choose From References</t>
  </si>
  <si>
    <t>X cells for evaluation and comparison with obsered</t>
  </si>
  <si>
    <t>Observed Concentration [ppm] using formula2</t>
  </si>
  <si>
    <t>Only Observed Concentration (if you had losses and want to use formula look @ AP column) PPM</t>
  </si>
  <si>
    <t>Li et al. (1998) [1]</t>
  </si>
  <si>
    <t>Li et al (1998)</t>
  </si>
  <si>
    <t>Li et al 2 (1998)</t>
  </si>
  <si>
    <t>Deng et al (2001)</t>
  </si>
  <si>
    <t>Disley et al (2015)</t>
  </si>
  <si>
    <t>Noori et al (2017)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</si>
</sst>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utive Mono"/>
      <family val="3"/>
    </font>
    <font>
      <b/>
      <sz val="11"/>
      <color theme="1"/>
      <name val="Cutive Mono"/>
      <family val="3"/>
    </font>
    <font>
      <sz val="11"/>
      <color rgb="FFFF0000"/>
      <name val="Cutive Mono"/>
      <family val="3"/>
    </font>
    <font>
      <sz val="7"/>
      <color theme="1"/>
      <name val="Cutive Mono"/>
      <family val="3"/>
    </font>
    <font>
      <sz val="12"/>
      <name val="Times New Roman"/>
      <family val="1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2B2B2"/>
      </left>
      <right/>
      <top style="medium">
        <color indexed="64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indexed="64"/>
      </left>
      <right/>
      <top style="thin">
        <color rgb="FFB2B2B2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103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27" fillId="35" borderId="10" xfId="37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horizontal="left" vertical="top" wrapText="1"/>
    </xf>
    <xf numFmtId="9" fontId="27" fillId="35" borderId="11" xfId="42" applyNumberFormat="1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vertical="top" wrapText="1"/>
    </xf>
    <xf numFmtId="0" fontId="27" fillId="35" borderId="13" xfId="37" applyFont="1" applyFill="1" applyBorder="1" applyAlignment="1">
      <alignment vertical="top" wrapText="1"/>
    </xf>
    <xf numFmtId="0" fontId="27" fillId="35" borderId="12" xfId="37" applyFont="1" applyFill="1" applyBorder="1" applyAlignment="1">
      <alignment vertical="top" wrapText="1"/>
    </xf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9" fillId="37" borderId="11" xfId="37" applyFont="1" applyFill="1" applyBorder="1" applyAlignment="1">
      <alignment vertical="top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4" xfId="0" applyFont="1" applyFill="1" applyBorder="1" applyAlignment="1">
      <alignment horizontal="center"/>
    </xf>
    <xf numFmtId="0" fontId="18" fillId="38" borderId="21" xfId="0" applyFont="1" applyFill="1" applyBorder="1" applyAlignment="1">
      <alignment horizontal="center"/>
    </xf>
    <xf numFmtId="0" fontId="32" fillId="0" borderId="22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25" xfId="0" applyFont="1" applyBorder="1" applyAlignment="1">
      <alignment vertical="center" wrapText="1"/>
    </xf>
    <xf numFmtId="0" fontId="35" fillId="0" borderId="26" xfId="0" applyFont="1" applyBorder="1" applyAlignment="1">
      <alignment vertical="center"/>
    </xf>
    <xf numFmtId="0" fontId="35" fillId="0" borderId="26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0" fontId="27" fillId="35" borderId="29" xfId="37" applyFont="1" applyFill="1" applyBorder="1" applyAlignment="1">
      <alignment vertical="top" wrapText="1"/>
    </xf>
    <xf numFmtId="0" fontId="28" fillId="35" borderId="29" xfId="37" applyFont="1" applyFill="1" applyBorder="1" applyAlignment="1">
      <alignment vertical="top" wrapText="1"/>
    </xf>
    <xf numFmtId="0" fontId="18" fillId="0" borderId="30" xfId="37" applyFont="1" applyFill="1" applyBorder="1"/>
    <xf numFmtId="0" fontId="29" fillId="0" borderId="30" xfId="37" applyFont="1" applyFill="1" applyBorder="1"/>
    <xf numFmtId="0" fontId="18" fillId="0" borderId="30" xfId="37" applyFont="1" applyFill="1" applyBorder="1" applyAlignment="1">
      <alignment horizontal="center"/>
    </xf>
    <xf numFmtId="0" fontId="38" fillId="0" borderId="0" xfId="0" applyFont="1" applyFill="1" applyBorder="1" applyAlignment="1">
      <alignment horizontal="right" vertical="center" wrapText="1"/>
    </xf>
    <xf numFmtId="0" fontId="38" fillId="0" borderId="0" xfId="0" applyFont="1" applyFill="1" applyBorder="1" applyAlignment="1">
      <alignment horizontal="center"/>
    </xf>
    <xf numFmtId="0" fontId="41" fillId="0" borderId="0" xfId="0" applyFont="1" applyFill="1" applyBorder="1" applyAlignment="1">
      <alignment vertical="center" wrapText="1"/>
    </xf>
    <xf numFmtId="0" fontId="38" fillId="0" borderId="0" xfId="0" applyFont="1" applyFill="1" applyBorder="1"/>
    <xf numFmtId="0" fontId="39" fillId="0" borderId="0" xfId="0" applyNumberFormat="1" applyFont="1" applyFill="1" applyBorder="1" applyAlignment="1">
      <alignment horizontal="center" vertical="center"/>
    </xf>
    <xf numFmtId="0" fontId="38" fillId="0" borderId="0" xfId="37" applyFont="1" applyFill="1" applyBorder="1" applyAlignment="1">
      <alignment horizontal="center" vertical="center"/>
    </xf>
    <xf numFmtId="9" fontId="38" fillId="0" borderId="0" xfId="42" applyNumberFormat="1" applyFont="1" applyFill="1" applyBorder="1" applyAlignment="1">
      <alignment horizontal="center" vertical="center"/>
    </xf>
    <xf numFmtId="0" fontId="40" fillId="0" borderId="0" xfId="37" applyFont="1" applyFill="1" applyBorder="1" applyAlignment="1">
      <alignment horizontal="center" vertical="center"/>
    </xf>
    <xf numFmtId="0" fontId="38" fillId="0" borderId="0" xfId="42" applyNumberFormat="1" applyFont="1" applyFill="1" applyBorder="1" applyAlignment="1">
      <alignment horizontal="center" vertical="center"/>
    </xf>
    <xf numFmtId="0" fontId="38" fillId="0" borderId="0" xfId="37" applyFont="1" applyFill="1" applyBorder="1"/>
    <xf numFmtId="0" fontId="38" fillId="0" borderId="0" xfId="0" applyFont="1" applyFill="1" applyBorder="1" applyAlignment="1">
      <alignment horizontal="right" vertical="center"/>
    </xf>
    <xf numFmtId="0" fontId="41" fillId="0" borderId="0" xfId="0" applyFont="1" applyFill="1" applyBorder="1" applyAlignment="1">
      <alignment vertical="center"/>
    </xf>
    <xf numFmtId="0" fontId="39" fillId="0" borderId="0" xfId="37" applyNumberFormat="1" applyFont="1" applyFill="1" applyBorder="1" applyAlignment="1">
      <alignment horizontal="center" vertical="center"/>
    </xf>
    <xf numFmtId="0" fontId="38" fillId="0" borderId="0" xfId="37" applyNumberFormat="1" applyFont="1" applyFill="1" applyBorder="1" applyAlignment="1">
      <alignment horizontal="center" vertical="center"/>
    </xf>
    <xf numFmtId="0" fontId="40" fillId="0" borderId="0" xfId="37" applyNumberFormat="1" applyFont="1" applyFill="1" applyBorder="1" applyAlignment="1">
      <alignment horizontal="center" vertical="center"/>
    </xf>
    <xf numFmtId="0" fontId="18" fillId="0" borderId="0" xfId="37" applyFont="1" applyFill="1" applyBorder="1"/>
    <xf numFmtId="0" fontId="29" fillId="0" borderId="0" xfId="37" applyFont="1" applyFill="1" applyBorder="1"/>
    <xf numFmtId="0" fontId="18" fillId="0" borderId="0" xfId="37" applyFont="1" applyFill="1" applyBorder="1" applyAlignment="1">
      <alignment horizontal="center"/>
    </xf>
    <xf numFmtId="164" fontId="20" fillId="32" borderId="7" xfId="37" applyNumberFormat="1" applyFont="1" applyAlignment="1">
      <alignment horizontal="left"/>
    </xf>
    <xf numFmtId="0" fontId="37" fillId="0" borderId="23" xfId="0" applyFont="1" applyBorder="1" applyAlignment="1">
      <alignment horizontal="right" vertical="center"/>
    </xf>
    <xf numFmtId="0" fontId="36" fillId="0" borderId="25" xfId="43" applyBorder="1" applyAlignment="1">
      <alignment horizontal="right" vertical="center"/>
    </xf>
    <xf numFmtId="0" fontId="42" fillId="0" borderId="25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6" fillId="0" borderId="0" xfId="43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29" fillId="39" borderId="12" xfId="37" applyFont="1" applyFill="1" applyBorder="1" applyAlignment="1">
      <alignment vertical="top" wrapText="1"/>
    </xf>
    <xf numFmtId="0" fontId="41" fillId="39" borderId="0" xfId="0" applyFont="1" applyFill="1" applyBorder="1" applyAlignment="1">
      <alignment vertical="center" wrapText="1"/>
    </xf>
    <xf numFmtId="0" fontId="41" fillId="39" borderId="0" xfId="0" applyFont="1" applyFill="1" applyBorder="1" applyAlignment="1">
      <alignment vertical="center"/>
    </xf>
    <xf numFmtId="0" fontId="27" fillId="39" borderId="7" xfId="37" applyFont="1" applyFill="1" applyAlignment="1">
      <alignment vertical="top" wrapText="1"/>
    </xf>
    <xf numFmtId="0" fontId="38" fillId="39" borderId="7" xfId="37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18" fillId="32" borderId="7" xfId="37" applyNumberFormat="1" applyFont="1" applyAlignment="1">
      <alignment horizontal="left"/>
    </xf>
    <xf numFmtId="0" fontId="34" fillId="0" borderId="27" xfId="0" applyFont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outline="0">
        <left style="thin">
          <color rgb="FFB2B2B2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outline="0">
        <right style="thin">
          <color rgb="FFB2B2B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outline="0">
        <right style="thin">
          <color rgb="FFB2B2B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z val="7"/>
        <name val="Cutive Mono"/>
        <scheme val="none"/>
      </font>
      <fill>
        <patternFill patternType="none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right" vertical="center" textRotation="0" indent="0" justifyLastLine="0" shrinkToFit="0" readingOrder="0"/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 dataCellStyle="Note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nly Observed Concentration (if you had losses and want to use formula look @ AP column) PPM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FLOOR(Table1[[#This Row],[End Point distance  '[meters']]]/Delta_X__meters,1)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tabSelected="1" zoomScaleNormal="100" workbookViewId="0">
      <selection activeCell="B10" sqref="B10"/>
    </sheetView>
  </sheetViews>
  <sheetFormatPr defaultRowHeight="15" x14ac:dyDescent="0.25"/>
  <cols>
    <col min="1" max="1" width="45.42578125" style="2" customWidth="1"/>
    <col min="2" max="2" width="55.85546875" style="54" customWidth="1"/>
    <col min="3" max="16384" width="9.140625" style="1"/>
  </cols>
  <sheetData>
    <row r="1" spans="1:24" x14ac:dyDescent="0.25">
      <c r="A1" s="4"/>
      <c r="B1" s="46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7" t="str">
        <f ca="1">MID(CELL("filename"),SEARCH("[",CELL("filename"))+1, SEARCH("]",CELL("filename"))-SEARCH("[",CELL("filename"))-1)</f>
        <v>Dx_1998_Li_et_al_Paper02_Severn.xlsx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86">
        <f>DATE(2019,1,10)</f>
        <v>43475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7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7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48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49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6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50">
        <v>20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99">
        <v>10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51" t="s">
        <v>116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50">
        <v>50</v>
      </c>
      <c r="C12" s="5"/>
      <c r="D12" s="5"/>
      <c r="E12" s="5"/>
      <c r="F12" s="8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52">
        <v>0</v>
      </c>
      <c r="C13" s="5"/>
      <c r="D13" s="5"/>
      <c r="E13" s="5"/>
      <c r="F13" s="8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50">
        <v>0.5</v>
      </c>
      <c r="C14" s="5"/>
      <c r="D14" s="5"/>
      <c r="E14" s="5"/>
      <c r="F14" s="8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49"/>
      <c r="C15" s="5"/>
      <c r="D15" s="5"/>
      <c r="E15" s="5"/>
      <c r="F15" s="8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49"/>
      <c r="C16" s="5"/>
      <c r="D16" s="5"/>
      <c r="E16" s="5"/>
      <c r="F16" s="8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49"/>
      <c r="C17" s="5"/>
      <c r="D17" s="5"/>
      <c r="E17" s="5"/>
      <c r="F17" s="8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49"/>
      <c r="C18" s="5"/>
      <c r="D18" s="5"/>
      <c r="E18" s="5"/>
      <c r="F18" s="8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49"/>
      <c r="C19" s="5"/>
      <c r="D19" s="5"/>
      <c r="E19" s="5"/>
      <c r="F19" s="8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53"/>
      <c r="C20" s="5"/>
      <c r="D20" s="5"/>
      <c r="E20" s="5"/>
      <c r="F20" s="8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49"/>
      <c r="C21" s="5"/>
      <c r="D21" s="5"/>
      <c r="E21" s="5"/>
      <c r="F21" s="8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49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49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49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49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49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49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49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49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49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49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49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49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49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49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49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49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49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49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49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49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49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49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49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49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49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49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49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49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49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49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49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49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49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49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49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49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49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49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49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49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49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49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tab'!$P$2:$P$22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11"/>
  <sheetViews>
    <sheetView workbookViewId="0">
      <pane ySplit="1" topLeftCell="A2" activePane="bottomLeft" state="frozen"/>
      <selection pane="bottomLeft" activeCell="A12" sqref="A12"/>
    </sheetView>
  </sheetViews>
  <sheetFormatPr defaultRowHeight="15" x14ac:dyDescent="0.25"/>
  <cols>
    <col min="1" max="1" width="23.28515625" style="60" customWidth="1"/>
    <col min="2" max="2" width="18.140625" style="60" customWidth="1"/>
    <col min="3" max="3" width="17.28515625" style="60" customWidth="1"/>
    <col min="4" max="4" width="14.5703125" style="60" customWidth="1"/>
    <col min="5" max="5" width="8.85546875" style="60" customWidth="1"/>
    <col min="6" max="6" width="7.7109375" style="60" customWidth="1"/>
    <col min="7" max="7" width="10.7109375" style="60" customWidth="1"/>
    <col min="8" max="8" width="13.42578125" style="60" bestFit="1" customWidth="1"/>
    <col min="9" max="9" width="24.85546875" style="60" customWidth="1"/>
    <col min="10" max="10" width="23.7109375" style="60" customWidth="1"/>
    <col min="11" max="12" width="19.140625" style="60" customWidth="1"/>
    <col min="13" max="13" width="10.28515625" style="60" customWidth="1"/>
    <col min="14" max="14" width="12.85546875" style="60" customWidth="1"/>
    <col min="15" max="15" width="17.85546875" style="60" customWidth="1"/>
    <col min="16" max="16" width="12.7109375" style="60" customWidth="1"/>
    <col min="17" max="17" width="39.7109375" style="60" customWidth="1"/>
    <col min="18" max="18" width="19.140625" style="60" customWidth="1"/>
    <col min="19" max="19" width="22.5703125" style="60" customWidth="1"/>
    <col min="20" max="20" width="9.140625" style="60"/>
    <col min="21" max="21" width="21.42578125" style="60" customWidth="1"/>
    <col min="22" max="22" width="38.5703125" style="60" customWidth="1"/>
    <col min="23" max="23" width="29.42578125" style="60" customWidth="1"/>
    <col min="24" max="24" width="41.140625" style="61" customWidth="1"/>
    <col min="25" max="25" width="17.140625" style="62" customWidth="1"/>
    <col min="26" max="27" width="19.42578125" style="60" customWidth="1"/>
    <col min="28" max="28" width="16.42578125" style="60" customWidth="1"/>
    <col min="29" max="30" width="12.140625" style="60" customWidth="1"/>
    <col min="31" max="31" width="11.140625" style="60" customWidth="1"/>
    <col min="32" max="34" width="12.28515625" style="60" customWidth="1"/>
    <col min="35" max="35" width="11.140625" style="60" customWidth="1"/>
    <col min="36" max="36" width="9.140625" style="60"/>
    <col min="37" max="37" width="12.28515625" style="60" customWidth="1"/>
    <col min="38" max="39" width="11.140625" style="60" customWidth="1"/>
    <col min="40" max="40" width="9.140625" style="60"/>
    <col min="41" max="41" width="30.140625" style="60" bestFit="1" customWidth="1"/>
    <col min="42" max="42" width="26.5703125" style="60" bestFit="1" customWidth="1"/>
    <col min="43" max="16384" width="9.140625" style="60"/>
  </cols>
  <sheetData>
    <row r="1" spans="1:42" s="64" customFormat="1" ht="51.75" customHeight="1" x14ac:dyDescent="0.25">
      <c r="A1" s="15" t="s">
        <v>40</v>
      </c>
      <c r="B1" s="16" t="s">
        <v>49</v>
      </c>
      <c r="C1" s="16" t="s">
        <v>48</v>
      </c>
      <c r="D1" s="16" t="s">
        <v>11</v>
      </c>
      <c r="E1" s="16" t="s">
        <v>39</v>
      </c>
      <c r="F1" s="16" t="s">
        <v>38</v>
      </c>
      <c r="G1" s="16" t="s">
        <v>37</v>
      </c>
      <c r="H1" s="16" t="s">
        <v>36</v>
      </c>
      <c r="I1" s="16" t="s">
        <v>50</v>
      </c>
      <c r="J1" s="16" t="s">
        <v>14</v>
      </c>
      <c r="K1" s="16" t="s">
        <v>13</v>
      </c>
      <c r="L1" s="16" t="s">
        <v>12</v>
      </c>
      <c r="M1" s="16" t="s">
        <v>43</v>
      </c>
      <c r="N1" s="16" t="s">
        <v>41</v>
      </c>
      <c r="O1" s="16" t="s">
        <v>42</v>
      </c>
      <c r="P1" s="16" t="s">
        <v>34</v>
      </c>
      <c r="Q1" s="16" t="s">
        <v>44</v>
      </c>
      <c r="R1" s="16" t="s">
        <v>32</v>
      </c>
      <c r="S1" s="16" t="s">
        <v>46</v>
      </c>
      <c r="T1" s="16" t="s">
        <v>15</v>
      </c>
      <c r="U1" s="16" t="s">
        <v>35</v>
      </c>
      <c r="V1" s="16" t="s">
        <v>9</v>
      </c>
      <c r="W1" s="16" t="s">
        <v>22</v>
      </c>
      <c r="X1" s="93" t="s">
        <v>114</v>
      </c>
      <c r="Y1" s="17" t="s">
        <v>45</v>
      </c>
      <c r="Z1" s="16" t="s">
        <v>10</v>
      </c>
      <c r="AA1" s="16" t="s">
        <v>82</v>
      </c>
      <c r="AB1" s="25" t="s">
        <v>72</v>
      </c>
      <c r="AC1" s="25" t="s">
        <v>73</v>
      </c>
      <c r="AD1" s="25" t="s">
        <v>74</v>
      </c>
      <c r="AE1" s="18" t="s">
        <v>47</v>
      </c>
      <c r="AF1" s="19" t="s">
        <v>51</v>
      </c>
      <c r="AG1" s="20" t="s">
        <v>52</v>
      </c>
      <c r="AH1" s="20" t="s">
        <v>53</v>
      </c>
      <c r="AI1" s="20" t="s">
        <v>54</v>
      </c>
      <c r="AJ1" s="20" t="s">
        <v>56</v>
      </c>
      <c r="AK1" s="20" t="s">
        <v>57</v>
      </c>
      <c r="AL1" s="20" t="s">
        <v>58</v>
      </c>
      <c r="AM1" s="20" t="s">
        <v>59</v>
      </c>
      <c r="AN1" s="63" t="s">
        <v>81</v>
      </c>
      <c r="AO1" s="96" t="s">
        <v>112</v>
      </c>
      <c r="AP1" s="96" t="s">
        <v>113</v>
      </c>
    </row>
    <row r="2" spans="1:42" s="73" customFormat="1" x14ac:dyDescent="0.25">
      <c r="A2" s="68" t="s">
        <v>103</v>
      </c>
      <c r="B2" s="69">
        <v>0</v>
      </c>
      <c r="C2" s="69">
        <v>210</v>
      </c>
      <c r="D2" s="69">
        <v>7.33</v>
      </c>
      <c r="E2" s="69">
        <f>(1/5)*(0.3)*1000/3600</f>
        <v>1.6666666666666666E-2</v>
      </c>
      <c r="F2" s="69">
        <v>8.3299999999999999E-2</v>
      </c>
      <c r="G2" s="69">
        <f>(1/5)*(2.35)*1000/3600</f>
        <v>0.13055555555555556</v>
      </c>
      <c r="H2" s="69">
        <v>7.33</v>
      </c>
      <c r="I2" s="69"/>
      <c r="J2" s="70">
        <f>142.8/10000</f>
        <v>1.4280000000000001E-2</v>
      </c>
      <c r="K2" s="70">
        <v>0.46241399999999999</v>
      </c>
      <c r="L2" s="70">
        <v>17.486969999999999</v>
      </c>
      <c r="M2" s="70">
        <v>1.0510314000000001</v>
      </c>
      <c r="N2" s="71"/>
      <c r="O2" s="71"/>
      <c r="P2" s="71"/>
      <c r="Q2" s="72">
        <f>Table1[Q '[m3/sec']]/(Table1[depth '[meters']]*Table1[width '[meters']])</f>
        <v>0.90648043593010741</v>
      </c>
      <c r="R2" s="73">
        <f>(Table1[[#This Row],[Reach Length '[meters']]]/(Table1[[#This Row],[Q '[m3/sec']]]/(Table1[[#This Row],[depth '[meters']]]*Table1[[#This Row],[width '[meters']]])))/3600</f>
        <v>6.4351453182196455E-2</v>
      </c>
      <c r="S2" s="73">
        <f>(Table1[[#This Row],[End Point distance  '[meters']]]/(3600*Table1[[#This Row],[Tp]]))</f>
        <v>0.70028011204481799</v>
      </c>
      <c r="T2" s="73">
        <v>1</v>
      </c>
      <c r="U2" s="73">
        <v>0</v>
      </c>
      <c r="V2" s="73">
        <v>0</v>
      </c>
      <c r="W2" s="73">
        <f>Table1[[#This Row],[End Point distance  '[meters']]]/1000</f>
        <v>0.21</v>
      </c>
      <c r="X2" s="94">
        <v>1.0510314000000001</v>
      </c>
      <c r="Y2" s="74" t="str">
        <f>IF(AVERAGE(Table1[[#This Row],[Error Ti]]&lt;=AVERAGE(Table1[[#This Row],[Error Tp]])),"use Ti","use Tp")</f>
        <v>use Ti</v>
      </c>
      <c r="Z2" s="73">
        <f>Table1[[#This Row],[End Point distance  '[meters']]]-Table1[[#This Row],[Start point distance '[meters']]]</f>
        <v>210</v>
      </c>
      <c r="AA2" s="73">
        <f>(Table1[[#This Row],[Tp]]-AN2)*3600</f>
        <v>299.88</v>
      </c>
      <c r="AB2" s="75">
        <f>FLOOR((Table1[[#This Row],[Tp]]*3600)/Table1[[#This Row],[Delta T]],1)</f>
        <v>29</v>
      </c>
      <c r="AC2" s="75">
        <f>Table1[[#This Row],[End Point distance  '[meters']]]/Delta_X__meters</f>
        <v>10.5</v>
      </c>
      <c r="AD2" s="75">
        <f>Table1[[#This Row],[Start point distance '[meters']]]/Delta_X__meters</f>
        <v>0</v>
      </c>
      <c r="AE2" s="73">
        <f t="shared" ref="AE2:AE3" si="0">Delta_T__seconds</f>
        <v>10</v>
      </c>
      <c r="AF2" s="74">
        <f>((Table1[[#This Row],[Ti]]-Table1[[#This Row],[calculated time '[hours']]])/Table1[[#This Row],[Ti]])</f>
        <v>-2.8610871909317876</v>
      </c>
      <c r="AG2" s="74">
        <f>(('Reach Propertise'!$F2-'Reach Propertise'!$R2)/'Reach Propertise'!$F2)</f>
        <v>0.22747355123413618</v>
      </c>
      <c r="AH2" s="74">
        <f>((Table1[[#This Row],[Tt]]-Table1[[#This Row],[calculated time '[hours']]])/Table1[[#This Row],[Tt]])</f>
        <v>0.507095252221474</v>
      </c>
      <c r="AI2" s="76">
        <f>Table1[[#This Row],[width '[meters']]]/Table1[[#This Row],[depth '[meters']]]</f>
        <v>37.816696726310191</v>
      </c>
      <c r="AJ2" s="73">
        <f>Table1[[#This Row],[depth '[meters']]]*Table1[[#This Row],[width '[meters']]]*Delta_X__meters</f>
        <v>161.72439491159997</v>
      </c>
      <c r="AK2" s="73">
        <f>Table1[[#This Row],[Column3]]-Table1[[#This Row],[Column2]]</f>
        <v>8.3299999999999999E-2</v>
      </c>
      <c r="AL2" s="73">
        <v>0</v>
      </c>
      <c r="AM2" s="73">
        <f>'Reach Propertise'!$F2</f>
        <v>8.3299999999999999E-2</v>
      </c>
      <c r="AN2" s="73">
        <v>0</v>
      </c>
      <c r="AO2" s="97">
        <f>FLOOR(Table1[[#This Row],[End Point distance  '[meters']]]/Delta_X__meters,1)</f>
        <v>10</v>
      </c>
      <c r="AP2" s="97">
        <f>((1/1000000)*Table1[[#This Row],[Cup]]*Table1[[#This Row],[R ratio]]*Table1[[#This Row],[Inj Mass]])/Table1[[#This Row],[Q '[m3/sec']]]</f>
        <v>0</v>
      </c>
    </row>
    <row r="3" spans="1:42" s="77" customFormat="1" x14ac:dyDescent="0.25">
      <c r="A3" s="68" t="s">
        <v>104</v>
      </c>
      <c r="B3" s="69">
        <v>210</v>
      </c>
      <c r="C3" s="69">
        <v>1175</v>
      </c>
      <c r="D3" s="69">
        <v>7.03</v>
      </c>
      <c r="E3" s="69">
        <f>1.25*1000/3600</f>
        <v>0.34722222222222221</v>
      </c>
      <c r="F3" s="69">
        <v>0.43330000000000002</v>
      </c>
      <c r="G3" s="69">
        <f>5.15*1000/3600</f>
        <v>1.4305555555555556</v>
      </c>
      <c r="H3" s="69">
        <v>7.03</v>
      </c>
      <c r="I3" s="69"/>
      <c r="J3" s="70">
        <f>51.81/10000</f>
        <v>5.1809999999999998E-3</v>
      </c>
      <c r="K3" s="70">
        <v>0.38552900000000001</v>
      </c>
      <c r="L3" s="70">
        <v>17.581569999999999</v>
      </c>
      <c r="M3" s="70">
        <v>0.22527449999999999</v>
      </c>
      <c r="N3" s="71"/>
      <c r="O3" s="71"/>
      <c r="P3" s="71"/>
      <c r="Q3" s="72">
        <f>Table1[Q '[m3/sec']]/(Table1[depth '[meters']]*Table1[width '[meters']])</f>
        <v>1.0371477250592951</v>
      </c>
      <c r="R3" s="73">
        <f>(Table1[[#This Row],[Reach Length '[meters']]]/(Table1[[#This Row],[Q '[m3/sec']]]/(Table1[[#This Row],[depth '[meters']]]*Table1[[#This Row],[width '[meters']]])))/3600</f>
        <v>0.25845455674140388</v>
      </c>
      <c r="S3" s="73">
        <f>(Table1[[#This Row],[End Point distance  '[meters']]]/(3600*Table1[[#This Row],[Tp]]))</f>
        <v>0.75326307151832184</v>
      </c>
      <c r="T3" s="73">
        <v>1</v>
      </c>
      <c r="U3" s="73">
        <v>0</v>
      </c>
      <c r="V3" s="73">
        <v>0</v>
      </c>
      <c r="W3" s="73">
        <f>Table1[[#This Row],[End Point distance  '[meters']]]/1000</f>
        <v>1.175</v>
      </c>
      <c r="X3" s="94">
        <v>0.22527449999999999</v>
      </c>
      <c r="Y3" s="74" t="str">
        <f>IF(AVERAGE(Table1[[#This Row],[Error Ti]]&lt;=AVERAGE(Table1[[#This Row],[Error Tp]])),"use Ti","use Tp")</f>
        <v>use Ti</v>
      </c>
      <c r="Z3" s="73">
        <f>Table1[[#This Row],[End Point distance  '[meters']]]-Table1[[#This Row],[Start point distance '[meters']]]</f>
        <v>965</v>
      </c>
      <c r="AA3" s="73">
        <f>(Table1[[#This Row],[Tp]]-AN3)*3600</f>
        <v>-2040.12</v>
      </c>
      <c r="AB3" s="75">
        <f>FLOOR((Table1[[#This Row],[Tp]]*3600)/Table1[[#This Row],[Delta T]],1)</f>
        <v>155</v>
      </c>
      <c r="AC3" s="75">
        <f>Table1[[#This Row],[End Point distance  '[meters']]]/Delta_X__meters</f>
        <v>58.75</v>
      </c>
      <c r="AD3" s="75">
        <f>Table1[[#This Row],[Start point distance '[meters']]]/Delta_X__meters</f>
        <v>10.5</v>
      </c>
      <c r="AE3" s="73">
        <f t="shared" si="0"/>
        <v>10</v>
      </c>
      <c r="AF3" s="74">
        <f>((Table1[[#This Row],[Ti]]-Table1[[#This Row],[calculated time '[hours']]])/Table1[[#This Row],[Ti]])</f>
        <v>0.25565087658475677</v>
      </c>
      <c r="AG3" s="74">
        <f>(('Reach Propertise'!$F3-'Reach Propertise'!$R3)/'Reach Propertise'!$F3)</f>
        <v>0.40352052448325898</v>
      </c>
      <c r="AH3" s="74">
        <f>((Table1[[#This Row],[Tt]]-Table1[[#This Row],[calculated time '[hours']]])/Table1[[#This Row],[Tt]])</f>
        <v>0.81933273703513521</v>
      </c>
      <c r="AI3" s="76">
        <f>Table1[[#This Row],[width '[meters']]]/Table1[[#This Row],[depth '[meters']]]</f>
        <v>45.603754840751279</v>
      </c>
      <c r="AJ3" s="73">
        <f>Table1[[#This Row],[depth '[meters']]]*Table1[[#This Row],[width '[meters']]]*Delta_X__meters</f>
        <v>135.56410201060001</v>
      </c>
      <c r="AK3" s="73">
        <f>Table1[[#This Row],[Column3]]-Table1[[#This Row],[Column2]]</f>
        <v>-0.56669999999999998</v>
      </c>
      <c r="AL3" s="73">
        <v>1</v>
      </c>
      <c r="AM3" s="73">
        <f>'Reach Propertise'!$F3</f>
        <v>0.43330000000000002</v>
      </c>
      <c r="AN3" s="73">
        <v>1</v>
      </c>
      <c r="AO3" s="97">
        <f>FLOOR(Table1[[#This Row],[End Point distance  '[meters']]]/Delta_X__meters,1)</f>
        <v>58</v>
      </c>
      <c r="AP3" s="97">
        <f>((1/1000000)*Table1[[#This Row],[Cup]]*Table1[[#This Row],[R ratio]]*Table1[[#This Row],[Inj Mass]])/Table1[[#This Row],[Q '[m3/sec']]]</f>
        <v>0</v>
      </c>
    </row>
    <row r="4" spans="1:42" s="77" customFormat="1" x14ac:dyDescent="0.25">
      <c r="A4" s="78" t="s">
        <v>105</v>
      </c>
      <c r="B4" s="69">
        <v>1175</v>
      </c>
      <c r="C4" s="69">
        <v>2875</v>
      </c>
      <c r="D4" s="69">
        <v>7.24</v>
      </c>
      <c r="E4" s="69">
        <f>3.25*1000/3600</f>
        <v>0.90277777777777779</v>
      </c>
      <c r="F4" s="69">
        <v>1.1333</v>
      </c>
      <c r="G4" s="69">
        <f>8.8*1000/3600</f>
        <v>2.4444444444444446</v>
      </c>
      <c r="H4" s="69">
        <v>7.24</v>
      </c>
      <c r="I4" s="69"/>
      <c r="J4" s="79">
        <f>11.76/10000</f>
        <v>1.176E-3</v>
      </c>
      <c r="K4" s="79">
        <v>0.57269499999999995</v>
      </c>
      <c r="L4" s="79">
        <v>16.589739999999999</v>
      </c>
      <c r="M4" s="79">
        <v>0.11053590000000001</v>
      </c>
      <c r="N4" s="73"/>
      <c r="O4" s="73"/>
      <c r="P4" s="73"/>
      <c r="Q4" s="80">
        <f>Table1[Q '[m3/sec']]/(Table1[depth '[meters']]*Table1[width '[meters']])</f>
        <v>0.76203618663908446</v>
      </c>
      <c r="R4" s="73">
        <f>(Table1[[#This Row],[Reach Length '[meters']]]/(Table1[[#This Row],[Q '[m3/sec']]]/(Table1[[#This Row],[depth '[meters']]]*Table1[[#This Row],[width '[meters']]])))/3600</f>
        <v>0.61968477416398082</v>
      </c>
      <c r="S4" s="73">
        <f>(Table1[[#This Row],[End Point distance  '[meters']]]/(3600*Table1[[#This Row],[Tp]]))</f>
        <v>0.70467758855652618</v>
      </c>
      <c r="T4" s="73">
        <v>1</v>
      </c>
      <c r="U4" s="73">
        <v>0</v>
      </c>
      <c r="V4" s="73">
        <v>0</v>
      </c>
      <c r="W4" s="81">
        <f>Table1[[#This Row],[End Point distance  '[meters']]]/1000</f>
        <v>2.875</v>
      </c>
      <c r="X4" s="95">
        <v>0.11053590000000001</v>
      </c>
      <c r="Y4" s="74" t="str">
        <f>IF(AVERAGE(Table1[[#This Row],[Error Ti]]&lt;=AVERAGE(Table1[[#This Row],[Error Tp]])),"use Ti","use Tp")</f>
        <v>use Ti</v>
      </c>
      <c r="Z4" s="73">
        <f>Table1[[#This Row],[End Point distance  '[meters']]]-Table1[[#This Row],[Start point distance '[meters']]]</f>
        <v>1700</v>
      </c>
      <c r="AA4" s="81">
        <f>(Table1[[#This Row],[Tp]]-AN4)*3600</f>
        <v>4079.88</v>
      </c>
      <c r="AB4" s="82">
        <f>FLOOR((Table1[[#This Row],[Tp]]*3600)/Table1[[#This Row],[Delta T]],1)</f>
        <v>407</v>
      </c>
      <c r="AC4" s="82">
        <f>Table1[[#This Row],[End Point distance  '[meters']]]/Delta_X__meters</f>
        <v>143.75</v>
      </c>
      <c r="AD4" s="82">
        <f>Table1[[#This Row],[Start point distance '[meters']]]/Delta_X__meters</f>
        <v>58.75</v>
      </c>
      <c r="AE4" s="73">
        <f>Delta_T__seconds</f>
        <v>10</v>
      </c>
      <c r="AF4" s="74">
        <f>((Table1[[#This Row],[Ti]]-Table1[[#This Row],[calculated time '[hours']]])/Table1[[#This Row],[Ti]])</f>
        <v>0.31357994246451354</v>
      </c>
      <c r="AG4" s="74">
        <f>(('Reach Propertise'!$F4-'Reach Propertise'!$R4)/'Reach Propertise'!$F4)</f>
        <v>0.45320323465633033</v>
      </c>
      <c r="AH4" s="74">
        <f>((Table1[[#This Row],[Tt]]-Table1[[#This Row],[calculated time '[hours']]])/Table1[[#This Row],[Tt]])</f>
        <v>0.74649259238746246</v>
      </c>
      <c r="AI4" s="76">
        <f>Table1[[#This Row],[width '[meters']]]/Table1[[#This Row],[depth '[meters']]]</f>
        <v>28.967845013488855</v>
      </c>
      <c r="AJ4" s="81">
        <f>Table1[[#This Row],[depth '[meters']]]*Table1[[#This Row],[width '[meters']]]*Delta_X__meters</f>
        <v>190.01722298599998</v>
      </c>
      <c r="AK4" s="81">
        <f>Table1[[#This Row],[Column3]]-Table1[[#This Row],[Column2]]</f>
        <v>1.1333</v>
      </c>
      <c r="AL4" s="73"/>
      <c r="AM4" s="73">
        <f>'Reach Propertise'!$F4</f>
        <v>1.1333</v>
      </c>
      <c r="AN4" s="73"/>
      <c r="AO4" s="97">
        <f>FLOOR(Table1[[#This Row],[End Point distance  '[meters']]]/Delta_X__meters,1)</f>
        <v>143</v>
      </c>
      <c r="AP4" s="97">
        <f>((1/1000000)*Table1[[#This Row],[Cup]]*Table1[[#This Row],[R ratio]]*Table1[[#This Row],[Inj Mass]])/Table1[[#This Row],[Q '[m3/sec']]]</f>
        <v>0</v>
      </c>
    </row>
    <row r="5" spans="1:42" s="77" customFormat="1" x14ac:dyDescent="0.25">
      <c r="A5" s="78" t="s">
        <v>106</v>
      </c>
      <c r="B5" s="69">
        <v>2875</v>
      </c>
      <c r="C5" s="69">
        <v>5275</v>
      </c>
      <c r="D5" s="69">
        <v>7.51</v>
      </c>
      <c r="E5" s="69">
        <f>3.75*1000/3600</f>
        <v>1.0416666666666667</v>
      </c>
      <c r="F5" s="69">
        <v>2.4666999999999999</v>
      </c>
      <c r="G5" s="69">
        <f>14.8*1000/3600</f>
        <v>4.1111111111111107</v>
      </c>
      <c r="H5" s="69">
        <v>7.51</v>
      </c>
      <c r="I5" s="69"/>
      <c r="J5" s="79">
        <f>16.67/10000</f>
        <v>1.6670000000000001E-3</v>
      </c>
      <c r="K5" s="79">
        <v>0.62161200000000005</v>
      </c>
      <c r="L5" s="79">
        <v>17.83409</v>
      </c>
      <c r="M5" s="79">
        <v>5.8002699999999997E-2</v>
      </c>
      <c r="N5" s="73"/>
      <c r="O5" s="73"/>
      <c r="P5" s="73"/>
      <c r="Q5" s="80">
        <f>Table1[Q '[m3/sec']]/(Table1[depth '[meters']]*Table1[width '[meters']])</f>
        <v>0.67743806094400494</v>
      </c>
      <c r="R5" s="73">
        <f>(Table1[[#This Row],[Reach Length '[meters']]]/(Table1[[#This Row],[Q '[m3/sec']]]/(Table1[[#This Row],[depth '[meters']]]*Table1[[#This Row],[width '[meters']]])))/3600</f>
        <v>0.98409980941677766</v>
      </c>
      <c r="S5" s="73">
        <f>(Table1[[#This Row],[End Point distance  '[meters']]]/(3600*Table1[[#This Row],[Tp]]))</f>
        <v>0.59402350418688044</v>
      </c>
      <c r="T5" s="73">
        <v>1</v>
      </c>
      <c r="U5" s="73">
        <v>0</v>
      </c>
      <c r="V5" s="73">
        <v>0</v>
      </c>
      <c r="W5" s="81">
        <f>Table1[[#This Row],[End Point distance  '[meters']]]/1000</f>
        <v>5.2750000000000004</v>
      </c>
      <c r="X5" s="95">
        <v>5.8002699999999997E-2</v>
      </c>
      <c r="Y5" s="74" t="str">
        <f>IF(AVERAGE(Table1[[#This Row],[Error Ti]]&lt;=AVERAGE(Table1[[#This Row],[Error Tp]])),"use Ti","use Tp")</f>
        <v>use Ti</v>
      </c>
      <c r="Z5" s="73">
        <f>Table1[[#This Row],[End Point distance  '[meters']]]-Table1[[#This Row],[Start point distance '[meters']]]</f>
        <v>2400</v>
      </c>
      <c r="AA5" s="81">
        <f>(Table1[[#This Row],[Tp]]-AN5)*3600</f>
        <v>8880.119999999999</v>
      </c>
      <c r="AB5" s="82">
        <f>FLOOR((Table1[[#This Row],[Tp]]*3600)/Table1[[#This Row],[Delta T]],1)</f>
        <v>888</v>
      </c>
      <c r="AC5" s="82">
        <f>Table1[[#This Row],[End Point distance  '[meters']]]/Delta_X__meters</f>
        <v>263.75</v>
      </c>
      <c r="AD5" s="82">
        <f>Table1[[#This Row],[Start point distance '[meters']]]/Delta_X__meters</f>
        <v>143.75</v>
      </c>
      <c r="AE5" s="73">
        <f>Delta_T__seconds</f>
        <v>10</v>
      </c>
      <c r="AF5" s="74">
        <f>((Table1[[#This Row],[Ti]]-Table1[[#This Row],[calculated time '[hours']]])/Table1[[#This Row],[Ti]])</f>
        <v>5.5264182959893514E-2</v>
      </c>
      <c r="AG5" s="74">
        <f>(('Reach Propertise'!$F5-'Reach Propertise'!$R5)/'Reach Propertise'!$F5)</f>
        <v>0.60104600907415673</v>
      </c>
      <c r="AH5" s="74">
        <f>((Table1[[#This Row],[Tt]]-Table1[[#This Row],[calculated time '[hours']]])/Table1[[#This Row],[Tt]])</f>
        <v>0.7606243706824054</v>
      </c>
      <c r="AI5" s="76">
        <f>Table1[[#This Row],[width '[meters']]]/Table1[[#This Row],[depth '[meters']]]</f>
        <v>28.690067115821442</v>
      </c>
      <c r="AJ5" s="81">
        <f>Table1[[#This Row],[depth '[meters']]]*Table1[[#This Row],[width '[meters']]]*Delta_X__meters</f>
        <v>221.71768706160003</v>
      </c>
      <c r="AK5" s="81">
        <f>Table1[[#This Row],[Column3]]-Table1[[#This Row],[Column2]]</f>
        <v>2.4666999999999999</v>
      </c>
      <c r="AL5" s="73"/>
      <c r="AM5" s="73">
        <f>'Reach Propertise'!$F5</f>
        <v>2.4666999999999999</v>
      </c>
      <c r="AN5" s="73"/>
      <c r="AO5" s="97">
        <f>FLOOR(Table1[[#This Row],[End Point distance  '[meters']]]/Delta_X__meters,1)</f>
        <v>263</v>
      </c>
      <c r="AP5" s="97">
        <f>((1/1000000)*Table1[[#This Row],[Cup]]*Table1[[#This Row],[R ratio]]*Table1[[#This Row],[Inj Mass]])/Table1[[#This Row],[Q '[m3/sec']]]</f>
        <v>0</v>
      </c>
    </row>
    <row r="6" spans="1:42" s="77" customFormat="1" x14ac:dyDescent="0.25">
      <c r="A6" s="78" t="s">
        <v>107</v>
      </c>
      <c r="B6" s="69">
        <v>5275</v>
      </c>
      <c r="C6" s="69">
        <v>7775</v>
      </c>
      <c r="D6" s="69">
        <v>9.25</v>
      </c>
      <c r="E6" s="69">
        <f>10.5*1000/3600</f>
        <v>2.9166666666666665</v>
      </c>
      <c r="F6" s="69">
        <v>3.7332999999999998</v>
      </c>
      <c r="G6" s="69">
        <f>20*1000/3600</f>
        <v>5.5555555555555554</v>
      </c>
      <c r="H6" s="69">
        <v>9.25</v>
      </c>
      <c r="I6" s="69"/>
      <c r="J6" s="79">
        <f>24/10000</f>
        <v>2.3999999999999998E-3</v>
      </c>
      <c r="K6" s="79">
        <v>0.52793800000000002</v>
      </c>
      <c r="L6" s="79">
        <v>34.910490000000003</v>
      </c>
      <c r="M6" s="79">
        <v>3.4605400000000001E-2</v>
      </c>
      <c r="N6" s="73"/>
      <c r="O6" s="73"/>
      <c r="P6" s="73"/>
      <c r="Q6" s="80">
        <f>Table1[Q '[m3/sec']]/(Table1[depth '[meters']]*Table1[width '[meters']])</f>
        <v>0.50188343915290901</v>
      </c>
      <c r="R6" s="73">
        <f>(Table1[[#This Row],[Reach Length '[meters']]]/(Table1[[#This Row],[Q '[m3/sec']]]/(Table1[[#This Row],[depth '[meters']]]*Table1[[#This Row],[width '[meters']]])))/3600</f>
        <v>1.3836767469684685</v>
      </c>
      <c r="S6" s="73">
        <f>(Table1[[#This Row],[End Point distance  '[meters']]]/(3600*Table1[[#This Row],[Tp]]))</f>
        <v>0.57850218900763994</v>
      </c>
      <c r="T6" s="73">
        <v>1</v>
      </c>
      <c r="U6" s="73">
        <v>0</v>
      </c>
      <c r="V6" s="73">
        <v>0</v>
      </c>
      <c r="W6" s="81">
        <f>Table1[[#This Row],[End Point distance  '[meters']]]/1000</f>
        <v>7.7750000000000004</v>
      </c>
      <c r="X6" s="95">
        <v>3.4605400000000001E-2</v>
      </c>
      <c r="Y6" s="74" t="str">
        <f>IF(AVERAGE(Table1[[#This Row],[Error Ti]]&lt;=AVERAGE(Table1[[#This Row],[Error Tp]])),"use Ti","use Tp")</f>
        <v>use Ti</v>
      </c>
      <c r="Z6" s="73">
        <f>Table1[[#This Row],[End Point distance  '[meters']]]-Table1[[#This Row],[Start point distance '[meters']]]</f>
        <v>2500</v>
      </c>
      <c r="AA6" s="81">
        <f>(Table1[[#This Row],[Tp]]-AN6)*3600</f>
        <v>13439.88</v>
      </c>
      <c r="AB6" s="82">
        <f>FLOOR((Table1[[#This Row],[Tp]]*3600)/Table1[[#This Row],[Delta T]],1)</f>
        <v>1343</v>
      </c>
      <c r="AC6" s="82">
        <f>Table1[[#This Row],[End Point distance  '[meters']]]/Delta_X__meters</f>
        <v>388.75</v>
      </c>
      <c r="AD6" s="82">
        <f>Table1[[#This Row],[Start point distance '[meters']]]/Delta_X__meters</f>
        <v>263.75</v>
      </c>
      <c r="AE6" s="73">
        <f>Delta_T__seconds</f>
        <v>10</v>
      </c>
      <c r="AF6" s="74">
        <f>((Table1[[#This Row],[Ti]]-Table1[[#This Row],[calculated time '[hours']]])/Table1[[#This Row],[Ti]])</f>
        <v>0.52559654389652499</v>
      </c>
      <c r="AG6" s="74">
        <f>(('Reach Propertise'!$F6-'Reach Propertise'!$R6)/'Reach Propertise'!$F6)</f>
        <v>0.6293689907137201</v>
      </c>
      <c r="AH6" s="74">
        <f>((Table1[[#This Row],[Tt]]-Table1[[#This Row],[calculated time '[hours']]])/Table1[[#This Row],[Tt]])</f>
        <v>0.7509381855456756</v>
      </c>
      <c r="AI6" s="76">
        <f>Table1[[#This Row],[width '[meters']]]/Table1[[#This Row],[depth '[meters']]]</f>
        <v>66.126117081930076</v>
      </c>
      <c r="AJ6" s="81">
        <f>Table1[[#This Row],[depth '[meters']]]*Table1[[#This Row],[width '[meters']]]*Delta_X__meters</f>
        <v>368.61148539240003</v>
      </c>
      <c r="AK6" s="81">
        <f>Table1[[#This Row],[Column3]]-Table1[[#This Row],[Column2]]</f>
        <v>3.7332999999999998</v>
      </c>
      <c r="AL6" s="73"/>
      <c r="AM6" s="73">
        <f>'Reach Propertise'!$F6</f>
        <v>3.7332999999999998</v>
      </c>
      <c r="AN6" s="73"/>
      <c r="AO6" s="97">
        <f>FLOOR(Table1[[#This Row],[End Point distance  '[meters']]]/Delta_X__meters,1)</f>
        <v>388</v>
      </c>
      <c r="AP6" s="97">
        <f>((1/1000000)*Table1[[#This Row],[Cup]]*Table1[[#This Row],[R ratio]]*Table1[[#This Row],[Inj Mass]])/Table1[[#This Row],[Q '[m3/sec']]]</f>
        <v>0</v>
      </c>
    </row>
    <row r="7" spans="1:42" s="77" customFormat="1" x14ac:dyDescent="0.25">
      <c r="A7" s="78" t="s">
        <v>108</v>
      </c>
      <c r="B7" s="69">
        <v>7775</v>
      </c>
      <c r="C7" s="69">
        <v>10275</v>
      </c>
      <c r="D7" s="69">
        <v>9.8000000000000007</v>
      </c>
      <c r="E7" s="69">
        <f>15.1*1000/3600</f>
        <v>4.1944444444444446</v>
      </c>
      <c r="F7" s="69">
        <v>5.0332999999999997</v>
      </c>
      <c r="G7" s="69">
        <f>26*1000/3600</f>
        <v>7.2222222222222223</v>
      </c>
      <c r="H7" s="69">
        <v>9.8000000000000007</v>
      </c>
      <c r="I7" s="69"/>
      <c r="J7" s="79">
        <f>44/10000</f>
        <v>4.4000000000000003E-3</v>
      </c>
      <c r="K7" s="79">
        <v>0.42355799999999999</v>
      </c>
      <c r="L7" s="79">
        <v>31.004169999999998</v>
      </c>
      <c r="M7" s="79">
        <v>2.1080000000000002E-2</v>
      </c>
      <c r="N7" s="73"/>
      <c r="O7" s="73"/>
      <c r="P7" s="73"/>
      <c r="Q7" s="80">
        <f>Table1[Q '[m3/sec']]/(Table1[depth '[meters']]*Table1[width '[meters']])</f>
        <v>0.74626500626555514</v>
      </c>
      <c r="R7" s="73">
        <f>(Table1[[#This Row],[Reach Length '[meters']]]/(Table1[[#This Row],[Q '[m3/sec']]]/(Table1[[#This Row],[depth '[meters']]]*Table1[[#This Row],[width '[meters']]])))/3600</f>
        <v>0.93056010748724483</v>
      </c>
      <c r="S7" s="73">
        <f>(Table1[[#This Row],[End Point distance  '[meters']]]/(3600*Table1[[#This Row],[Tp]]))</f>
        <v>0.56705673547506941</v>
      </c>
      <c r="T7" s="73">
        <v>1</v>
      </c>
      <c r="U7" s="73">
        <v>0</v>
      </c>
      <c r="V7" s="73">
        <v>0</v>
      </c>
      <c r="W7" s="81">
        <f>Table1[[#This Row],[End Point distance  '[meters']]]/1000</f>
        <v>10.275</v>
      </c>
      <c r="X7" s="95">
        <v>2.1080000000000002E-2</v>
      </c>
      <c r="Y7" s="74" t="str">
        <f>IF(AVERAGE(Table1[[#This Row],[Error Ti]]&lt;=AVERAGE(Table1[[#This Row],[Error Tp]])),"use Ti","use Tp")</f>
        <v>use Ti</v>
      </c>
      <c r="Z7" s="73">
        <f>Table1[[#This Row],[End Point distance  '[meters']]]-Table1[[#This Row],[Start point distance '[meters']]]</f>
        <v>2500</v>
      </c>
      <c r="AA7" s="81">
        <f>(Table1[[#This Row],[Tp]]-AN7)*3600</f>
        <v>18119.879999999997</v>
      </c>
      <c r="AB7" s="82">
        <f>FLOOR((Table1[[#This Row],[Tp]]*3600)/Table1[[#This Row],[Delta T]],1)</f>
        <v>1811</v>
      </c>
      <c r="AC7" s="82">
        <f>Table1[[#This Row],[End Point distance  '[meters']]]/Delta_X__meters</f>
        <v>513.75</v>
      </c>
      <c r="AD7" s="82">
        <f>Table1[[#This Row],[Start point distance '[meters']]]/Delta_X__meters</f>
        <v>388.75</v>
      </c>
      <c r="AE7" s="73">
        <f>Delta_T__seconds</f>
        <v>10</v>
      </c>
      <c r="AF7" s="74">
        <f>((Table1[[#This Row],[Ti]]-Table1[[#This Row],[calculated time '[hours']]])/Table1[[#This Row],[Ti]])</f>
        <v>0.7781446101354913</v>
      </c>
      <c r="AG7" s="74">
        <f>(('Reach Propertise'!$F7-'Reach Propertise'!$R7)/'Reach Propertise'!$F7)</f>
        <v>0.8151192840706406</v>
      </c>
      <c r="AH7" s="74">
        <f>((Table1[[#This Row],[Tt]]-Table1[[#This Row],[calculated time '[hours']]])/Table1[[#This Row],[Tt]])</f>
        <v>0.8711532158863815</v>
      </c>
      <c r="AI7" s="76">
        <f>Table1[[#This Row],[width '[meters']]]/Table1[[#This Row],[depth '[meters']]]</f>
        <v>73.199349321698563</v>
      </c>
      <c r="AJ7" s="81">
        <f>Table1[[#This Row],[depth '[meters']]]*Table1[[#This Row],[width '[meters']]]*Delta_X__meters</f>
        <v>262.64128473720001</v>
      </c>
      <c r="AK7" s="81">
        <f>Table1[[#This Row],[Column3]]-Table1[[#This Row],[Column2]]</f>
        <v>5.0332999999999997</v>
      </c>
      <c r="AL7" s="73"/>
      <c r="AM7" s="73">
        <f>'Reach Propertise'!$F7</f>
        <v>5.0332999999999997</v>
      </c>
      <c r="AN7" s="73"/>
      <c r="AO7" s="97">
        <f>FLOOR(Table1[[#This Row],[End Point distance  '[meters']]]/Delta_X__meters,1)</f>
        <v>513</v>
      </c>
      <c r="AP7" s="97">
        <f>((1/1000000)*Table1[[#This Row],[Cup]]*Table1[[#This Row],[R ratio]]*Table1[[#This Row],[Inj Mass]])/Table1[[#This Row],[Q '[m3/sec']]]</f>
        <v>0</v>
      </c>
    </row>
    <row r="8" spans="1:42" s="77" customFormat="1" x14ac:dyDescent="0.25">
      <c r="A8" s="78" t="s">
        <v>109</v>
      </c>
      <c r="B8" s="69">
        <v>10275</v>
      </c>
      <c r="C8" s="69">
        <v>13775</v>
      </c>
      <c r="D8" s="69">
        <v>10</v>
      </c>
      <c r="E8" s="69">
        <f>19*1000/3600</f>
        <v>5.2777777777777777</v>
      </c>
      <c r="F8" s="69">
        <v>6.5369000000000002</v>
      </c>
      <c r="G8" s="69">
        <f>33.5*1000/3600</f>
        <v>9.3055555555555554</v>
      </c>
      <c r="H8" s="69">
        <v>10</v>
      </c>
      <c r="I8" s="69"/>
      <c r="J8" s="79">
        <f>25.71/10000</f>
        <v>2.5709999999999999E-3</v>
      </c>
      <c r="K8" s="79">
        <v>0.62438099999999996</v>
      </c>
      <c r="L8" s="79">
        <v>23.586819999999999</v>
      </c>
      <c r="M8" s="79">
        <v>2.0655E-2</v>
      </c>
      <c r="N8" s="73"/>
      <c r="O8" s="73"/>
      <c r="P8" s="73"/>
      <c r="Q8" s="80">
        <f>Table1[Q '[m3/sec']]/(Table1[depth '[meters']]*Table1[width '[meters']])</f>
        <v>0.67901743896945754</v>
      </c>
      <c r="R8" s="73">
        <f>(Table1[[#This Row],[Reach Length '[meters']]]/(Table1[[#This Row],[Q '[m3/sec']]]/(Table1[[#This Row],[depth '[meters']]]*Table1[[#This Row],[width '[meters']]])))/3600</f>
        <v>1.4318074417908333</v>
      </c>
      <c r="S8" s="73">
        <f>(Table1[[#This Row],[End Point distance  '[meters']]]/(3600*Table1[[#This Row],[Tp]]))</f>
        <v>0.58535221418239358</v>
      </c>
      <c r="T8" s="73">
        <v>1</v>
      </c>
      <c r="U8" s="73">
        <v>0</v>
      </c>
      <c r="V8" s="73">
        <v>0</v>
      </c>
      <c r="W8" s="81">
        <f>Table1[[#This Row],[End Point distance  '[meters']]]/1000</f>
        <v>13.775</v>
      </c>
      <c r="X8" s="95">
        <v>2.0655E-2</v>
      </c>
      <c r="Y8" s="74" t="str">
        <f>IF(AVERAGE(Table1[[#This Row],[Error Ti]]&lt;=AVERAGE(Table1[[#This Row],[Error Tp]])),"use Ti","use Tp")</f>
        <v>use Ti</v>
      </c>
      <c r="Z8" s="73">
        <f>Table1[[#This Row],[End Point distance  '[meters']]]-Table1[[#This Row],[Start point distance '[meters']]]</f>
        <v>3500</v>
      </c>
      <c r="AA8" s="81">
        <f>(Table1[[#This Row],[Tp]]-AN8)*3600</f>
        <v>23532.84</v>
      </c>
      <c r="AB8" s="82">
        <f>FLOOR((Table1[[#This Row],[Tp]]*3600)/Table1[[#This Row],[Delta T]],1)</f>
        <v>2353</v>
      </c>
      <c r="AC8" s="82">
        <f>Table1[[#This Row],[End Point distance  '[meters']]]/Delta_X__meters</f>
        <v>688.75</v>
      </c>
      <c r="AD8" s="82">
        <f>Table1[[#This Row],[Start point distance '[meters']]]/Delta_X__meters</f>
        <v>513.75</v>
      </c>
      <c r="AE8" s="73">
        <f>Delta_T__seconds</f>
        <v>10</v>
      </c>
      <c r="AF8" s="74">
        <f>((Table1[[#This Row],[Ti]]-Table1[[#This Row],[calculated time '[hours']]])/Table1[[#This Row],[Ti]])</f>
        <v>0.72871016892384211</v>
      </c>
      <c r="AG8" s="74">
        <f>(('Reach Propertise'!$F8-'Reach Propertise'!$R8)/'Reach Propertise'!$F8)</f>
        <v>0.78096537475090133</v>
      </c>
      <c r="AH8" s="74">
        <f>((Table1[[#This Row],[Tt]]-Table1[[#This Row],[calculated time '[hours']]])/Table1[[#This Row],[Tt]])</f>
        <v>0.84613412565829849</v>
      </c>
      <c r="AI8" s="76">
        <f>Table1[[#This Row],[width '[meters']]]/Table1[[#This Row],[depth '[meters']]]</f>
        <v>37.776325672946484</v>
      </c>
      <c r="AJ8" s="81">
        <f>Table1[[#This Row],[depth '[meters']]]*Table1[[#This Row],[width '[meters']]]*Delta_X__meters</f>
        <v>294.54324516839995</v>
      </c>
      <c r="AK8" s="81">
        <f>Table1[[#This Row],[Column3]]-Table1[[#This Row],[Column2]]</f>
        <v>6.5369000000000002</v>
      </c>
      <c r="AL8" s="73"/>
      <c r="AM8" s="73">
        <f>'Reach Propertise'!$F8</f>
        <v>6.5369000000000002</v>
      </c>
      <c r="AN8" s="73"/>
      <c r="AO8" s="97">
        <f>FLOOR(Table1[[#This Row],[End Point distance  '[meters']]]/Delta_X__meters,1)</f>
        <v>688</v>
      </c>
      <c r="AP8" s="97">
        <f>((1/1000000)*Table1[[#This Row],[Cup]]*Table1[[#This Row],[R ratio]]*Table1[[#This Row],[Inj Mass]])/Table1[[#This Row],[Q '[m3/sec']]]</f>
        <v>0</v>
      </c>
    </row>
    <row r="9" spans="1:42" s="83" customFormat="1" x14ac:dyDescent="0.25">
      <c r="X9" s="84"/>
      <c r="Y9" s="85"/>
    </row>
    <row r="10" spans="1:42" s="83" customFormat="1" x14ac:dyDescent="0.25">
      <c r="X10" s="84"/>
      <c r="Y10" s="85"/>
    </row>
    <row r="11" spans="1:42" s="65" customFormat="1" x14ac:dyDescent="0.25">
      <c r="X11" s="66"/>
      <c r="Y11" s="67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6" t="s">
        <v>26</v>
      </c>
      <c r="B1" s="56" t="s">
        <v>27</v>
      </c>
      <c r="C1" s="56" t="s">
        <v>28</v>
      </c>
      <c r="D1" s="21"/>
    </row>
    <row r="2" spans="1:4" x14ac:dyDescent="0.25">
      <c r="A2" s="55"/>
      <c r="B2" s="55"/>
      <c r="C2" s="55"/>
    </row>
    <row r="3" spans="1:4" x14ac:dyDescent="0.25">
      <c r="A3" s="55"/>
      <c r="B3" s="55"/>
      <c r="C3" s="55"/>
    </row>
    <row r="4" spans="1:4" x14ac:dyDescent="0.25">
      <c r="A4" s="55"/>
      <c r="B4" s="55"/>
      <c r="C4" s="55"/>
    </row>
    <row r="5" spans="1:4" x14ac:dyDescent="0.25">
      <c r="A5" s="55"/>
      <c r="B5" s="55"/>
      <c r="C5" s="55"/>
    </row>
    <row r="6" spans="1:4" x14ac:dyDescent="0.25">
      <c r="A6" s="55"/>
      <c r="B6" s="55"/>
      <c r="C6" s="5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A2" sqref="A2"/>
    </sheetView>
  </sheetViews>
  <sheetFormatPr defaultRowHeight="15" x14ac:dyDescent="0.25"/>
  <cols>
    <col min="1" max="1" width="17.140625" style="23" customWidth="1"/>
    <col min="2" max="2" width="11.85546875" style="24" customWidth="1"/>
    <col min="3" max="4" width="17.5703125" style="23" customWidth="1"/>
    <col min="5" max="5" width="17.5703125" style="24" customWidth="1"/>
    <col min="6" max="6" width="22" style="23" customWidth="1"/>
    <col min="7" max="7" width="16" style="24" customWidth="1"/>
    <col min="8" max="8" width="11.7109375" style="23" customWidth="1"/>
    <col min="9" max="9" width="28" style="23" customWidth="1"/>
    <col min="10" max="10" width="9.85546875" style="23" bestFit="1" customWidth="1"/>
    <col min="11" max="11" width="8.85546875" style="23" bestFit="1" customWidth="1"/>
    <col min="12" max="12" width="10.5703125" style="23" customWidth="1"/>
    <col min="13" max="16384" width="9.140625" style="23"/>
  </cols>
  <sheetData>
    <row r="1" spans="1:13" s="22" customFormat="1" ht="52.5" customHeight="1" x14ac:dyDescent="0.25">
      <c r="A1" s="57" t="s">
        <v>29</v>
      </c>
      <c r="B1" s="57" t="s">
        <v>17</v>
      </c>
      <c r="C1" s="57" t="s">
        <v>16</v>
      </c>
      <c r="D1" s="57" t="s">
        <v>69</v>
      </c>
      <c r="E1" s="57" t="s">
        <v>70</v>
      </c>
      <c r="F1" s="57" t="s">
        <v>71</v>
      </c>
      <c r="G1" s="57" t="s">
        <v>19</v>
      </c>
      <c r="H1" s="57" t="s">
        <v>20</v>
      </c>
      <c r="I1" s="57" t="s">
        <v>33</v>
      </c>
      <c r="J1" s="57" t="s">
        <v>16</v>
      </c>
      <c r="K1" s="57" t="s">
        <v>24</v>
      </c>
      <c r="L1" s="57" t="s">
        <v>25</v>
      </c>
      <c r="M1" s="57" t="s">
        <v>21</v>
      </c>
    </row>
    <row r="2" spans="1:13" x14ac:dyDescent="0.25">
      <c r="A2" s="58">
        <v>25</v>
      </c>
      <c r="B2" s="13">
        <v>1000</v>
      </c>
      <c r="C2" s="59">
        <v>0</v>
      </c>
      <c r="D2" s="58">
        <v>25</v>
      </c>
      <c r="F2" s="58"/>
      <c r="G2" s="58"/>
      <c r="H2" s="58"/>
      <c r="I2" s="58"/>
      <c r="J2" s="58"/>
      <c r="K2" s="58"/>
      <c r="L2" s="58"/>
      <c r="M2" s="24"/>
    </row>
    <row r="3" spans="1:13" x14ac:dyDescent="0.25">
      <c r="A3" s="58"/>
      <c r="B3" s="58"/>
      <c r="C3" s="58"/>
      <c r="D3" s="58"/>
      <c r="F3" s="58"/>
      <c r="G3" s="58"/>
      <c r="H3" s="58"/>
      <c r="I3" s="58"/>
      <c r="J3" s="58"/>
      <c r="K3" s="58"/>
      <c r="L3" s="58"/>
    </row>
    <row r="4" spans="1:13" x14ac:dyDescent="0.25">
      <c r="I4" s="24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B1" workbookViewId="0">
      <selection activeCell="P2" sqref="P2:P22"/>
    </sheetView>
  </sheetViews>
  <sheetFormatPr defaultRowHeight="15" x14ac:dyDescent="0.25"/>
  <cols>
    <col min="1" max="1" width="47.140625" bestFit="1" customWidth="1"/>
    <col min="16" max="16" width="44.7109375" bestFit="1" customWidth="1"/>
  </cols>
  <sheetData>
    <row r="1" spans="1:16" ht="15.75" thickBot="1" x14ac:dyDescent="0.3">
      <c r="A1" s="11" t="s">
        <v>60</v>
      </c>
      <c r="H1">
        <v>1</v>
      </c>
    </row>
    <row r="2" spans="1:16" ht="16.5" thickBot="1" x14ac:dyDescent="0.3">
      <c r="A2" s="12" t="s">
        <v>61</v>
      </c>
      <c r="H2">
        <v>5</v>
      </c>
      <c r="P2" s="87" t="s">
        <v>111</v>
      </c>
    </row>
    <row r="3" spans="1:16" ht="15.75" thickBot="1" x14ac:dyDescent="0.3">
      <c r="A3" s="12" t="s">
        <v>66</v>
      </c>
      <c r="H3">
        <v>10</v>
      </c>
      <c r="P3" s="88" t="s">
        <v>85</v>
      </c>
    </row>
    <row r="4" spans="1:16" ht="15.75" thickBot="1" x14ac:dyDescent="0.3">
      <c r="A4" s="12" t="s">
        <v>62</v>
      </c>
      <c r="H4">
        <v>25</v>
      </c>
      <c r="P4" s="88" t="s">
        <v>86</v>
      </c>
    </row>
    <row r="5" spans="1:16" ht="15.75" thickBot="1" x14ac:dyDescent="0.3">
      <c r="A5" s="12" t="s">
        <v>63</v>
      </c>
      <c r="H5">
        <v>50</v>
      </c>
      <c r="P5" s="88" t="s">
        <v>87</v>
      </c>
    </row>
    <row r="6" spans="1:16" ht="15.75" thickBot="1" x14ac:dyDescent="0.3">
      <c r="A6" s="12" t="s">
        <v>64</v>
      </c>
      <c r="H6">
        <v>100</v>
      </c>
      <c r="P6" s="88" t="s">
        <v>88</v>
      </c>
    </row>
    <row r="7" spans="1:16" ht="15.75" thickBot="1" x14ac:dyDescent="0.3">
      <c r="A7" s="12" t="s">
        <v>65</v>
      </c>
      <c r="H7">
        <v>150</v>
      </c>
      <c r="P7" s="88" t="s">
        <v>89</v>
      </c>
    </row>
    <row r="8" spans="1:16" ht="15.75" thickBot="1" x14ac:dyDescent="0.3">
      <c r="A8" s="10" t="s">
        <v>67</v>
      </c>
      <c r="H8">
        <v>200</v>
      </c>
      <c r="P8" s="88" t="s">
        <v>90</v>
      </c>
    </row>
    <row r="9" spans="1:16" ht="15.75" thickBot="1" x14ac:dyDescent="0.3">
      <c r="A9" s="12" t="s">
        <v>68</v>
      </c>
      <c r="H9">
        <v>250</v>
      </c>
      <c r="P9" s="88" t="s">
        <v>91</v>
      </c>
    </row>
    <row r="10" spans="1:16" ht="15.75" thickBot="1" x14ac:dyDescent="0.3">
      <c r="A10" s="10" t="s">
        <v>8</v>
      </c>
      <c r="H10">
        <v>300</v>
      </c>
      <c r="P10" s="88" t="s">
        <v>92</v>
      </c>
    </row>
    <row r="11" spans="1:16" ht="15.75" thickBot="1" x14ac:dyDescent="0.3">
      <c r="H11">
        <v>350</v>
      </c>
      <c r="P11" s="88" t="s">
        <v>116</v>
      </c>
    </row>
    <row r="12" spans="1:16" ht="16.5" thickBot="1" x14ac:dyDescent="0.3">
      <c r="H12">
        <v>400</v>
      </c>
      <c r="P12" s="89" t="s">
        <v>117</v>
      </c>
    </row>
    <row r="13" spans="1:16" ht="15.75" thickBot="1" x14ac:dyDescent="0.3">
      <c r="H13">
        <v>450</v>
      </c>
      <c r="P13" s="88" t="s">
        <v>118</v>
      </c>
    </row>
    <row r="14" spans="1:16" ht="15.75" thickBot="1" x14ac:dyDescent="0.3">
      <c r="H14">
        <v>500</v>
      </c>
      <c r="P14" s="88" t="s">
        <v>95</v>
      </c>
    </row>
    <row r="15" spans="1:16" ht="15.75" thickBot="1" x14ac:dyDescent="0.3">
      <c r="H15">
        <v>550</v>
      </c>
      <c r="P15" s="88" t="s">
        <v>96</v>
      </c>
    </row>
    <row r="16" spans="1:16" ht="15.75" thickBot="1" x14ac:dyDescent="0.3">
      <c r="H16">
        <v>600</v>
      </c>
      <c r="P16" s="88" t="s">
        <v>97</v>
      </c>
    </row>
    <row r="17" spans="8:16" ht="15.75" thickBot="1" x14ac:dyDescent="0.3">
      <c r="H17">
        <v>650</v>
      </c>
      <c r="P17" s="88" t="s">
        <v>98</v>
      </c>
    </row>
    <row r="18" spans="8:16" ht="15.75" thickBot="1" x14ac:dyDescent="0.3">
      <c r="H18">
        <v>700</v>
      </c>
      <c r="P18" s="88" t="s">
        <v>99</v>
      </c>
    </row>
    <row r="19" spans="8:16" ht="15.75" thickBot="1" x14ac:dyDescent="0.3">
      <c r="H19">
        <v>750</v>
      </c>
      <c r="P19" s="88" t="s">
        <v>100</v>
      </c>
    </row>
    <row r="20" spans="8:16" ht="15.75" thickBot="1" x14ac:dyDescent="0.3">
      <c r="H20">
        <v>800</v>
      </c>
      <c r="P20" s="88" t="s">
        <v>119</v>
      </c>
    </row>
    <row r="21" spans="8:16" ht="15.75" thickBot="1" x14ac:dyDescent="0.3">
      <c r="H21">
        <v>900</v>
      </c>
      <c r="P21" s="88" t="s">
        <v>120</v>
      </c>
    </row>
    <row r="22" spans="8:16" x14ac:dyDescent="0.25">
      <c r="H22">
        <v>1000</v>
      </c>
      <c r="P22" s="90" t="s">
        <v>110</v>
      </c>
    </row>
    <row r="23" spans="8:16" x14ac:dyDescent="0.25">
      <c r="H23">
        <v>1250</v>
      </c>
      <c r="P23" s="90"/>
    </row>
    <row r="24" spans="8:16" x14ac:dyDescent="0.25">
      <c r="H24">
        <v>1500</v>
      </c>
      <c r="P24" s="91"/>
    </row>
    <row r="25" spans="8:16" x14ac:dyDescent="0.25">
      <c r="P25" s="92"/>
    </row>
  </sheetData>
  <hyperlinks>
    <hyperlink ref="P3" location="_ENREF_6" tooltip="Elder, 1959 #121" display="_ENREF_6"/>
    <hyperlink ref="P4" location="_ENREF_8" tooltip="Fischer, 1966 #31" display="_ENREF_8"/>
    <hyperlink ref="P5" location="_ENREF_16" tooltip="McQuivey, 1974 #104" display="_ENREF_16"/>
    <hyperlink ref="P6" location="_ENREF_9" tooltip="Fischer, 1975 #40" display="_ENREF_9"/>
    <hyperlink ref="P7" location="_ENREF_15" tooltip="Liu, 1977 #103" display="_ENREF_15"/>
    <hyperlink ref="P8" location="_ENREF_13" tooltip="Koussis, 1988 #101" display="_ENREF_13"/>
    <hyperlink ref="P9" location="_ENREF_11" tooltip="Iwasa, 1991 #68" display="_ENREF_11"/>
    <hyperlink ref="P10" location="_ENREF_20" tooltip="Seo, 1998 #95" display="_ENREF_20"/>
    <hyperlink ref="P11" location="_ENREF_14" tooltip="Li, 1998 #106" display="_ENREF_14"/>
    <hyperlink ref="P13" location="_ENREF_4" tooltip="Deng, 2001 #65" display="_ENREF_4"/>
    <hyperlink ref="P14" location="_ENREF_12" tooltip="Kashefipour, 2002 #84" display="_ENREF_12"/>
    <hyperlink ref="P15" location="_ENREF_22" tooltip="Tavakollizadeh, 2007 #108" display="_ENREF_22"/>
    <hyperlink ref="P16" location="_ENREF_19" tooltip="Sahay, 2009 #64" display="_ENREF_19"/>
    <hyperlink ref="P17" location="_ENREF_2" tooltip="Azamathulla, 2011 #110" display="_ENREF_2"/>
    <hyperlink ref="P18" location="_ENREF_7" tooltip="Etemadshahidi, 2012 #78" display="_ENREF_7"/>
    <hyperlink ref="P19" location="_ENREF_23" tooltip="Zeng, 2014 #101" display="_ENREF_23"/>
    <hyperlink ref="P20" location="_ENREF_5" tooltip="Disley, 2015 #18" display="_ENREF_5"/>
    <hyperlink ref="P21" location="_ENREF_17" tooltip="Noori, 2017 #112" display="_ENREF_17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A2" sqref="A2:S9"/>
    </sheetView>
  </sheetViews>
  <sheetFormatPr defaultRowHeight="15" x14ac:dyDescent="0.25"/>
  <cols>
    <col min="1" max="1" width="12" bestFit="1" customWidth="1"/>
    <col min="2" max="2" width="13.28515625" bestFit="1" customWidth="1"/>
    <col min="3" max="3" width="12.5703125" customWidth="1"/>
    <col min="4" max="4" width="13.28515625" bestFit="1" customWidth="1"/>
    <col min="5" max="5" width="12" bestFit="1" customWidth="1"/>
    <col min="6" max="6" width="15.42578125" customWidth="1"/>
    <col min="7" max="7" width="14.140625" customWidth="1"/>
    <col min="8" max="8" width="10.28515625" customWidth="1"/>
    <col min="9" max="9" width="9.5703125" customWidth="1"/>
    <col min="10" max="10" width="10.7109375" customWidth="1"/>
    <col min="11" max="11" width="9.7109375" customWidth="1"/>
    <col min="12" max="12" width="13.85546875" customWidth="1"/>
    <col min="13" max="13" width="17.5703125" customWidth="1"/>
    <col min="14" max="14" width="13.42578125" customWidth="1"/>
    <col min="15" max="15" width="14" customWidth="1"/>
    <col min="16" max="16" width="13.140625" customWidth="1"/>
    <col min="17" max="17" width="12.5703125" customWidth="1"/>
    <col min="18" max="18" width="11.28515625" customWidth="1"/>
    <col min="19" max="19" width="10.7109375" customWidth="1"/>
  </cols>
  <sheetData>
    <row r="1" spans="1:19" s="98" customFormat="1" ht="60" x14ac:dyDescent="0.25">
      <c r="A1" s="98" t="s">
        <v>85</v>
      </c>
      <c r="B1" s="98" t="s">
        <v>86</v>
      </c>
      <c r="C1" s="98" t="s">
        <v>87</v>
      </c>
      <c r="D1" s="98" t="s">
        <v>88</v>
      </c>
      <c r="E1" s="98" t="s">
        <v>89</v>
      </c>
      <c r="F1" s="98" t="s">
        <v>90</v>
      </c>
      <c r="G1" s="98" t="s">
        <v>91</v>
      </c>
      <c r="H1" s="98" t="s">
        <v>92</v>
      </c>
      <c r="I1" s="98" t="s">
        <v>93</v>
      </c>
      <c r="J1" s="98" t="s">
        <v>115</v>
      </c>
      <c r="K1" s="98" t="s">
        <v>94</v>
      </c>
      <c r="L1" s="98" t="s">
        <v>95</v>
      </c>
      <c r="M1" s="98" t="s">
        <v>96</v>
      </c>
      <c r="N1" s="98" t="s">
        <v>97</v>
      </c>
      <c r="O1" s="98" t="s">
        <v>98</v>
      </c>
      <c r="P1" s="98" t="s">
        <v>99</v>
      </c>
      <c r="Q1" s="98" t="s">
        <v>100</v>
      </c>
      <c r="R1" s="98" t="s">
        <v>101</v>
      </c>
      <c r="S1" s="98" t="s">
        <v>102</v>
      </c>
    </row>
    <row r="2" spans="1:19" x14ac:dyDescent="0.25">
      <c r="A2">
        <v>0.68015664268852827</v>
      </c>
      <c r="B2">
        <v>28625.050200190482</v>
      </c>
      <c r="C2">
        <v>7.5719455818316364E-2</v>
      </c>
      <c r="D2">
        <v>14.381730614658528</v>
      </c>
      <c r="E2">
        <v>8397713719.6893826</v>
      </c>
      <c r="F2">
        <v>16659637699.36138</v>
      </c>
      <c r="G2">
        <v>53.346954629423969</v>
      </c>
      <c r="H2">
        <v>24.944368285190407</v>
      </c>
      <c r="I2">
        <v>8.9633660700929063</v>
      </c>
      <c r="J2">
        <v>1.7314104976385134</v>
      </c>
      <c r="K2">
        <v>27.52928439270714</v>
      </c>
      <c r="L2">
        <v>15.313694228549927</v>
      </c>
      <c r="M2">
        <v>41.108331001401368</v>
      </c>
      <c r="N2">
        <v>27.453400050271661</v>
      </c>
      <c r="O2">
        <v>5.4214850129549559</v>
      </c>
      <c r="P2">
        <v>35.884936034862996</v>
      </c>
      <c r="Q2">
        <v>9.014130288461315</v>
      </c>
      <c r="R2">
        <v>21.676550151409781</v>
      </c>
      <c r="S2">
        <v>13.942155495606716</v>
      </c>
    </row>
    <row r="3" spans="1:19" x14ac:dyDescent="0.25">
      <c r="A3">
        <v>0.31322849740396147</v>
      </c>
      <c r="B3">
        <v>68852.677170974173</v>
      </c>
      <c r="C3">
        <v>0.12293688374554616</v>
      </c>
      <c r="D3">
        <v>36.525382552168367</v>
      </c>
      <c r="E3">
        <v>1191998690413.3914</v>
      </c>
      <c r="F3">
        <v>1694556080269.5063</v>
      </c>
      <c r="G3">
        <v>32.534000789767745</v>
      </c>
      <c r="H3">
        <v>33.417506117698331</v>
      </c>
      <c r="I3">
        <v>11.715853656867665</v>
      </c>
      <c r="J3">
        <v>1.0141777360050148</v>
      </c>
      <c r="K3">
        <v>38.84840735065351</v>
      </c>
      <c r="L3">
        <v>23.277590695310806</v>
      </c>
      <c r="M3">
        <v>116.47353178631496</v>
      </c>
      <c r="N3">
        <v>34.811568463568335</v>
      </c>
      <c r="O3">
        <v>10.147704164784699</v>
      </c>
      <c r="P3">
        <v>32.643688089241856</v>
      </c>
      <c r="Q3">
        <v>5.1609111854629521</v>
      </c>
      <c r="R3">
        <v>20.812053037658316</v>
      </c>
      <c r="S3">
        <v>16.388113959583489</v>
      </c>
    </row>
    <row r="4" spans="1:19" x14ac:dyDescent="0.25">
      <c r="A4">
        <v>0.26698111766955995</v>
      </c>
      <c r="B4">
        <v>39274.013348111286</v>
      </c>
      <c r="C4">
        <v>0.29774150721407944</v>
      </c>
      <c r="D4">
        <v>33.390806589551822</v>
      </c>
      <c r="E4">
        <v>12738920.171506403</v>
      </c>
      <c r="F4">
        <v>14182975.825430201</v>
      </c>
      <c r="G4">
        <v>14.03880466851562</v>
      </c>
      <c r="H4">
        <v>43.206819882737427</v>
      </c>
      <c r="I4">
        <v>9.9525069786968974</v>
      </c>
      <c r="J4">
        <v>0.48228789072402922</v>
      </c>
      <c r="K4">
        <v>45.241875502440102</v>
      </c>
      <c r="L4">
        <v>41.63305266191491</v>
      </c>
      <c r="M4">
        <v>276.74217753538369</v>
      </c>
      <c r="N4">
        <v>35.359440679528277</v>
      </c>
      <c r="O4">
        <v>65535</v>
      </c>
      <c r="P4">
        <v>31.962756249979922</v>
      </c>
      <c r="Q4">
        <v>3.4118064406572564</v>
      </c>
      <c r="R4">
        <v>23.866176447391744</v>
      </c>
      <c r="S4">
        <v>15.377687775050815</v>
      </c>
    </row>
    <row r="5" spans="1:19" x14ac:dyDescent="0.25">
      <c r="A5">
        <v>0.35933783316164253</v>
      </c>
      <c r="B5">
        <v>64026.44107621452</v>
      </c>
      <c r="C5">
        <v>0.2196960007178472</v>
      </c>
      <c r="D5">
        <v>20.372935049446575</v>
      </c>
      <c r="E5">
        <v>11660815.389813524</v>
      </c>
      <c r="F5">
        <v>15746001.233835166</v>
      </c>
      <c r="G5">
        <v>18.624112795831529</v>
      </c>
      <c r="H5">
        <v>33.314135015728112</v>
      </c>
      <c r="I5">
        <v>8.3248995491209179</v>
      </c>
      <c r="J5">
        <v>0.62146782257943423</v>
      </c>
      <c r="K5">
        <v>35.177546386489475</v>
      </c>
      <c r="L5">
        <v>28.096184267128709</v>
      </c>
      <c r="M5">
        <v>131.99859525068348</v>
      </c>
      <c r="N5">
        <v>29.10676961852668</v>
      </c>
      <c r="O5">
        <v>149551654.81536677</v>
      </c>
      <c r="P5">
        <v>30.806528017469848</v>
      </c>
      <c r="Q5">
        <v>4.3379828015827844</v>
      </c>
      <c r="R5">
        <v>23.551261448561682</v>
      </c>
      <c r="S5">
        <v>13.278955923320112</v>
      </c>
    </row>
    <row r="6" spans="1:19" x14ac:dyDescent="0.25">
      <c r="A6">
        <v>0.34387364708602081</v>
      </c>
      <c r="B6">
        <v>9147441664.3559856</v>
      </c>
      <c r="C6">
        <v>0.16127039307728611</v>
      </c>
      <c r="D6">
        <v>77.369606165605788</v>
      </c>
      <c r="E6">
        <v>1.9290048029375352E+18</v>
      </c>
      <c r="F6">
        <v>2.801819736520597E+18</v>
      </c>
      <c r="G6">
        <v>62.363966507937029</v>
      </c>
      <c r="H6">
        <v>43.443566400056703</v>
      </c>
      <c r="I6">
        <v>19.802115942320338</v>
      </c>
      <c r="J6">
        <v>1.4626982397490671</v>
      </c>
      <c r="K6">
        <v>51.712553908003869</v>
      </c>
      <c r="L6">
        <v>26.791796370902254</v>
      </c>
      <c r="M6">
        <v>141.35315939797886</v>
      </c>
      <c r="N6">
        <v>51.744233499347608</v>
      </c>
      <c r="O6">
        <v>18.279787512399285</v>
      </c>
      <c r="P6">
        <v>43.34296430768245</v>
      </c>
      <c r="Q6">
        <v>7.3080205694117195</v>
      </c>
      <c r="R6">
        <v>33.465758842333642</v>
      </c>
      <c r="S6">
        <v>24.85729790564373</v>
      </c>
    </row>
    <row r="7" spans="1:19" x14ac:dyDescent="0.25">
      <c r="A7">
        <v>0.33506683054146424</v>
      </c>
      <c r="B7">
        <v>621158150.54461765</v>
      </c>
      <c r="C7">
        <v>0.10442477316346464</v>
      </c>
      <c r="D7">
        <v>60.174042250514447</v>
      </c>
      <c r="E7">
        <v>2.2739472572257246E+20</v>
      </c>
      <c r="F7">
        <v>3.6764427167066312E+20</v>
      </c>
      <c r="G7">
        <v>70.772994369132917</v>
      </c>
      <c r="H7">
        <v>33.197199515206243</v>
      </c>
      <c r="I7">
        <v>17.026340576566227</v>
      </c>
      <c r="J7">
        <v>1.6960669498047289</v>
      </c>
      <c r="K7">
        <v>41.144595726212735</v>
      </c>
      <c r="L7">
        <v>18.926217222075252</v>
      </c>
      <c r="M7">
        <v>84.482643114858618</v>
      </c>
      <c r="N7">
        <v>42.521834635580191</v>
      </c>
      <c r="O7">
        <v>1.3901698702784904</v>
      </c>
      <c r="P7">
        <v>37.450196851082339</v>
      </c>
      <c r="Q7">
        <v>7.4357658243047737</v>
      </c>
      <c r="R7">
        <v>27.08994181247148</v>
      </c>
      <c r="S7">
        <v>21.067085368232753</v>
      </c>
    </row>
    <row r="8" spans="1:19" x14ac:dyDescent="0.25">
      <c r="A8">
        <v>0.45280611092443795</v>
      </c>
      <c r="B8">
        <v>2723227.9512344319</v>
      </c>
      <c r="C8">
        <v>0.17333530579880232</v>
      </c>
      <c r="D8">
        <v>27.460498428617271</v>
      </c>
      <c r="E8">
        <v>7078511204.2171917</v>
      </c>
      <c r="F8">
        <v>10784896704.219383</v>
      </c>
      <c r="G8">
        <v>35.458238134848095</v>
      </c>
      <c r="H8">
        <v>35.26734159215561</v>
      </c>
      <c r="I8">
        <v>11.227535573950105</v>
      </c>
      <c r="J8">
        <v>1.0291592446967921</v>
      </c>
      <c r="K8">
        <v>39.998500617030622</v>
      </c>
      <c r="L8">
        <v>25.0441175460994</v>
      </c>
      <c r="M8">
        <v>103.21750311087098</v>
      </c>
      <c r="N8">
        <v>35.320773438636586</v>
      </c>
      <c r="O8">
        <v>-6.9202824218865526</v>
      </c>
      <c r="P8">
        <v>37.394201405106315</v>
      </c>
      <c r="Q8">
        <v>6.422533260982461</v>
      </c>
      <c r="R8">
        <v>28.194582095621172</v>
      </c>
      <c r="S8">
        <v>16.791435597158287</v>
      </c>
    </row>
    <row r="9" spans="1:19" x14ac:dyDescent="0.25">
      <c r="A9" t="e">
        <v>#N/A</v>
      </c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  <c r="S9" t="e">
        <v>#N/A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80</v>
      </c>
      <c r="L5" s="35">
        <v>16000</v>
      </c>
      <c r="M5" s="35">
        <v>27900</v>
      </c>
      <c r="N5" s="35">
        <v>36500</v>
      </c>
      <c r="O5" s="35">
        <v>49600</v>
      </c>
      <c r="P5" s="35">
        <v>57100</v>
      </c>
      <c r="Q5" s="35">
        <v>60000</v>
      </c>
      <c r="R5" s="36">
        <v>76600</v>
      </c>
    </row>
    <row r="6" spans="11:18" x14ac:dyDescent="0.25">
      <c r="K6" s="32" t="s">
        <v>75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33" t="s">
        <v>61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33" t="s">
        <v>66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33" t="s">
        <v>62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33" t="s">
        <v>63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33" t="s">
        <v>64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33" t="s">
        <v>65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34" t="s">
        <v>67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33" t="s">
        <v>68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6" t="s">
        <v>75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7" t="s">
        <v>76</v>
      </c>
      <c r="L19" s="29">
        <v>1.1000000000000001E-3</v>
      </c>
      <c r="M19" s="29">
        <v>8.0000000000000004E-4</v>
      </c>
      <c r="N19" s="29">
        <v>6.9999999999999999E-4</v>
      </c>
      <c r="O19" s="29">
        <v>6.4000000000000005E-4</v>
      </c>
      <c r="P19" s="29">
        <v>5.8E-4</v>
      </c>
      <c r="Q19" s="29">
        <v>5.6999999999999998E-4</v>
      </c>
      <c r="R19" s="31">
        <v>3.8999999999999999E-4</v>
      </c>
    </row>
    <row r="20" spans="6:18" ht="26.25" thickBot="1" x14ac:dyDescent="0.3">
      <c r="K20" s="27" t="s">
        <v>77</v>
      </c>
      <c r="L20" s="29">
        <v>7.46E-2</v>
      </c>
      <c r="M20" s="29">
        <v>5.62E-2</v>
      </c>
      <c r="N20" s="29">
        <v>4.9000000000000002E-2</v>
      </c>
      <c r="O20" s="29">
        <v>4.1799999999999997E-2</v>
      </c>
      <c r="P20" s="29">
        <v>3.918E-2</v>
      </c>
      <c r="Q20" s="29">
        <v>3.7999999999999999E-2</v>
      </c>
      <c r="R20" s="31">
        <v>2.0400000000000001E-2</v>
      </c>
    </row>
    <row r="21" spans="6:18" ht="26.25" thickBot="1" x14ac:dyDescent="0.3">
      <c r="K21" s="27" t="s">
        <v>79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40" t="s">
        <v>83</v>
      </c>
      <c r="G27" s="41">
        <v>16000</v>
      </c>
      <c r="H27" s="41">
        <v>27900</v>
      </c>
      <c r="I27" s="41">
        <v>36500</v>
      </c>
      <c r="J27" s="41">
        <v>49600</v>
      </c>
      <c r="K27" s="41">
        <v>57100</v>
      </c>
      <c r="L27" s="41">
        <v>60000</v>
      </c>
      <c r="M27" s="41">
        <v>76600</v>
      </c>
    </row>
    <row r="28" spans="6:18" ht="15.75" thickBot="1" x14ac:dyDescent="0.3">
      <c r="F28" s="42"/>
      <c r="G28" s="100" t="s">
        <v>84</v>
      </c>
      <c r="H28" s="101"/>
      <c r="I28" s="101"/>
      <c r="J28" s="101"/>
      <c r="K28" s="101"/>
      <c r="L28" s="101"/>
      <c r="M28" s="102"/>
    </row>
    <row r="29" spans="6:18" ht="15.75" thickBot="1" x14ac:dyDescent="0.3">
      <c r="F29" s="43" t="s">
        <v>75</v>
      </c>
      <c r="G29" s="44">
        <v>1.146E-2</v>
      </c>
      <c r="H29" s="44">
        <v>8.4089999999999998E-3</v>
      </c>
      <c r="I29" s="44">
        <v>7.2880000000000002E-3</v>
      </c>
      <c r="J29" s="44">
        <v>5.7679999999999997E-3</v>
      </c>
      <c r="K29" s="44">
        <v>4.3639999999999998E-3</v>
      </c>
      <c r="L29" s="44">
        <v>3.885E-3</v>
      </c>
      <c r="M29" s="44">
        <v>3.1909999999999998E-3</v>
      </c>
    </row>
    <row r="30" spans="6:18" ht="26.25" thickBot="1" x14ac:dyDescent="0.3">
      <c r="F30" s="43" t="s">
        <v>61</v>
      </c>
      <c r="G30" s="44">
        <v>7.4999999999999997E-2</v>
      </c>
      <c r="H30" s="44">
        <v>5.9499999999999997E-2</v>
      </c>
      <c r="I30" s="44">
        <v>5.2900000000000003E-2</v>
      </c>
      <c r="J30" s="44">
        <v>4.6210000000000001E-2</v>
      </c>
      <c r="K30" s="44">
        <v>4.3380000000000002E-2</v>
      </c>
      <c r="L30" s="44">
        <v>4.2430000000000002E-2</v>
      </c>
      <c r="M30" s="44">
        <v>1.941E-3</v>
      </c>
    </row>
    <row r="31" spans="6:18" ht="26.25" thickBot="1" x14ac:dyDescent="0.3">
      <c r="F31" s="43" t="s">
        <v>66</v>
      </c>
      <c r="G31" s="44">
        <v>3.8999999999999998E-3</v>
      </c>
      <c r="H31" s="44">
        <v>2.8999999999999998E-3</v>
      </c>
      <c r="I31" s="44">
        <v>2.5790000000000001E-3</v>
      </c>
      <c r="J31" s="44">
        <v>2.2200000000000002E-3</v>
      </c>
      <c r="K31" s="44">
        <v>2E-3</v>
      </c>
      <c r="L31" s="44">
        <v>1.9980000000000002E-3</v>
      </c>
      <c r="M31" s="44">
        <v>1.1000000000000001E-3</v>
      </c>
    </row>
    <row r="32" spans="6:18" ht="39" thickBot="1" x14ac:dyDescent="0.3">
      <c r="F32" s="43" t="s">
        <v>62</v>
      </c>
      <c r="G32" s="44">
        <v>3.4130000000000001E-2</v>
      </c>
      <c r="H32" s="44">
        <v>2.5899999999999999E-2</v>
      </c>
      <c r="I32" s="44">
        <v>2.2710000000000001E-2</v>
      </c>
      <c r="J32" s="44">
        <v>1.95E-2</v>
      </c>
      <c r="K32" s="44">
        <v>1.8180000000000002E-2</v>
      </c>
      <c r="L32" s="44">
        <v>1.7739999999999999E-2</v>
      </c>
      <c r="M32" s="44">
        <v>4.8999999999999998E-3</v>
      </c>
    </row>
    <row r="33" spans="6:13" ht="26.25" thickBot="1" x14ac:dyDescent="0.3">
      <c r="F33" s="43" t="s">
        <v>63</v>
      </c>
      <c r="G33" s="44">
        <v>3.7019999999999997E-2</v>
      </c>
      <c r="H33" s="44">
        <v>2.818E-2</v>
      </c>
      <c r="I33" s="44">
        <v>2.4639999999999999E-2</v>
      </c>
      <c r="J33" s="44">
        <v>2.12E-2</v>
      </c>
      <c r="K33" s="44">
        <v>1.9789999999999999E-2</v>
      </c>
      <c r="L33" s="44">
        <v>1.9269999999999999E-2</v>
      </c>
      <c r="M33" s="44">
        <v>6.3099999999999996E-3</v>
      </c>
    </row>
    <row r="34" spans="6:13" ht="51.75" thickBot="1" x14ac:dyDescent="0.3">
      <c r="F34" s="43" t="s">
        <v>64</v>
      </c>
      <c r="G34" s="44">
        <v>5.4809999999999998E-2</v>
      </c>
      <c r="H34" s="44">
        <v>4.2220000000000001E-2</v>
      </c>
      <c r="I34" s="44">
        <v>3.7100000000000001E-2</v>
      </c>
      <c r="J34" s="44">
        <v>3.2000000000000001E-2</v>
      </c>
      <c r="K34" s="44">
        <v>2.9940000000000001E-2</v>
      </c>
      <c r="L34" s="44">
        <v>2.92E-2</v>
      </c>
      <c r="M34" s="44">
        <v>4.5199999999999997E-3</v>
      </c>
    </row>
    <row r="35" spans="6:13" ht="39" thickBot="1" x14ac:dyDescent="0.3">
      <c r="F35" s="43" t="s">
        <v>65</v>
      </c>
      <c r="G35" s="44">
        <v>2.726E-2</v>
      </c>
      <c r="H35" s="44">
        <v>2.06E-2</v>
      </c>
      <c r="I35" s="44">
        <v>1.8069999999999999E-2</v>
      </c>
      <c r="J35" s="44">
        <v>1.5509999999999999E-2</v>
      </c>
      <c r="K35" s="44">
        <v>1.447E-2</v>
      </c>
      <c r="L35" s="44">
        <v>1.41E-2</v>
      </c>
      <c r="M35" s="44">
        <v>6.4000000000000003E-3</v>
      </c>
    </row>
    <row r="36" spans="6:13" ht="51.75" thickBot="1" x14ac:dyDescent="0.3">
      <c r="F36" s="43" t="s">
        <v>67</v>
      </c>
      <c r="G36" s="44">
        <v>1.4800000000000001E-2</v>
      </c>
      <c r="H36" s="44">
        <v>1.12E-2</v>
      </c>
      <c r="I36" s="44">
        <v>9.7900000000000001E-3</v>
      </c>
      <c r="J36" s="44">
        <v>8.3899999999999999E-3</v>
      </c>
      <c r="K36" s="44">
        <v>7.8189999999999996E-3</v>
      </c>
      <c r="L36" s="44">
        <v>7.62E-3</v>
      </c>
      <c r="M36" s="44">
        <v>4.2069999999999998E-3</v>
      </c>
    </row>
    <row r="37" spans="6:13" ht="26.25" thickBot="1" x14ac:dyDescent="0.3">
      <c r="F37" s="43" t="s">
        <v>68</v>
      </c>
      <c r="G37" s="45">
        <v>1.0999999999999999E-2</v>
      </c>
      <c r="H37" s="45">
        <v>8.3999999999999995E-3</v>
      </c>
      <c r="I37" s="45">
        <v>7.3600000000000002E-3</v>
      </c>
      <c r="J37" s="45">
        <v>6.3E-3</v>
      </c>
      <c r="K37" s="45">
        <v>5.7999999999999996E-3</v>
      </c>
      <c r="L37" s="45">
        <v>5.7000000000000002E-3</v>
      </c>
      <c r="M37" s="45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80</v>
      </c>
      <c r="J3">
        <v>1900</v>
      </c>
      <c r="K3">
        <v>10300</v>
      </c>
      <c r="M3" t="s">
        <v>80</v>
      </c>
      <c r="N3">
        <v>1900</v>
      </c>
      <c r="O3">
        <v>49900</v>
      </c>
    </row>
    <row r="4" spans="9:15" x14ac:dyDescent="0.25">
      <c r="I4" t="s">
        <v>75</v>
      </c>
      <c r="J4">
        <v>2.512E-2</v>
      </c>
      <c r="K4">
        <v>7.7607692307692308E-3</v>
      </c>
      <c r="M4" t="s">
        <v>75</v>
      </c>
      <c r="N4">
        <v>7.0699999999999999E-2</v>
      </c>
      <c r="O4">
        <v>6.6E-3</v>
      </c>
    </row>
    <row r="5" spans="9:15" x14ac:dyDescent="0.25">
      <c r="I5" t="s">
        <v>61</v>
      </c>
      <c r="J5">
        <v>1.5980000000000001E-2</v>
      </c>
      <c r="K5">
        <v>1.74E-3</v>
      </c>
      <c r="M5" t="s">
        <v>61</v>
      </c>
      <c r="N5">
        <v>2.4400000000000002E-2</v>
      </c>
      <c r="O5">
        <v>1.2700000000000001E-3</v>
      </c>
    </row>
    <row r="6" spans="9:15" x14ac:dyDescent="0.25">
      <c r="I6" t="s">
        <v>66</v>
      </c>
      <c r="J6">
        <v>2E-3</v>
      </c>
      <c r="K6">
        <v>4.2069999999999998E-4</v>
      </c>
      <c r="M6" t="s">
        <v>66</v>
      </c>
      <c r="N6">
        <v>7.4999999999999997E-2</v>
      </c>
      <c r="O6">
        <v>9.5999999999999992E-3</v>
      </c>
    </row>
    <row r="7" spans="9:15" x14ac:dyDescent="0.25">
      <c r="I7" t="s">
        <v>62</v>
      </c>
      <c r="J7">
        <v>1.6379999999999999E-2</v>
      </c>
      <c r="K7">
        <v>1.6100000000000001E-3</v>
      </c>
      <c r="M7" t="s">
        <v>62</v>
      </c>
      <c r="N7">
        <v>0.03</v>
      </c>
      <c r="O7">
        <v>6.6E-3</v>
      </c>
    </row>
    <row r="8" spans="9:15" x14ac:dyDescent="0.25">
      <c r="I8" t="s">
        <v>63</v>
      </c>
      <c r="J8">
        <v>1.2880000000000001E-2</v>
      </c>
      <c r="K8">
        <v>1.6000000000000001E-3</v>
      </c>
      <c r="M8" t="s">
        <v>63</v>
      </c>
      <c r="N8">
        <v>5.5E-2</v>
      </c>
      <c r="O8">
        <v>5.7000000000000002E-3</v>
      </c>
    </row>
    <row r="9" spans="9:15" x14ac:dyDescent="0.25">
      <c r="I9" t="s">
        <v>64</v>
      </c>
      <c r="J9">
        <v>7.0000000000000007E-2</v>
      </c>
      <c r="K9">
        <v>1.315E-4</v>
      </c>
      <c r="M9" t="s">
        <v>64</v>
      </c>
      <c r="N9">
        <v>0.12989999999999999</v>
      </c>
      <c r="O9">
        <v>2.3E-2</v>
      </c>
    </row>
    <row r="10" spans="9:15" x14ac:dyDescent="0.25">
      <c r="I10" t="s">
        <v>65</v>
      </c>
      <c r="J10">
        <v>1.0999999999999999E-2</v>
      </c>
      <c r="K10">
        <v>1.8E-3</v>
      </c>
      <c r="M10" t="s">
        <v>65</v>
      </c>
      <c r="N10">
        <v>5.4199999999999998E-2</v>
      </c>
      <c r="O10">
        <v>5.4999999999999997E-3</v>
      </c>
    </row>
    <row r="11" spans="9:15" x14ac:dyDescent="0.25">
      <c r="I11" t="s">
        <v>67</v>
      </c>
      <c r="J11">
        <v>8.0000000000000002E-3</v>
      </c>
      <c r="K11">
        <v>1.5E-3</v>
      </c>
      <c r="M11" t="s">
        <v>67</v>
      </c>
      <c r="N11">
        <v>7.9000000000000001E-2</v>
      </c>
      <c r="O11">
        <v>1.465E-2</v>
      </c>
    </row>
    <row r="12" spans="9:15" x14ac:dyDescent="0.25">
      <c r="I12" t="s">
        <v>68</v>
      </c>
      <c r="J12">
        <v>5.816E-3</v>
      </c>
      <c r="K12">
        <v>1.33E-3</v>
      </c>
      <c r="M12" t="s">
        <v>68</v>
      </c>
      <c r="N12">
        <v>5.1999999999999998E-2</v>
      </c>
      <c r="O12">
        <v>9.7999999999999997E-3</v>
      </c>
    </row>
    <row r="16" spans="9:15" x14ac:dyDescent="0.25">
      <c r="I16" t="s">
        <v>75</v>
      </c>
      <c r="J16">
        <v>2.512E-2</v>
      </c>
      <c r="K16">
        <v>7.7607692307692308E-3</v>
      </c>
    </row>
    <row r="17" spans="9:11" x14ac:dyDescent="0.25">
      <c r="I17" t="s">
        <v>76</v>
      </c>
      <c r="J17">
        <v>2.3999999999999998E-3</v>
      </c>
      <c r="K17">
        <v>2.0000000000000001E-4</v>
      </c>
    </row>
    <row r="18" spans="9:11" x14ac:dyDescent="0.25">
      <c r="I18" t="s">
        <v>77</v>
      </c>
      <c r="J18">
        <v>0.159</v>
      </c>
      <c r="K18">
        <v>1.375E-2</v>
      </c>
    </row>
    <row r="19" spans="9:11" x14ac:dyDescent="0.25">
      <c r="I19" t="s">
        <v>79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6" t="s">
        <v>75</v>
      </c>
      <c r="B1" s="27" t="s">
        <v>76</v>
      </c>
      <c r="C1" s="27" t="s">
        <v>77</v>
      </c>
      <c r="D1" s="27" t="s">
        <v>78</v>
      </c>
      <c r="E1" s="27" t="s">
        <v>79</v>
      </c>
    </row>
    <row r="2" spans="1:17" ht="15.75" thickBot="1" x14ac:dyDescent="0.3">
      <c r="A2" s="28">
        <v>1.051031378</v>
      </c>
      <c r="B2" s="29">
        <v>0.25</v>
      </c>
      <c r="C2" s="29">
        <v>4</v>
      </c>
      <c r="D2" s="29">
        <v>0.53800000000000003</v>
      </c>
      <c r="E2" s="29">
        <v>1.4670000000000001</v>
      </c>
    </row>
    <row r="3" spans="1:17" ht="15.75" thickBot="1" x14ac:dyDescent="0.3">
      <c r="A3" s="28">
        <v>0.225274538</v>
      </c>
      <c r="B3" s="29">
        <v>4.4999999999999998E-2</v>
      </c>
      <c r="C3" s="29">
        <v>1.0620000000000001</v>
      </c>
      <c r="D3" s="29">
        <v>7.0000000000000007E-2</v>
      </c>
      <c r="E3" s="29">
        <v>0.23400000000000001</v>
      </c>
    </row>
    <row r="4" spans="1:17" ht="15.75" thickBot="1" x14ac:dyDescent="0.3">
      <c r="A4" s="28">
        <v>0.110535912</v>
      </c>
      <c r="B4" s="29">
        <v>1.5599999999999999E-2</v>
      </c>
      <c r="C4" s="29">
        <v>0.36499999999999999</v>
      </c>
      <c r="D4" s="29">
        <v>2.4799999999999999E-2</v>
      </c>
      <c r="E4" s="29">
        <v>8.3000000000000004E-2</v>
      </c>
    </row>
    <row r="5" spans="1:17" ht="15.75" thickBot="1" x14ac:dyDescent="0.3">
      <c r="A5" s="28">
        <v>5.8002663000000003E-2</v>
      </c>
      <c r="B5" s="29">
        <v>8.9999999999999993E-3</v>
      </c>
      <c r="C5" s="29">
        <v>0.23100000000000001</v>
      </c>
      <c r="D5" s="29">
        <v>1.54E-2</v>
      </c>
      <c r="E5" s="29">
        <v>5.0999999999999997E-2</v>
      </c>
    </row>
    <row r="6" spans="1:17" ht="15.75" thickBot="1" x14ac:dyDescent="0.3">
      <c r="A6" s="28">
        <v>3.4605404999999999E-2</v>
      </c>
      <c r="B6" s="29">
        <v>7.0000000000000001E-3</v>
      </c>
      <c r="C6" s="29">
        <v>0.16900000000000001</v>
      </c>
      <c r="D6" s="29">
        <v>1.1299999999999999E-2</v>
      </c>
      <c r="E6" s="29">
        <v>3.6999999999999998E-2</v>
      </c>
    </row>
    <row r="7" spans="1:17" ht="15.75" thickBot="1" x14ac:dyDescent="0.3">
      <c r="A7" s="28">
        <v>2.1080000000000002E-2</v>
      </c>
      <c r="B7" s="29">
        <v>6.0000000000000001E-3</v>
      </c>
      <c r="C7" s="29">
        <v>0.14000000000000001</v>
      </c>
      <c r="D7" s="29">
        <v>8.9999999999999993E-3</v>
      </c>
      <c r="E7" s="29">
        <v>0.03</v>
      </c>
    </row>
    <row r="8" spans="1:17" ht="15.75" thickBot="1" x14ac:dyDescent="0.3">
      <c r="A8" s="30">
        <v>2.0655E-2</v>
      </c>
      <c r="B8" s="31">
        <v>5.0000000000000001E-3</v>
      </c>
      <c r="C8" s="31">
        <v>0.124</v>
      </c>
      <c r="D8" s="31">
        <v>8.0000000000000002E-3</v>
      </c>
      <c r="E8" s="31">
        <v>2.6700000000000002E-2</v>
      </c>
    </row>
    <row r="10" spans="1:17" x14ac:dyDescent="0.25">
      <c r="F10" t="s">
        <v>80</v>
      </c>
      <c r="G10" s="35">
        <v>210</v>
      </c>
      <c r="H10" s="35">
        <v>1175</v>
      </c>
      <c r="I10" s="35">
        <v>2875</v>
      </c>
      <c r="J10" s="35">
        <v>5275</v>
      </c>
      <c r="K10" s="35">
        <v>7775</v>
      </c>
      <c r="L10" s="35">
        <v>10275</v>
      </c>
      <c r="M10" s="36">
        <v>13775</v>
      </c>
    </row>
    <row r="11" spans="1:17" x14ac:dyDescent="0.25">
      <c r="F11" s="32" t="s">
        <v>75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33" t="s">
        <v>61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33" t="s">
        <v>66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7"/>
    </row>
    <row r="14" spans="1:17" ht="30.75" thickBot="1" x14ac:dyDescent="0.3">
      <c r="F14" s="33" t="s">
        <v>62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38"/>
    </row>
    <row r="15" spans="1:17" ht="15.75" thickBot="1" x14ac:dyDescent="0.3">
      <c r="F15" s="33" t="s">
        <v>63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38"/>
    </row>
    <row r="16" spans="1:17" ht="30.75" thickBot="1" x14ac:dyDescent="0.3">
      <c r="F16" s="33" t="s">
        <v>64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38"/>
    </row>
    <row r="17" spans="6:17" ht="30.75" thickBot="1" x14ac:dyDescent="0.3">
      <c r="F17" s="33" t="s">
        <v>65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38"/>
    </row>
    <row r="18" spans="6:17" ht="30.75" thickBot="1" x14ac:dyDescent="0.3">
      <c r="F18" s="34" t="s">
        <v>67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38"/>
    </row>
    <row r="19" spans="6:17" ht="30.75" thickBot="1" x14ac:dyDescent="0.3">
      <c r="F19" s="33" t="s">
        <v>68</v>
      </c>
      <c r="G19" s="37">
        <v>1.4670000000000001</v>
      </c>
      <c r="H19" s="38">
        <v>0.23400000000000001</v>
      </c>
      <c r="I19" s="38">
        <v>8.3000000000000004E-2</v>
      </c>
      <c r="J19" s="38">
        <v>5.0999999999999997E-2</v>
      </c>
      <c r="K19" s="38">
        <v>3.6999999999999998E-2</v>
      </c>
      <c r="L19" s="38">
        <v>0.03</v>
      </c>
      <c r="M19" s="39">
        <v>2.6700000000000002E-2</v>
      </c>
      <c r="Q19" s="39"/>
    </row>
    <row r="22" spans="6:17" ht="15.75" thickBot="1" x14ac:dyDescent="0.3"/>
    <row r="23" spans="6:17" ht="15.75" thickBot="1" x14ac:dyDescent="0.3">
      <c r="F23" s="26" t="s">
        <v>75</v>
      </c>
      <c r="G23" s="28">
        <v>1.051031378</v>
      </c>
      <c r="H23" s="28">
        <v>0.225274538</v>
      </c>
      <c r="I23" s="28">
        <v>0.110535912</v>
      </c>
      <c r="J23" s="28">
        <v>5.8002663000000003E-2</v>
      </c>
      <c r="K23" s="28">
        <v>3.4605404999999999E-2</v>
      </c>
      <c r="L23" s="28">
        <v>2.1080000000000002E-2</v>
      </c>
      <c r="M23" s="30">
        <v>2.0655E-2</v>
      </c>
    </row>
    <row r="24" spans="6:17" ht="26.25" thickBot="1" x14ac:dyDescent="0.3">
      <c r="F24" s="27" t="s">
        <v>76</v>
      </c>
      <c r="G24" s="29">
        <v>0.25</v>
      </c>
      <c r="H24" s="29">
        <v>4.4999999999999998E-2</v>
      </c>
      <c r="I24" s="29">
        <v>1.5599999999999999E-2</v>
      </c>
      <c r="J24" s="29">
        <v>8.9999999999999993E-3</v>
      </c>
      <c r="K24" s="29">
        <v>7.0000000000000001E-3</v>
      </c>
      <c r="L24" s="29">
        <v>6.0000000000000001E-3</v>
      </c>
      <c r="M24" s="31">
        <v>5.0000000000000001E-3</v>
      </c>
    </row>
    <row r="25" spans="6:17" ht="26.25" thickBot="1" x14ac:dyDescent="0.3">
      <c r="F25" s="27" t="s">
        <v>77</v>
      </c>
      <c r="G25" s="29">
        <v>4</v>
      </c>
      <c r="H25" s="29">
        <v>1.0620000000000001</v>
      </c>
      <c r="I25" s="29">
        <v>0.36499999999999999</v>
      </c>
      <c r="J25" s="29">
        <v>0.23100000000000001</v>
      </c>
      <c r="K25" s="29">
        <v>0.16900000000000001</v>
      </c>
      <c r="L25" s="29">
        <v>0.14000000000000001</v>
      </c>
      <c r="M25" s="31">
        <v>0.124</v>
      </c>
    </row>
    <row r="26" spans="6:17" ht="26.25" thickBot="1" x14ac:dyDescent="0.3">
      <c r="F26" s="27" t="s">
        <v>78</v>
      </c>
      <c r="G26" s="29">
        <v>0.53800000000000003</v>
      </c>
      <c r="H26" s="29">
        <v>7.0000000000000007E-2</v>
      </c>
      <c r="I26" s="29">
        <v>2.4799999999999999E-2</v>
      </c>
      <c r="J26" s="29">
        <v>1.54E-2</v>
      </c>
      <c r="K26" s="29">
        <v>1.1299999999999999E-2</v>
      </c>
      <c r="L26" s="29">
        <v>8.9999999999999993E-3</v>
      </c>
      <c r="M26" s="31">
        <v>8.0000000000000002E-3</v>
      </c>
    </row>
    <row r="27" spans="6:17" ht="26.25" thickBot="1" x14ac:dyDescent="0.3">
      <c r="F27" s="27" t="s">
        <v>79</v>
      </c>
      <c r="G27" s="29">
        <v>1.4670000000000001</v>
      </c>
      <c r="H27" s="29">
        <v>0.23400000000000001</v>
      </c>
      <c r="I27" s="29">
        <v>8.3000000000000004E-2</v>
      </c>
      <c r="J27" s="29">
        <v>5.0999999999999997E-2</v>
      </c>
      <c r="K27" s="29">
        <v>3.6999999999999998E-2</v>
      </c>
      <c r="L27" s="29">
        <v>0.03</v>
      </c>
      <c r="M27" s="31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'hidden tab'!_ftn1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2019-03-10T04:09:54Z</dcterms:modified>
</cp:coreProperties>
</file>