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iamri\OneDrive\Documents\"/>
    </mc:Choice>
  </mc:AlternateContent>
  <xr:revisionPtr revIDLastSave="0" documentId="13_ncr:1_{6307BF74-25F8-4F00-A622-DB53BE7414AA}" xr6:coauthVersionLast="47" xr6:coauthVersionMax="47" xr10:uidLastSave="{00000000-0000-0000-0000-000000000000}"/>
  <bookViews>
    <workbookView xWindow="-110" yWindow="-110" windowWidth="19420" windowHeight="10300" activeTab="1" xr2:uid="{844F7BDA-C5E6-477D-9AED-DCF630A4C11B}"/>
  </bookViews>
  <sheets>
    <sheet name="Dashboard" sheetId="22" r:id="rId1"/>
    <sheet name="Gainers" sheetId="15" r:id="rId2"/>
    <sheet name="Indexfunds" sheetId="23" state="hidden" r:id="rId3"/>
    <sheet name="Losers" sheetId="18" r:id="rId4"/>
    <sheet name="Activity" sheetId="20" r:id="rId5"/>
  </sheets>
  <definedNames>
    <definedName name="ExternalData_1" localSheetId="4" hidden="1">Activity!$B$2:$H$102</definedName>
    <definedName name="ExternalData_1" localSheetId="1" hidden="1">Gainers!$D$2:$J$102</definedName>
    <definedName name="ExternalData_1" localSheetId="3" hidden="1">Losers!$D$2:$K$22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5" l="1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B3" i="18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H3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L2" i="22"/>
  <c r="G2" i="22"/>
  <c r="B2" i="22"/>
  <c r="F4" i="23" a="1"/>
  <c r="F4" i="23" s="1"/>
  <c r="L3" i="22" s="1"/>
  <c r="E4" i="23" a="1"/>
  <c r="E4" i="23" s="1"/>
  <c r="N3" i="22" s="1"/>
  <c r="D4" i="23" a="1"/>
  <c r="D4" i="23" s="1"/>
  <c r="N2" i="22" s="1"/>
  <c r="C4" i="23" a="1"/>
  <c r="C4" i="23" s="1"/>
  <c r="B4" i="23" a="1"/>
  <c r="B4" i="23" s="1"/>
  <c r="F2" i="23" a="1"/>
  <c r="F2" i="23" s="1"/>
  <c r="B3" i="22" s="1"/>
  <c r="F3" i="23" a="1"/>
  <c r="F3" i="23" s="1"/>
  <c r="G3" i="22" s="1"/>
  <c r="E2" i="23" a="1"/>
  <c r="E2" i="23" s="1"/>
  <c r="E3" i="22" s="1"/>
  <c r="E3" i="23" a="1"/>
  <c r="E3" i="23" s="1"/>
  <c r="J3" i="22" s="1"/>
  <c r="D2" i="23" a="1"/>
  <c r="D2" i="23" s="1"/>
  <c r="E2" i="22" s="1"/>
  <c r="D3" i="23" a="1"/>
  <c r="D3" i="23" s="1"/>
  <c r="J2" i="22" s="1"/>
  <c r="C2" i="23" a="1"/>
  <c r="C2" i="23" s="1"/>
  <c r="C3" i="23" a="1"/>
  <c r="C3" i="23" s="1"/>
  <c r="B2" i="23" a="1"/>
  <c r="B2" i="23" s="1"/>
  <c r="B3" i="23" a="1"/>
  <c r="B3" i="23" s="1"/>
  <c r="G10" i="22" l="1"/>
  <c r="G14" i="22"/>
  <c r="G15" i="22"/>
  <c r="G21" i="22"/>
  <c r="G22" i="22"/>
  <c r="G23" i="22"/>
  <c r="G26" i="22"/>
  <c r="H12" i="22"/>
  <c r="H13" i="22"/>
  <c r="H14" i="22"/>
  <c r="H15" i="22"/>
  <c r="H17" i="22"/>
  <c r="H21" i="22"/>
  <c r="H23" i="22"/>
  <c r="H26" i="22"/>
  <c r="H22" i="22"/>
  <c r="C8" i="22"/>
  <c r="O8" i="22" a="1"/>
  <c r="O8" i="22" s="1"/>
  <c r="N8" i="22" a="1"/>
  <c r="N8" i="22" s="1"/>
  <c r="M8" i="22" a="1"/>
  <c r="M8" i="22" s="1"/>
  <c r="L8" i="22" a="1"/>
  <c r="L8" i="22" s="1"/>
  <c r="J8" i="22" a="1"/>
  <c r="J8" i="22" s="1"/>
  <c r="I8" i="22" a="1"/>
  <c r="I8" i="22" s="1"/>
  <c r="A9" i="22"/>
  <c r="A10" i="22" s="1"/>
  <c r="O10" i="22" s="1" a="1"/>
  <c r="O10" i="22" s="1"/>
  <c r="H25" i="22"/>
  <c r="H24" i="22"/>
  <c r="H20" i="22"/>
  <c r="H19" i="22"/>
  <c r="H18" i="22"/>
  <c r="H16" i="22"/>
  <c r="H11" i="22"/>
  <c r="H10" i="22"/>
  <c r="H9" i="22"/>
  <c r="H27" i="22"/>
  <c r="G25" i="22"/>
  <c r="G24" i="22"/>
  <c r="G20" i="22"/>
  <c r="G19" i="22"/>
  <c r="G18" i="22"/>
  <c r="G17" i="22"/>
  <c r="G16" i="22"/>
  <c r="G12" i="22"/>
  <c r="G13" i="22"/>
  <c r="G11" i="22"/>
  <c r="G9" i="22"/>
  <c r="G27" i="22"/>
  <c r="G8" i="22"/>
  <c r="H8" i="22"/>
  <c r="L9" i="22" l="1" a="1"/>
  <c r="L9" i="22" s="1"/>
  <c r="M9" i="22" a="1"/>
  <c r="M9" i="22" s="1"/>
  <c r="N9" i="22" a="1"/>
  <c r="N9" i="22" s="1"/>
  <c r="O9" i="22" a="1"/>
  <c r="O9" i="22" s="1"/>
  <c r="L10" i="22" a="1"/>
  <c r="L10" i="22" s="1"/>
  <c r="M10" i="22" a="1"/>
  <c r="M10" i="22" s="1"/>
  <c r="N10" i="22" a="1"/>
  <c r="N10" i="22" s="1"/>
  <c r="I9" i="22" a="1"/>
  <c r="I9" i="22" s="1"/>
  <c r="A11" i="22"/>
  <c r="I10" i="22" a="1"/>
  <c r="I10" i="22" s="1"/>
  <c r="J10" i="22" a="1"/>
  <c r="J10" i="22" s="1"/>
  <c r="J9" i="22" a="1"/>
  <c r="J9" i="22" s="1"/>
  <c r="E27" i="22"/>
  <c r="E26" i="22"/>
  <c r="E25" i="22"/>
  <c r="E24" i="22"/>
  <c r="E23" i="22"/>
  <c r="E22" i="22"/>
  <c r="E21" i="22"/>
  <c r="E20" i="22"/>
  <c r="E19" i="22"/>
  <c r="E18" i="22"/>
  <c r="E17" i="22"/>
  <c r="E16" i="22"/>
  <c r="B15" i="22"/>
  <c r="B23" i="22"/>
  <c r="C15" i="22"/>
  <c r="C23" i="22"/>
  <c r="E15" i="22"/>
  <c r="E14" i="22"/>
  <c r="E13" i="22"/>
  <c r="E12" i="22"/>
  <c r="E11" i="22"/>
  <c r="E10" i="22"/>
  <c r="E9" i="22"/>
  <c r="E8" i="22"/>
  <c r="D27" i="22"/>
  <c r="D26" i="22"/>
  <c r="D25" i="22"/>
  <c r="D24" i="22"/>
  <c r="D23" i="22"/>
  <c r="D22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B27" i="22"/>
  <c r="B26" i="22"/>
  <c r="B25" i="22"/>
  <c r="B24" i="22"/>
  <c r="B22" i="22"/>
  <c r="B21" i="22"/>
  <c r="B20" i="22"/>
  <c r="B19" i="22"/>
  <c r="B18" i="22"/>
  <c r="B17" i="22"/>
  <c r="B16" i="22"/>
  <c r="B14" i="22"/>
  <c r="B13" i="22"/>
  <c r="B12" i="22"/>
  <c r="B11" i="22"/>
  <c r="B10" i="22"/>
  <c r="B9" i="22"/>
  <c r="B8" i="22"/>
  <c r="C27" i="22"/>
  <c r="C26" i="22"/>
  <c r="C25" i="22"/>
  <c r="C24" i="22"/>
  <c r="C22" i="22"/>
  <c r="C21" i="22"/>
  <c r="C20" i="22"/>
  <c r="C19" i="22"/>
  <c r="C18" i="22"/>
  <c r="C17" i="22"/>
  <c r="C16" i="22"/>
  <c r="C14" i="22"/>
  <c r="C13" i="22"/>
  <c r="C12" i="22"/>
  <c r="C11" i="22"/>
  <c r="C10" i="22"/>
  <c r="C9" i="22"/>
  <c r="M11" i="22" l="1" a="1"/>
  <c r="M11" i="22" s="1"/>
  <c r="N11" i="22" a="1"/>
  <c r="N11" i="22" s="1"/>
  <c r="O11" i="22" a="1"/>
  <c r="O11" i="22" s="1"/>
  <c r="L11" i="22" a="1"/>
  <c r="L11" i="22" s="1"/>
  <c r="A12" i="22"/>
  <c r="I11" i="22" a="1"/>
  <c r="I11" i="22" s="1"/>
  <c r="J11" i="22" a="1"/>
  <c r="J11" i="22" s="1"/>
  <c r="A4" i="20"/>
  <c r="A5" i="20" s="1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50" i="20" s="1"/>
  <c r="A51" i="20" s="1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 s="1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4" i="18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L12" i="22" l="1" a="1"/>
  <c r="L12" i="22" s="1"/>
  <c r="O12" i="22" a="1"/>
  <c r="O12" i="22" s="1"/>
  <c r="N12" i="22" a="1"/>
  <c r="N12" i="22" s="1"/>
  <c r="M12" i="22" a="1"/>
  <c r="M12" i="22" s="1"/>
  <c r="A13" i="22"/>
  <c r="J12" i="22" a="1"/>
  <c r="J12" i="22" s="1"/>
  <c r="I12" i="22" a="1"/>
  <c r="I12" i="22" s="1"/>
  <c r="A4" i="15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O13" i="22" l="1" a="1"/>
  <c r="O13" i="22" s="1"/>
  <c r="N13" i="22" a="1"/>
  <c r="N13" i="22" s="1"/>
  <c r="M13" i="22" a="1"/>
  <c r="M13" i="22" s="1"/>
  <c r="L13" i="22" a="1"/>
  <c r="L13" i="22" s="1"/>
  <c r="A14" i="22"/>
  <c r="J13" i="22" a="1"/>
  <c r="J13" i="22" s="1"/>
  <c r="I13" i="22" a="1"/>
  <c r="I13" i="22" s="1"/>
  <c r="L14" i="22" l="1" a="1"/>
  <c r="L14" i="22" s="1"/>
  <c r="O14" i="22" a="1"/>
  <c r="O14" i="22" s="1"/>
  <c r="N14" i="22" a="1"/>
  <c r="N14" i="22" s="1"/>
  <c r="M14" i="22" a="1"/>
  <c r="M14" i="22" s="1"/>
  <c r="A15" i="22"/>
  <c r="I14" i="22" a="1"/>
  <c r="I14" i="22" s="1"/>
  <c r="J14" i="22" a="1"/>
  <c r="J14" i="22" s="1"/>
  <c r="O15" i="22" l="1" a="1"/>
  <c r="O15" i="22" s="1"/>
  <c r="N15" i="22" a="1"/>
  <c r="N15" i="22" s="1"/>
  <c r="M15" i="22" a="1"/>
  <c r="M15" i="22" s="1"/>
  <c r="L15" i="22" a="1"/>
  <c r="L15" i="22" s="1"/>
  <c r="A16" i="22"/>
  <c r="J15" i="22" a="1"/>
  <c r="J15" i="22" s="1"/>
  <c r="I15" i="22" a="1"/>
  <c r="I15" i="22" s="1"/>
  <c r="N16" i="22" l="1" a="1"/>
  <c r="N16" i="22" s="1"/>
  <c r="O16" i="22" a="1"/>
  <c r="O16" i="22" s="1"/>
  <c r="M16" i="22" a="1"/>
  <c r="M16" i="22" s="1"/>
  <c r="L16" i="22" a="1"/>
  <c r="L16" i="22" s="1"/>
  <c r="A17" i="22"/>
  <c r="I16" i="22" a="1"/>
  <c r="I16" i="22" s="1"/>
  <c r="J16" i="22" a="1"/>
  <c r="J16" i="22" s="1"/>
  <c r="L17" i="22" l="1" a="1"/>
  <c r="L17" i="22" s="1"/>
  <c r="O17" i="22" a="1"/>
  <c r="O17" i="22" s="1"/>
  <c r="M17" i="22" a="1"/>
  <c r="M17" i="22" s="1"/>
  <c r="N17" i="22" a="1"/>
  <c r="N17" i="22" s="1"/>
  <c r="A18" i="22"/>
  <c r="I17" i="22" a="1"/>
  <c r="I17" i="22" s="1"/>
  <c r="J17" i="22" a="1"/>
  <c r="J17" i="22" s="1"/>
  <c r="L18" i="22" l="1" a="1"/>
  <c r="L18" i="22" s="1"/>
  <c r="N18" i="22" a="1"/>
  <c r="N18" i="22" s="1"/>
  <c r="O18" i="22" a="1"/>
  <c r="O18" i="22" s="1"/>
  <c r="M18" i="22" a="1"/>
  <c r="M18" i="22" s="1"/>
  <c r="A19" i="22"/>
  <c r="J18" i="22" a="1"/>
  <c r="J18" i="22" s="1"/>
  <c r="I18" i="22" a="1"/>
  <c r="I18" i="22" s="1"/>
  <c r="O19" i="22" l="1" a="1"/>
  <c r="O19" i="22" s="1"/>
  <c r="N19" i="22" a="1"/>
  <c r="N19" i="22" s="1"/>
  <c r="M19" i="22" a="1"/>
  <c r="M19" i="22" s="1"/>
  <c r="L19" i="22" a="1"/>
  <c r="L19" i="22" s="1"/>
  <c r="A20" i="22"/>
  <c r="I19" i="22" a="1"/>
  <c r="I19" i="22" s="1"/>
  <c r="J19" i="22" a="1"/>
  <c r="J19" i="22" s="1"/>
  <c r="O20" i="22" l="1" a="1"/>
  <c r="O20" i="22" s="1"/>
  <c r="N20" i="22" a="1"/>
  <c r="N20" i="22" s="1"/>
  <c r="M20" i="22" a="1"/>
  <c r="M20" i="22" s="1"/>
  <c r="L20" i="22" a="1"/>
  <c r="L20" i="22" s="1"/>
  <c r="A21" i="22"/>
  <c r="J20" i="22" a="1"/>
  <c r="J20" i="22" s="1"/>
  <c r="I20" i="22" a="1"/>
  <c r="I20" i="22" s="1"/>
  <c r="O21" i="22" l="1" a="1"/>
  <c r="O21" i="22" s="1"/>
  <c r="N21" i="22" a="1"/>
  <c r="N21" i="22" s="1"/>
  <c r="M21" i="22" a="1"/>
  <c r="M21" i="22" s="1"/>
  <c r="L21" i="22" a="1"/>
  <c r="L21" i="22" s="1"/>
  <c r="A22" i="22"/>
  <c r="J21" i="22" a="1"/>
  <c r="J21" i="22" s="1"/>
  <c r="I21" i="22" a="1"/>
  <c r="I21" i="22" s="1"/>
  <c r="L22" i="22" l="1" a="1"/>
  <c r="L22" i="22" s="1"/>
  <c r="M22" i="22" a="1"/>
  <c r="M22" i="22" s="1"/>
  <c r="O22" i="22" a="1"/>
  <c r="O22" i="22" s="1"/>
  <c r="N22" i="22" a="1"/>
  <c r="N22" i="22" s="1"/>
  <c r="A23" i="22"/>
  <c r="J22" i="22" a="1"/>
  <c r="J22" i="22" s="1"/>
  <c r="I22" i="22" a="1"/>
  <c r="I22" i="22" s="1"/>
  <c r="L23" i="22" l="1" a="1"/>
  <c r="L23" i="22" s="1"/>
  <c r="O23" i="22" a="1"/>
  <c r="O23" i="22" s="1"/>
  <c r="N23" i="22" a="1"/>
  <c r="N23" i="22" s="1"/>
  <c r="M23" i="22" a="1"/>
  <c r="M23" i="22" s="1"/>
  <c r="A24" i="22"/>
  <c r="J23" i="22" a="1"/>
  <c r="J23" i="22" s="1"/>
  <c r="I23" i="22" a="1"/>
  <c r="I23" i="22" s="1"/>
  <c r="L24" i="22" l="1" a="1"/>
  <c r="L24" i="22" s="1"/>
  <c r="O24" i="22" a="1"/>
  <c r="O24" i="22" s="1"/>
  <c r="N24" i="22" a="1"/>
  <c r="N24" i="22" s="1"/>
  <c r="M24" i="22" a="1"/>
  <c r="M24" i="22" s="1"/>
  <c r="A25" i="22"/>
  <c r="I24" i="22" a="1"/>
  <c r="I24" i="22" s="1"/>
  <c r="J24" i="22" a="1"/>
  <c r="J24" i="22" s="1"/>
  <c r="O25" i="22" l="1" a="1"/>
  <c r="O25" i="22" s="1"/>
  <c r="N25" i="22" a="1"/>
  <c r="N25" i="22" s="1"/>
  <c r="M25" i="22" a="1"/>
  <c r="M25" i="22" s="1"/>
  <c r="L25" i="22" a="1"/>
  <c r="L25" i="22" s="1"/>
  <c r="A26" i="22"/>
  <c r="J25" i="22" a="1"/>
  <c r="J25" i="22" s="1"/>
  <c r="I25" i="22" a="1"/>
  <c r="I25" i="22" s="1"/>
  <c r="O26" i="22" l="1" a="1"/>
  <c r="O26" i="22" s="1"/>
  <c r="N26" i="22" a="1"/>
  <c r="N26" i="22" s="1"/>
  <c r="M26" i="22" a="1"/>
  <c r="M26" i="22" s="1"/>
  <c r="L26" i="22" a="1"/>
  <c r="L26" i="22" s="1"/>
  <c r="A27" i="22"/>
  <c r="I26" i="22" a="1"/>
  <c r="I26" i="22" s="1"/>
  <c r="J26" i="22" a="1"/>
  <c r="J26" i="22" s="1"/>
  <c r="M27" i="22" l="1" a="1"/>
  <c r="M27" i="22" s="1"/>
  <c r="O27" i="22" a="1"/>
  <c r="O27" i="22" s="1"/>
  <c r="N27" i="22" a="1"/>
  <c r="N27" i="22" s="1"/>
  <c r="L27" i="22" a="1"/>
  <c r="L27" i="22" s="1"/>
  <c r="I27" i="22" a="1"/>
  <c r="I27" i="22" s="1"/>
  <c r="J27" i="22" a="1"/>
  <c r="J27" i="2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A66952-7FFE-403F-AAE1-B3ECA89F04EB}" keepAlive="1" interval="10" name="Query - Activity Query" description="Connection to the 'Activity Query' query in the workbook." type="5" refreshedVersion="8" background="1" refreshOnLoad="1" saveData="1">
    <dbPr connection="Provider=Microsoft.Mashup.OleDb.1;Data Source=$Workbook$;Location=&quot;Activity Query&quot;;Extended Properties=&quot;&quot;" command="SELECT * FROM [Activity Query]"/>
  </connection>
  <connection id="2" xr16:uid="{9F1AA23D-19EB-44A8-AF02-5DE4D66866AE}" keepAlive="1" interval="5" name="Query - Gainer Query" description="Connection to the 'Gainer Query' query in the workbook." type="5" refreshedVersion="8" background="1" refreshOnLoad="1" saveData="1">
    <dbPr connection="Provider=Microsoft.Mashup.OleDb.1;Data Source=$Workbook$;Location=&quot;Gainer Query&quot;;Extended Properties=&quot;&quot;" command="SELECT * FROM [Gainer Query]"/>
  </connection>
  <connection id="3" xr16:uid="{29A538EB-7D5C-4029-BE0A-BBB8E2535690}" keepAlive="1" interval="10" name="Query - T_Losers" description="Connection to the 'T_Losers' query in the workbook." type="5" refreshedVersion="8" background="1" refreshOnLoad="1" saveData="1">
    <dbPr connection="Provider=Microsoft.Mashup.OleDb.1;Data Source=$Workbook$;Location=T_Losers;Extended Properties=&quot;&quot;" command="SELECT * FROM [T_Loser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<sst xmlns="http://schemas.openxmlformats.org/spreadsheetml/2006/main" count="935" uniqueCount="862">
  <si>
    <t>Ticker</t>
  </si>
  <si>
    <t>Name</t>
  </si>
  <si>
    <t>Change</t>
  </si>
  <si>
    <t>Price</t>
  </si>
  <si>
    <t>Change %</t>
  </si>
  <si>
    <t>Market Cap</t>
  </si>
  <si>
    <t>No.</t>
  </si>
  <si>
    <t>Symbol</t>
  </si>
  <si>
    <t>Volume</t>
  </si>
  <si>
    <t>GMVHF  Entain Plc</t>
  </si>
  <si>
    <t>9.80 +1.60 (+19.51%)</t>
  </si>
  <si>
    <t>30,500</t>
  </si>
  <si>
    <t>6.394B</t>
  </si>
  <si>
    <t>MSTR  MicroStrategy Incorporated</t>
  </si>
  <si>
    <t>212.59 +29.25 (+15.95%)</t>
  </si>
  <si>
    <t>43.077B</t>
  </si>
  <si>
    <t>AFRM  Affirm Holdings, Inc.</t>
  </si>
  <si>
    <t>47.08 +5.07 (+12.07%)</t>
  </si>
  <si>
    <t>14.647B</t>
  </si>
  <si>
    <t>UBER  Uber Technologies, Inc.</t>
  </si>
  <si>
    <t>86.34 +8.42 (+10.81%)</t>
  </si>
  <si>
    <t>57.2M</t>
  </si>
  <si>
    <t>181.395B</t>
  </si>
  <si>
    <t>CLSK  CleanSpark, Inc.</t>
  </si>
  <si>
    <t>9.59 +0.93 (+10.74%)</t>
  </si>
  <si>
    <t>2.428B</t>
  </si>
  <si>
    <t>CORZ  Core Scientific, Inc.</t>
  </si>
  <si>
    <t>13.22 +1.25 (+10.44%)</t>
  </si>
  <si>
    <t>3.414B</t>
  </si>
  <si>
    <t>DJTWW  Trump Media &amp; Technology Group Corp.</t>
  </si>
  <si>
    <t>17.77 +1.61 (+9.99%)</t>
  </si>
  <si>
    <t>645,541</t>
  </si>
  <si>
    <t>5.06B</t>
  </si>
  <si>
    <t>FAST  Fastenal Company</t>
  </si>
  <si>
    <t>76.82 +6.83 (+9.76%)</t>
  </si>
  <si>
    <t>44.009B</t>
  </si>
  <si>
    <t>LYFT  Lyft, Inc.</t>
  </si>
  <si>
    <t>13.60 +1.19 (+9.59%)</t>
  </si>
  <si>
    <t>5.578B</t>
  </si>
  <si>
    <t>ENVX  Enovix Corporation</t>
  </si>
  <si>
    <t>12.79 +1.10 (+9.36%)</t>
  </si>
  <si>
    <t>2.255B</t>
  </si>
  <si>
    <t>UPST  Upstart Holdings, Inc.</t>
  </si>
  <si>
    <t>47.02 +3.84 (+8.89%)</t>
  </si>
  <si>
    <t>4.209B</t>
  </si>
  <si>
    <t>SYM  Symbotic Inc.</t>
  </si>
  <si>
    <t>29.93 +2.42 (+8.80%)</t>
  </si>
  <si>
    <t>17.526B</t>
  </si>
  <si>
    <t>DNLI  Denali Therapeutics Inc.</t>
  </si>
  <si>
    <t>28.00 +2.26 (+8.78%)</t>
  </si>
  <si>
    <t>4.009B</t>
  </si>
  <si>
    <t>IONQ  IonQ, Inc.</t>
  </si>
  <si>
    <t>10.66 +0.85 (+8.66%)</t>
  </si>
  <si>
    <t>11.639M</t>
  </si>
  <si>
    <t>2.282B</t>
  </si>
  <si>
    <t>RIOT  Riot Platforms, Inc.</t>
  </si>
  <si>
    <t>8.41 +0.67 (+8.66%)</t>
  </si>
  <si>
    <t>2.553B</t>
  </si>
  <si>
    <t>EVGO  EVgo, Inc.</t>
  </si>
  <si>
    <t>7.23 +0.54 (+8.07%)</t>
  </si>
  <si>
    <t>2.188B</t>
  </si>
  <si>
    <t>SLNO  Soleno Therapeutics, Inc.</t>
  </si>
  <si>
    <t>54.75 +3.95 (+7.78%)</t>
  </si>
  <si>
    <t>1.306M</t>
  </si>
  <si>
    <t>2.128B</t>
  </si>
  <si>
    <t>PAY  Paymentus Holdings, Inc.</t>
  </si>
  <si>
    <t>22.78 +1.63 (+7.71%)</t>
  </si>
  <si>
    <t>187,301</t>
  </si>
  <si>
    <t>2.836B</t>
  </si>
  <si>
    <t>NYCB  New York Community Bancorp, Inc.</t>
  </si>
  <si>
    <t>11.78 +0.83 (+7.58%)</t>
  </si>
  <si>
    <t>5.233M</t>
  </si>
  <si>
    <t>4.892B</t>
  </si>
  <si>
    <t>COIN  Coinbase Global, Inc.</t>
  </si>
  <si>
    <t>176.38 +12.11 (+7.37%)</t>
  </si>
  <si>
    <t>43.827B</t>
  </si>
  <si>
    <t>BEAM  Beam Therapeutics Inc.</t>
  </si>
  <si>
    <t>24.72 +1.69 (+7.34%)</t>
  </si>
  <si>
    <t>2.037B</t>
  </si>
  <si>
    <t>SMMT  Summit Therapeutics Inc.</t>
  </si>
  <si>
    <t>19.95 +1.34 (+7.20%)</t>
  </si>
  <si>
    <t>14.661B</t>
  </si>
  <si>
    <t>TWST  Twist Bioscience Corporation</t>
  </si>
  <si>
    <t>44.47 +2.82 (+6.77%)</t>
  </si>
  <si>
    <t>2.605B</t>
  </si>
  <si>
    <t>GXO  GXO Logistics, Inc.</t>
  </si>
  <si>
    <t>61.98 +3.91 (+6.73%)</t>
  </si>
  <si>
    <t>3.81M</t>
  </si>
  <si>
    <t>7.405B</t>
  </si>
  <si>
    <t>RXO  RXO, Inc.</t>
  </si>
  <si>
    <t>29.88 +1.82 (+6.49%)</t>
  </si>
  <si>
    <t>1.213M</t>
  </si>
  <si>
    <t>4.716B</t>
  </si>
  <si>
    <t>POWL  Powell Industries, Inc.</t>
  </si>
  <si>
    <t>262.97 +15.94 (+6.45%)</t>
  </si>
  <si>
    <t>3.152B</t>
  </si>
  <si>
    <t>EWTX  Edgewise Therapeutics, Inc.</t>
  </si>
  <si>
    <t>31.92 +1.93 (+6.44%)</t>
  </si>
  <si>
    <t>2.993B</t>
  </si>
  <si>
    <t>ZIM  ZIM Integrated Shipping Services Ltd.</t>
  </si>
  <si>
    <t>19.80 +1.19 (+6.39%)</t>
  </si>
  <si>
    <t>4.555M</t>
  </si>
  <si>
    <t>2.383B</t>
  </si>
  <si>
    <t>VERA  Vera Therapeutics, Inc.</t>
  </si>
  <si>
    <t>42.72 +2.52 (+6.27%)</t>
  </si>
  <si>
    <t>2.342B</t>
  </si>
  <si>
    <t>CAMT  Camtek Ltd.</t>
  </si>
  <si>
    <t>84.16 +4.93 (+6.22%)</t>
  </si>
  <si>
    <t>3.818B</t>
  </si>
  <si>
    <t>TEM  Tempus AI, Inc</t>
  </si>
  <si>
    <t>48.82 +2.84 (+6.18%)</t>
  </si>
  <si>
    <t>7.534B</t>
  </si>
  <si>
    <t>AX  Axos Financial, Inc.</t>
  </si>
  <si>
    <t>64.13 +3.72 (+6.16%)</t>
  </si>
  <si>
    <t>795,658</t>
  </si>
  <si>
    <t>3.653B</t>
  </si>
  <si>
    <t>SITE  SiteOne Landscape Supply, Inc.</t>
  </si>
  <si>
    <t>148.32 +8.47 (+6.06%)</t>
  </si>
  <si>
    <t>304,449</t>
  </si>
  <si>
    <t>6.692B</t>
  </si>
  <si>
    <t>STR  Sitio Royalties Corp.</t>
  </si>
  <si>
    <t>23.60 +1.33 (+5.97%)</t>
  </si>
  <si>
    <t>999,462</t>
  </si>
  <si>
    <t>3.64B</t>
  </si>
  <si>
    <t>GWW  W.W. Grainger, Inc.</t>
  </si>
  <si>
    <t>1,085.04 +59.88 (+5.84%)</t>
  </si>
  <si>
    <t>514,491</t>
  </si>
  <si>
    <t>52.978B</t>
  </si>
  <si>
    <t>COHR  Coherent Corp.</t>
  </si>
  <si>
    <t>104.62 +5.59 (+5.64%)</t>
  </si>
  <si>
    <t>3.957M</t>
  </si>
  <si>
    <t>16.154B</t>
  </si>
  <si>
    <t>ALKS  Alkermes plc</t>
  </si>
  <si>
    <t>28.91 +1.54 (+5.63%)</t>
  </si>
  <si>
    <t>1.794M</t>
  </si>
  <si>
    <t>4.761B</t>
  </si>
  <si>
    <t>APGE  Apogee Therapeutics, Inc.</t>
  </si>
  <si>
    <t>56.94 +3.03 (+5.62%)</t>
  </si>
  <si>
    <t>3.227B</t>
  </si>
  <si>
    <t>WFC  Wells Fargo &amp; Company</t>
  </si>
  <si>
    <t>60.99 +3.24 (+5.61%)</t>
  </si>
  <si>
    <t>32.096M</t>
  </si>
  <si>
    <t>207.596B</t>
  </si>
  <si>
    <t>TPL  Texas Pacific Land Corporation</t>
  </si>
  <si>
    <t>1,058.42 +56.22 (+5.61%)</t>
  </si>
  <si>
    <t>175,184</t>
  </si>
  <si>
    <t>24.321B</t>
  </si>
  <si>
    <t>MARA  MARA Holdings, Inc.</t>
  </si>
  <si>
    <t>16.08 +0.85 (+5.58%)</t>
  </si>
  <si>
    <t>4.735B</t>
  </si>
  <si>
    <t>CLDX  Celldex Therapeutics, Inc.</t>
  </si>
  <si>
    <t>31.32 +1.64 (+5.53%)</t>
  </si>
  <si>
    <t>2.076B</t>
  </si>
  <si>
    <t>RDNT  RadNet, Inc.</t>
  </si>
  <si>
    <t>68.58 +3.59 (+5.52%)</t>
  </si>
  <si>
    <t>5.072B</t>
  </si>
  <si>
    <t>PEN  Penumbra, Inc.</t>
  </si>
  <si>
    <t>203.19 +10.61 (+5.51%)</t>
  </si>
  <si>
    <t>387,667</t>
  </si>
  <si>
    <t>7.893B</t>
  </si>
  <si>
    <t>FLNC  Fluence Energy, Inc.</t>
  </si>
  <si>
    <t>21.70 +1.13 (+5.49%)</t>
  </si>
  <si>
    <t>944,535</t>
  </si>
  <si>
    <t>3.917B</t>
  </si>
  <si>
    <t>VKTX  Viking Therapeutics, Inc.</t>
  </si>
  <si>
    <t>65.84 +3.39 (+5.43%)</t>
  </si>
  <si>
    <t>7.295B</t>
  </si>
  <si>
    <t>VCYT  Veracyte, Inc.</t>
  </si>
  <si>
    <t>34.02 +1.75 (+5.42%)</t>
  </si>
  <si>
    <t>2.613B</t>
  </si>
  <si>
    <t>AXSM  Axsome Therapeutics, Inc.</t>
  </si>
  <si>
    <t>87.56 +4.48 (+5.39%)</t>
  </si>
  <si>
    <t>4.203B</t>
  </si>
  <si>
    <t>RNA  Avidity Biosciences, Inc.</t>
  </si>
  <si>
    <t>46.60 +2.38 (+5.38%)</t>
  </si>
  <si>
    <t>5.509B</t>
  </si>
  <si>
    <t>LAZ  Lazard, Inc.</t>
  </si>
  <si>
    <t>52.70 +2.69 (+5.38%)</t>
  </si>
  <si>
    <t>1.184M</t>
  </si>
  <si>
    <t>4.752B</t>
  </si>
  <si>
    <t>BROS  Dutch Bros Inc.</t>
  </si>
  <si>
    <t>32.35 +1.63 (+5.31%)</t>
  </si>
  <si>
    <t>2.763M</t>
  </si>
  <si>
    <t>4.988B</t>
  </si>
  <si>
    <t>GAP  The Gap, Inc.</t>
  </si>
  <si>
    <t>21.80 +1.09 (+5.26%)</t>
  </si>
  <si>
    <t>3.921M</t>
  </si>
  <si>
    <t>8.204B</t>
  </si>
  <si>
    <t>BANR  Banner Corporation</t>
  </si>
  <si>
    <t>63.34 +3.11 (+5.16%)</t>
  </si>
  <si>
    <t>2.182B</t>
  </si>
  <si>
    <t>COMP  Compass, Inc.</t>
  </si>
  <si>
    <t>5.91 +0.29 (+5.16%)</t>
  </si>
  <si>
    <t>2.808M</t>
  </si>
  <si>
    <t>2.962B</t>
  </si>
  <si>
    <t>DPZ  Domino's Pizza, Inc.</t>
  </si>
  <si>
    <t>429.67 +20.92 (+5.12%)</t>
  </si>
  <si>
    <t>1.277M</t>
  </si>
  <si>
    <t>14.837B</t>
  </si>
  <si>
    <t>SAIA  Saia, Inc.</t>
  </si>
  <si>
    <t>463.37 +22.52 (+5.11%)</t>
  </si>
  <si>
    <t>12.288B</t>
  </si>
  <si>
    <t>BE  Bloom Energy Corporation</t>
  </si>
  <si>
    <t>10.74 +0.52 (+5.09%)</t>
  </si>
  <si>
    <t>4.126M</t>
  </si>
  <si>
    <t>2.45B</t>
  </si>
  <si>
    <t>EVR  Evercore Inc.</t>
  </si>
  <si>
    <t>265.61 +12.72 (+5.03%)</t>
  </si>
  <si>
    <t>450,455</t>
  </si>
  <si>
    <t>10.182B</t>
  </si>
  <si>
    <t>MRVI  Maravai LifeSciences Holdings, Inc.</t>
  </si>
  <si>
    <t>8.01 +0.38 (+4.98%)</t>
  </si>
  <si>
    <t>2.02B</t>
  </si>
  <si>
    <t>BAC  Bank of America Corporation</t>
  </si>
  <si>
    <t>41.95 +1.98 (+4.95%)</t>
  </si>
  <si>
    <t>50.57M</t>
  </si>
  <si>
    <t>325.514B</t>
  </si>
  <si>
    <t>NXT  Nextracker Inc.</t>
  </si>
  <si>
    <t>35.64 +1.68 (+4.95%)</t>
  </si>
  <si>
    <t>5.248B</t>
  </si>
  <si>
    <t>JANX  Janux Therapeutics, Inc.</t>
  </si>
  <si>
    <t>49.55 +2.33 (+4.93%)</t>
  </si>
  <si>
    <t>2.585B</t>
  </si>
  <si>
    <t>MBLY  Mobileye Global Inc.</t>
  </si>
  <si>
    <t>12.89 +0.60 (+4.88%)</t>
  </si>
  <si>
    <t>10.454B</t>
  </si>
  <si>
    <t>XPRO  Expro Group Holdings N.V.</t>
  </si>
  <si>
    <t>17.83 +0.82 (+4.82%)</t>
  </si>
  <si>
    <t>1.223M</t>
  </si>
  <si>
    <t>2.094B</t>
  </si>
  <si>
    <t>ASTS  AST SpaceMobile, Inc.</t>
  </si>
  <si>
    <t>24.18 +1.11 (+4.81%)</t>
  </si>
  <si>
    <t>6.838B</t>
  </si>
  <si>
    <t>DJT  Trump Media &amp; Technology Group Corp.</t>
  </si>
  <si>
    <t>25.28 +1.16 (+4.81%)</t>
  </si>
  <si>
    <t>SFBS  ServisFirst Bancshares, Inc.</t>
  </si>
  <si>
    <t>82.03 +3.76 (+4.80%)</t>
  </si>
  <si>
    <t>175,359</t>
  </si>
  <si>
    <t>4.473B</t>
  </si>
  <si>
    <t>RDDT  Reddit, Inc.</t>
  </si>
  <si>
    <t>73.25 +3.35 (+4.79%)</t>
  </si>
  <si>
    <t>5.072M</t>
  </si>
  <si>
    <t>12.15B</t>
  </si>
  <si>
    <t>WCC  WESCO International, Inc.</t>
  </si>
  <si>
    <t>174.72 +7.97 (+4.78%)</t>
  </si>
  <si>
    <t>1.321M</t>
  </si>
  <si>
    <t>8.589B</t>
  </si>
  <si>
    <t>ARDT  Ardent Health Partners, Inc.</t>
  </si>
  <si>
    <t>18.98 +0.86 (+4.75%)</t>
  </si>
  <si>
    <t>215,362</t>
  </si>
  <si>
    <t>2.71B</t>
  </si>
  <si>
    <t>OS  OneStream, Inc.</t>
  </si>
  <si>
    <t>29.79 +1.34 (+4.71%)</t>
  </si>
  <si>
    <t>6.984B</t>
  </si>
  <si>
    <t>HIMS  Hims &amp; Hers Health, Inc.</t>
  </si>
  <si>
    <t>18.69 +0.84 (+4.71%)</t>
  </si>
  <si>
    <t>8.533M</t>
  </si>
  <si>
    <t>4.045B</t>
  </si>
  <si>
    <t>CVBF  CVB Financial Corp.</t>
  </si>
  <si>
    <t>18.81 +0.84 (+4.67%)</t>
  </si>
  <si>
    <t>2.627B</t>
  </si>
  <si>
    <t>CGON  CG Oncology, Inc.</t>
  </si>
  <si>
    <t>36.09 +1.61 (+4.67%)</t>
  </si>
  <si>
    <t>2.421B</t>
  </si>
  <si>
    <t>EE  Excelerate Energy, Inc.</t>
  </si>
  <si>
    <t>23.61 +1.05 (+4.65%)</t>
  </si>
  <si>
    <t>236,407</t>
  </si>
  <si>
    <t>2.528B</t>
  </si>
  <si>
    <t>NEOG  Neogen Corporation</t>
  </si>
  <si>
    <t>14.43 +0.64 (+4.64%)</t>
  </si>
  <si>
    <t>2.436M</t>
  </si>
  <si>
    <t>3.127B</t>
  </si>
  <si>
    <t>ANF  Abercrombie &amp; Fitch Co.</t>
  </si>
  <si>
    <t>149.75 +6.50 (+4.54%)</t>
  </si>
  <si>
    <t>1.34M</t>
  </si>
  <si>
    <t>7.649B</t>
  </si>
  <si>
    <t>ONTO  Onto Innovation Inc.</t>
  </si>
  <si>
    <t>217.79 +9.41 (+4.52%)</t>
  </si>
  <si>
    <t>570,866</t>
  </si>
  <si>
    <t>10.755B</t>
  </si>
  <si>
    <t>AA  Alcoa Corporation</t>
  </si>
  <si>
    <t>41.02 +1.77 (+4.51%)</t>
  </si>
  <si>
    <t>5.198M</t>
  </si>
  <si>
    <t>10.597B</t>
  </si>
  <si>
    <t>CNX  CNX Resources Corporation</t>
  </si>
  <si>
    <t>36.29 +1.56 (+4.49%)</t>
  </si>
  <si>
    <t>3.843M</t>
  </si>
  <si>
    <t>5.488B</t>
  </si>
  <si>
    <t>FOLD  Amicus Therapeutics, Inc.</t>
  </si>
  <si>
    <t>10.50 +0.45 (+4.48%)</t>
  </si>
  <si>
    <t>1.79M</t>
  </si>
  <si>
    <t>3.114B</t>
  </si>
  <si>
    <t>FROG  JFrog Ltd.</t>
  </si>
  <si>
    <t>31.05 +1.33 (+4.48%)</t>
  </si>
  <si>
    <t>3.429B</t>
  </si>
  <si>
    <t>TEX  Terex Corporation</t>
  </si>
  <si>
    <t>55.48 +2.37 (+4.46%)</t>
  </si>
  <si>
    <t>847,051</t>
  </si>
  <si>
    <t>3.712B</t>
  </si>
  <si>
    <t>FUN  Six Flags Entertainment Corporation</t>
  </si>
  <si>
    <t>38.04 +1.62 (+4.45%)</t>
  </si>
  <si>
    <t>1.636M</t>
  </si>
  <si>
    <t>3.809B</t>
  </si>
  <si>
    <t>JPM  JPMorgan Chase &amp; Co.</t>
  </si>
  <si>
    <t>222.29 +9.45 (+4.44%)</t>
  </si>
  <si>
    <t>16.244M</t>
  </si>
  <si>
    <t>625.813B</t>
  </si>
  <si>
    <t>TBBK  The Bancorp, Inc.</t>
  </si>
  <si>
    <t>55.13 +2.34 (+4.43%)</t>
  </si>
  <si>
    <t>2.699B</t>
  </si>
  <si>
    <t>BHVN  Biohaven Ltd.</t>
  </si>
  <si>
    <t>53.73 +2.28 (+4.43%)</t>
  </si>
  <si>
    <t>628,544</t>
  </si>
  <si>
    <t>5.424B</t>
  </si>
  <si>
    <t>RRX  Regal Rexnord Corporation</t>
  </si>
  <si>
    <t>171.22 +7.26 (+4.43%)</t>
  </si>
  <si>
    <t>409,979</t>
  </si>
  <si>
    <t>11.393B</t>
  </si>
  <si>
    <t>PRK  Park National Corporation</t>
  </si>
  <si>
    <t>171.03 +7.24 (+4.42%)</t>
  </si>
  <si>
    <t>48,567</t>
  </si>
  <si>
    <t>2.762B</t>
  </si>
  <si>
    <t>SNAP  Snap Inc.</t>
  </si>
  <si>
    <t>11.13 +0.47 (+4.41%)</t>
  </si>
  <si>
    <t>17.289M</t>
  </si>
  <si>
    <t>18.47B</t>
  </si>
  <si>
    <t>SOFI  SoFi Technologies, Inc.</t>
  </si>
  <si>
    <t>9.01 +0.38 (+4.40%)</t>
  </si>
  <si>
    <t>9.604B</t>
  </si>
  <si>
    <t>VLY  Valley National Bancorp</t>
  </si>
  <si>
    <t>9.25 +0.39 (+4.40%)</t>
  </si>
  <si>
    <t>4.71B</t>
  </si>
  <si>
    <t>MYGN  Myriad Genetics, Inc.</t>
  </si>
  <si>
    <t>24.08 +1.01 (+4.38%)</t>
  </si>
  <si>
    <t>2.187B</t>
  </si>
  <si>
    <t>YY  JOYY Inc.</t>
  </si>
  <si>
    <t>36.53 +1.53 (+4.37%)</t>
  </si>
  <si>
    <t>2.086B</t>
  </si>
  <si>
    <t>GNRC  Generac Holdings Inc.</t>
  </si>
  <si>
    <t>173.59 +7.27 (+4.37%)</t>
  </si>
  <si>
    <t>1.063M</t>
  </si>
  <si>
    <t>10.442B</t>
  </si>
  <si>
    <t>RNG  RingCentral, Inc.</t>
  </si>
  <si>
    <t>32.72 +1.37 (+4.37%)</t>
  </si>
  <si>
    <t>1.231M</t>
  </si>
  <si>
    <t>3.004B</t>
  </si>
  <si>
    <t>MDU  MDU Resources Group, Inc.</t>
  </si>
  <si>
    <t>28.58 +1.19 (+4.34%)</t>
  </si>
  <si>
    <t>2.146M</t>
  </si>
  <si>
    <t>5.827B</t>
  </si>
  <si>
    <t>ARCB  ArcBest Corporation</t>
  </si>
  <si>
    <t>105.95 +4.40 (+4.33%)</t>
  </si>
  <si>
    <t>2.505B</t>
  </si>
  <si>
    <t>LB  LandBridge Company LLC</t>
  </si>
  <si>
    <t>49.02 +2.03 (+4.32%)</t>
  </si>
  <si>
    <t>270,700</t>
  </si>
  <si>
    <t>3.586B</t>
  </si>
  <si>
    <t>USLM  United States Lime &amp; Minerals, Inc.</t>
  </si>
  <si>
    <t>101.81 +4.21 (+4.31%)</t>
  </si>
  <si>
    <t>2.911B</t>
  </si>
  <si>
    <t>29.934M</t>
  </si>
  <si>
    <t>19.658M</t>
  </si>
  <si>
    <t>24.209M</t>
  </si>
  <si>
    <t>22.086M</t>
  </si>
  <si>
    <t>8.47M</t>
  </si>
  <si>
    <t>32.506M</t>
  </si>
  <si>
    <t>5.746M</t>
  </si>
  <si>
    <t>8.278M</t>
  </si>
  <si>
    <t>4.899M</t>
  </si>
  <si>
    <t>883,238</t>
  </si>
  <si>
    <t>20.036M</t>
  </si>
  <si>
    <t>8.413M</t>
  </si>
  <si>
    <t>10.767M</t>
  </si>
  <si>
    <t>882,870</t>
  </si>
  <si>
    <t>2.325M</t>
  </si>
  <si>
    <t>785,279</t>
  </si>
  <si>
    <t>378,723</t>
  </si>
  <si>
    <t>1.566M</t>
  </si>
  <si>
    <t>632,418</t>
  </si>
  <si>
    <t>442,653</t>
  </si>
  <si>
    <t>885,046</t>
  </si>
  <si>
    <t>252,527</t>
  </si>
  <si>
    <t>36.455M</t>
  </si>
  <si>
    <t>559,948</t>
  </si>
  <si>
    <t>668,645</t>
  </si>
  <si>
    <t>3.334M</t>
  </si>
  <si>
    <t>724,034</t>
  </si>
  <si>
    <t>401,855</t>
  </si>
  <si>
    <t>744,729</t>
  </si>
  <si>
    <t>262,082</t>
  </si>
  <si>
    <t>273,840</t>
  </si>
  <si>
    <t>1.061M</t>
  </si>
  <si>
    <t>2.157M</t>
  </si>
  <si>
    <t>743,598</t>
  </si>
  <si>
    <t>8.386M</t>
  </si>
  <si>
    <t>7.293M</t>
  </si>
  <si>
    <t>48.241M</t>
  </si>
  <si>
    <t>858,108</t>
  </si>
  <si>
    <t>716,282</t>
  </si>
  <si>
    <t>397,844</t>
  </si>
  <si>
    <t>5.167M</t>
  </si>
  <si>
    <t>598,807</t>
  </si>
  <si>
    <t>42.833M</t>
  </si>
  <si>
    <t>6.319M</t>
  </si>
  <si>
    <t>771,142</t>
  </si>
  <si>
    <t>471,998</t>
  </si>
  <si>
    <t>170,669</t>
  </si>
  <si>
    <t>86,704</t>
  </si>
  <si>
    <t>Change %2</t>
  </si>
  <si>
    <t>Top 100 Gainers</t>
  </si>
  <si>
    <t>Cost</t>
  </si>
  <si>
    <t>FLUT  Flutter Entertainment plc</t>
  </si>
  <si>
    <t>219.50 -21.14 (-8.78%)</t>
  </si>
  <si>
    <t>5.721M</t>
  </si>
  <si>
    <t>39.032B</t>
  </si>
  <si>
    <t>TSLA  Tesla, Inc.</t>
  </si>
  <si>
    <t>217.80 -20.97 (-8.78%)</t>
  </si>
  <si>
    <t>142.629M</t>
  </si>
  <si>
    <t>695.793B</t>
  </si>
  <si>
    <t>GMVHY  Entain Plc</t>
  </si>
  <si>
    <t>9.26 -0.68 (-6.84%)</t>
  </si>
  <si>
    <t>150,895</t>
  </si>
  <si>
    <t>AOS  A. O. Smith Corporation</t>
  </si>
  <si>
    <t>80.87 -5.39 (-6.25%)</t>
  </si>
  <si>
    <t>2.379M</t>
  </si>
  <si>
    <t>11.794B</t>
  </si>
  <si>
    <t>CELH  Celsius Holdings, Inc.</t>
  </si>
  <si>
    <t>32.80 -2.11 (-6.04%)</t>
  </si>
  <si>
    <t>18.275M</t>
  </si>
  <si>
    <t>7.645B</t>
  </si>
  <si>
    <t>TLN  Talen Energy Corporation</t>
  </si>
  <si>
    <t>159.19 -8.70 (-5.18%)</t>
  </si>
  <si>
    <t>2.201M</t>
  </si>
  <si>
    <t>8.119B</t>
  </si>
  <si>
    <t>ROCK  Gibraltar Industries, Inc.</t>
  </si>
  <si>
    <t>67.13 -3.03 (-4.32%)</t>
  </si>
  <si>
    <t>277,368</t>
  </si>
  <si>
    <t>2.046B</t>
  </si>
  <si>
    <t>TD  The Toronto-Dominion Bank</t>
  </si>
  <si>
    <t>57.01 -2.43 (-4.09%)</t>
  </si>
  <si>
    <t>7.163M</t>
  </si>
  <si>
    <t>99.781B</t>
  </si>
  <si>
    <t>SQM  Sociedad Química y Minera de Chile S.A.</t>
  </si>
  <si>
    <t>42.43 -1.50 (-3.41%)</t>
  </si>
  <si>
    <t>1.496M</t>
  </si>
  <si>
    <t>11.729B</t>
  </si>
  <si>
    <t>ALGN  Align Technology, Inc.</t>
  </si>
  <si>
    <t>222.04 -7.61 (-3.31%)</t>
  </si>
  <si>
    <t>1.312M</t>
  </si>
  <si>
    <t>16.586B</t>
  </si>
  <si>
    <t>ERJ  Embraer S.A.</t>
  </si>
  <si>
    <t>32.50 -1.09 (-3.25%)</t>
  </si>
  <si>
    <t>1.372M</t>
  </si>
  <si>
    <t>6.134B</t>
  </si>
  <si>
    <t>CSAN  Cosan S.A.</t>
  </si>
  <si>
    <t>8.62 -0.28 (-3.15%)</t>
  </si>
  <si>
    <t>702,725</t>
  </si>
  <si>
    <t>4.157B</t>
  </si>
  <si>
    <t>ALVO  Alvotech</t>
  </si>
  <si>
    <t>12.45 -0.40 (-3.11%)</t>
  </si>
  <si>
    <t>154,778</t>
  </si>
  <si>
    <t>3.759B</t>
  </si>
  <si>
    <t>TAL  TAL Education Group</t>
  </si>
  <si>
    <t>11.22 -0.36 (-3.11%)</t>
  </si>
  <si>
    <t>5.395M</t>
  </si>
  <si>
    <t>6.78B</t>
  </si>
  <si>
    <t>VIV  Telefônica Brasil S.A.</t>
  </si>
  <si>
    <t>9.37 -0.29 (-3.00%)</t>
  </si>
  <si>
    <t>634,258</t>
  </si>
  <si>
    <t>15.687B</t>
  </si>
  <si>
    <t>NVAX  Novavax, Inc.</t>
  </si>
  <si>
    <t>12.53 -0.38 (-2.91%)</t>
  </si>
  <si>
    <t>5.776M</t>
  </si>
  <si>
    <t>2.006B</t>
  </si>
  <si>
    <t>ZK  ZEEKR Intelligent Technology Holding Limited</t>
  </si>
  <si>
    <t>23.85 -0.71 (-2.89%)</t>
  </si>
  <si>
    <t>961,255</t>
  </si>
  <si>
    <t>5.905B</t>
  </si>
  <si>
    <t>SBLK  Star Bulk Carriers Corp.</t>
  </si>
  <si>
    <t>21.05 -0.61 (-2.82%)</t>
  </si>
  <si>
    <t>1.999M</t>
  </si>
  <si>
    <t>2.404B</t>
  </si>
  <si>
    <t>INTR  Inter &amp; Co, Inc.</t>
  </si>
  <si>
    <t>6.28 -0.18 (-2.79%)</t>
  </si>
  <si>
    <t>1.671M</t>
  </si>
  <si>
    <t>2.757B</t>
  </si>
  <si>
    <t>APPN  Appian Corporation</t>
  </si>
  <si>
    <t>31.31 -0.82 (-2.55%)</t>
  </si>
  <si>
    <t>548,555</t>
  </si>
  <si>
    <t>2.265B</t>
  </si>
  <si>
    <t>Top  Losers Daily</t>
  </si>
  <si>
    <t>% Change</t>
  </si>
  <si>
    <t>NVDA</t>
  </si>
  <si>
    <t>NVIDIA Corporation</t>
  </si>
  <si>
    <t>170.209M</t>
  </si>
  <si>
    <t>3.307T</t>
  </si>
  <si>
    <t>TSLA</t>
  </si>
  <si>
    <t>Tesla, Inc.</t>
  </si>
  <si>
    <t>PLTR</t>
  </si>
  <si>
    <t>Palantir Technologies Inc.</t>
  </si>
  <si>
    <t>62.146M</t>
  </si>
  <si>
    <t>97.438B</t>
  </si>
  <si>
    <t>UBER</t>
  </si>
  <si>
    <t>Uber Technologies, Inc.</t>
  </si>
  <si>
    <t>BAC</t>
  </si>
  <si>
    <t>Bank of America Corporation</t>
  </si>
  <si>
    <t>DJT</t>
  </si>
  <si>
    <t>Trump Media &amp; Technology Group Corp.</t>
  </si>
  <si>
    <t>INTC</t>
  </si>
  <si>
    <t>Intel Corporation</t>
  </si>
  <si>
    <t>43.585M</t>
  </si>
  <si>
    <t>100.743B</t>
  </si>
  <si>
    <t>NIO</t>
  </si>
  <si>
    <t>NIO Inc.</t>
  </si>
  <si>
    <t>41.755M</t>
  </si>
  <si>
    <t>13.103B</t>
  </si>
  <si>
    <t>SOFI</t>
  </si>
  <si>
    <t>SoFi Technologies, Inc.</t>
  </si>
  <si>
    <t>AMD</t>
  </si>
  <si>
    <t>Advanced Micro Devices, Inc.</t>
  </si>
  <si>
    <t>42.136M</t>
  </si>
  <si>
    <t>271.727B</t>
  </si>
  <si>
    <t>SMCI</t>
  </si>
  <si>
    <t>Super Micro Computer, Inc.</t>
  </si>
  <si>
    <t>40.748M</t>
  </si>
  <si>
    <t>27.99B</t>
  </si>
  <si>
    <t>ALTM</t>
  </si>
  <si>
    <t>Arcadium Lithium plc</t>
  </si>
  <si>
    <t>37.434M</t>
  </si>
  <si>
    <t>5.979B</t>
  </si>
  <si>
    <t>WFC</t>
  </si>
  <si>
    <t>Wells Fargo &amp; Company</t>
  </si>
  <si>
    <t>MARA</t>
  </si>
  <si>
    <t>MARA Holdings, Inc.</t>
  </si>
  <si>
    <t>LYFT</t>
  </si>
  <si>
    <t>Lyft, Inc.</t>
  </si>
  <si>
    <t>F</t>
  </si>
  <si>
    <t>Ford Motor Company</t>
  </si>
  <si>
    <t>30.118M</t>
  </si>
  <si>
    <t>42.615B</t>
  </si>
  <si>
    <t>AAPL</t>
  </si>
  <si>
    <t>Apple Inc.</t>
  </si>
  <si>
    <t>31.759M</t>
  </si>
  <si>
    <t>3.46T</t>
  </si>
  <si>
    <t>MSTR</t>
  </si>
  <si>
    <t>MicroStrategy Incorporated</t>
  </si>
  <si>
    <t>PFE</t>
  </si>
  <si>
    <t>Pfizer Inc.</t>
  </si>
  <si>
    <t>29.58M</t>
  </si>
  <si>
    <t>165.241B</t>
  </si>
  <si>
    <t>CCL</t>
  </si>
  <si>
    <t>Carnival Corporation &amp; plc</t>
  </si>
  <si>
    <t>28.128M</t>
  </si>
  <si>
    <t>27.414B</t>
  </si>
  <si>
    <t>BBD</t>
  </si>
  <si>
    <t>Banco Bradesco S.A.</t>
  </si>
  <si>
    <t>27.398M</t>
  </si>
  <si>
    <t>26.683B</t>
  </si>
  <si>
    <t>IQ</t>
  </si>
  <si>
    <t>iQIYI, Inc.</t>
  </si>
  <si>
    <t>26.373M</t>
  </si>
  <si>
    <t>AMZN</t>
  </si>
  <si>
    <t>Amazon.com, Inc.</t>
  </si>
  <si>
    <t>25.752M</t>
  </si>
  <si>
    <t>1.982T</t>
  </si>
  <si>
    <t>T</t>
  </si>
  <si>
    <t>AT&amp;T Inc.</t>
  </si>
  <si>
    <t>20.581M</t>
  </si>
  <si>
    <t>153.228B</t>
  </si>
  <si>
    <t>GRAB</t>
  </si>
  <si>
    <t>Grab Holdings Limited</t>
  </si>
  <si>
    <t>25.083M</t>
  </si>
  <si>
    <t>14.458B</t>
  </si>
  <si>
    <t>RIVN</t>
  </si>
  <si>
    <t>Rivian Automotive, Inc.</t>
  </si>
  <si>
    <t>24.733M</t>
  </si>
  <si>
    <t>10.587B</t>
  </si>
  <si>
    <t>CLSK</t>
  </si>
  <si>
    <t>CleanSpark, Inc.</t>
  </si>
  <si>
    <t>ZI</t>
  </si>
  <si>
    <t>ZoomInfo Technologies Inc.</t>
  </si>
  <si>
    <t>23.134M</t>
  </si>
  <si>
    <t>3.704B</t>
  </si>
  <si>
    <t>AVGO</t>
  </si>
  <si>
    <t>Broadcom Inc.</t>
  </si>
  <si>
    <t>23.07M</t>
  </si>
  <si>
    <t>847.617B</t>
  </si>
  <si>
    <t>VALE</t>
  </si>
  <si>
    <t>Vale S.A.</t>
  </si>
  <si>
    <t>22.279M</t>
  </si>
  <si>
    <t>47.301B</t>
  </si>
  <si>
    <t>CORZ</t>
  </si>
  <si>
    <t>Core Scientific, Inc.</t>
  </si>
  <si>
    <t>KMI</t>
  </si>
  <si>
    <t>Kinder Morgan, Inc.</t>
  </si>
  <si>
    <t>21.48M</t>
  </si>
  <si>
    <t>54.821B</t>
  </si>
  <si>
    <t>RIOT</t>
  </si>
  <si>
    <t>Riot Platforms, Inc.</t>
  </si>
  <si>
    <t>WBA</t>
  </si>
  <si>
    <t>Walgreens Boots Alliance, Inc.</t>
  </si>
  <si>
    <t>19.874M</t>
  </si>
  <si>
    <t>7.951B</t>
  </si>
  <si>
    <t>AFRM</t>
  </si>
  <si>
    <t>Affirm Holdings, Inc.</t>
  </si>
  <si>
    <t>WBD</t>
  </si>
  <si>
    <t>Warner Bros. Discovery, Inc.</t>
  </si>
  <si>
    <t>19.386M</t>
  </si>
  <si>
    <t>18.438B</t>
  </si>
  <si>
    <t>MU</t>
  </si>
  <si>
    <t>Micron Technology, Inc.</t>
  </si>
  <si>
    <t>19.134M</t>
  </si>
  <si>
    <t>118.546B</t>
  </si>
  <si>
    <t>NU</t>
  </si>
  <si>
    <t>Nu Holdings Ltd.</t>
  </si>
  <si>
    <t>18.861M</t>
  </si>
  <si>
    <t>65.662B</t>
  </si>
  <si>
    <t>LCID</t>
  </si>
  <si>
    <t>Lucid Group, Inc.</t>
  </si>
  <si>
    <t>18.524M</t>
  </si>
  <si>
    <t>7.884B</t>
  </si>
  <si>
    <t>JPM</t>
  </si>
  <si>
    <t>JPMorgan Chase &amp; Co.</t>
  </si>
  <si>
    <t>CELH</t>
  </si>
  <si>
    <t>Celsius Holdings, Inc.</t>
  </si>
  <si>
    <t>BABA</t>
  </si>
  <si>
    <t>Alibaba Group Holding Limited</t>
  </si>
  <si>
    <t>16.906M</t>
  </si>
  <si>
    <t>263.783B</t>
  </si>
  <si>
    <t>BTG</t>
  </si>
  <si>
    <t>B2Gold Corp.</t>
  </si>
  <si>
    <t>18.018M</t>
  </si>
  <si>
    <t>4.202B</t>
  </si>
  <si>
    <t>ITUB</t>
  </si>
  <si>
    <t>Itaú Unibanco Holding S.A.</t>
  </si>
  <si>
    <t>17.268M</t>
  </si>
  <si>
    <t>56.93B</t>
  </si>
  <si>
    <t>AAL</t>
  </si>
  <si>
    <t>American Airlines Group Inc.</t>
  </si>
  <si>
    <t>17.698M</t>
  </si>
  <si>
    <t>7.743B</t>
  </si>
  <si>
    <t>SNAP</t>
  </si>
  <si>
    <t>Snap Inc.</t>
  </si>
  <si>
    <t>ABEV</t>
  </si>
  <si>
    <t>Ambev S.A.</t>
  </si>
  <si>
    <t>16.884M</t>
  </si>
  <si>
    <t>36.827B</t>
  </si>
  <si>
    <t>HOOD</t>
  </si>
  <si>
    <t>Robinhood Markets, Inc.</t>
  </si>
  <si>
    <t>16.869M</t>
  </si>
  <si>
    <t>23.243B</t>
  </si>
  <si>
    <t>HBAN</t>
  </si>
  <si>
    <t>Huntington Bancshares Incorporated</t>
  </si>
  <si>
    <t>16.242M</t>
  </si>
  <si>
    <t>22.353B</t>
  </si>
  <si>
    <t>GGB</t>
  </si>
  <si>
    <t>Gerdau S.A.</t>
  </si>
  <si>
    <t>15.796M</t>
  </si>
  <si>
    <t>6.828B</t>
  </si>
  <si>
    <t>ET</t>
  </si>
  <si>
    <t>Energy Transfer LP</t>
  </si>
  <si>
    <t>15.67M</t>
  </si>
  <si>
    <t>56.535B</t>
  </si>
  <si>
    <t>TFC</t>
  </si>
  <si>
    <t>Truist Financial Corporation</t>
  </si>
  <si>
    <t>11.431M</t>
  </si>
  <si>
    <t>57.931B</t>
  </si>
  <si>
    <t>C</t>
  </si>
  <si>
    <t>Citigroup Inc.</t>
  </si>
  <si>
    <t>13.452M</t>
  </si>
  <si>
    <t>125.419B</t>
  </si>
  <si>
    <t>GOOGL</t>
  </si>
  <si>
    <t>Alphabet Inc.</t>
  </si>
  <si>
    <t>15.344M</t>
  </si>
  <si>
    <t>2.017T</t>
  </si>
  <si>
    <t>GOLD</t>
  </si>
  <si>
    <t>Barrick Gold Corporation</t>
  </si>
  <si>
    <t>14.355M</t>
  </si>
  <si>
    <t>35.048B</t>
  </si>
  <si>
    <t>STLA</t>
  </si>
  <si>
    <t>Stellantis N.V.</t>
  </si>
  <si>
    <t>13.724M</t>
  </si>
  <si>
    <t>38.285B</t>
  </si>
  <si>
    <t>JD</t>
  </si>
  <si>
    <t>JD.com, Inc.</t>
  </si>
  <si>
    <t>14.607M</t>
  </si>
  <si>
    <t>65.821B</t>
  </si>
  <si>
    <t>KVUE</t>
  </si>
  <si>
    <t>Kenvue Inc.</t>
  </si>
  <si>
    <t>14.513M</t>
  </si>
  <si>
    <t>41.1B</t>
  </si>
  <si>
    <t>MSFT</t>
  </si>
  <si>
    <t>Microsoft Corporation</t>
  </si>
  <si>
    <t>14.145M</t>
  </si>
  <si>
    <t>3.095T</t>
  </si>
  <si>
    <t>BEKE</t>
  </si>
  <si>
    <t>KE Holdings Inc.</t>
  </si>
  <si>
    <t>12.201M</t>
  </si>
  <si>
    <t>26.314B</t>
  </si>
  <si>
    <t>TME</t>
  </si>
  <si>
    <t>Tencent Music Entertainment Group</t>
  </si>
  <si>
    <t>13.609M</t>
  </si>
  <si>
    <t>21.007B</t>
  </si>
  <si>
    <t>CVS</t>
  </si>
  <si>
    <t>CVS Health Corporation</t>
  </si>
  <si>
    <t>10.157M</t>
  </si>
  <si>
    <t>83.819B</t>
  </si>
  <si>
    <t>CSCO</t>
  </si>
  <si>
    <t>Cisco Systems, Inc.</t>
  </si>
  <si>
    <t>12.705M</t>
  </si>
  <si>
    <t>216.497B</t>
  </si>
  <si>
    <t>MPW</t>
  </si>
  <si>
    <t>Medical Properties Trust, Inc.</t>
  </si>
  <si>
    <t>12.637M</t>
  </si>
  <si>
    <t>2.851B</t>
  </si>
  <si>
    <t>NCLH</t>
  </si>
  <si>
    <t>Norwegian Cruise Line Holdings Ltd.</t>
  </si>
  <si>
    <t>11.587M</t>
  </si>
  <si>
    <t>10.28B</t>
  </si>
  <si>
    <t>TSM</t>
  </si>
  <si>
    <t>Taiwan Semiconductor Manufacturing Company Limited</t>
  </si>
  <si>
    <t>12.131M</t>
  </si>
  <si>
    <t>989.556B</t>
  </si>
  <si>
    <t>CX</t>
  </si>
  <si>
    <t>CEMEX, S.A.B. de C.V.</t>
  </si>
  <si>
    <t>11.942M</t>
  </si>
  <si>
    <t>8.946B</t>
  </si>
  <si>
    <t>XPEV</t>
  </si>
  <si>
    <t>XPeng Inc.</t>
  </si>
  <si>
    <t>11.65M</t>
  </si>
  <si>
    <t>12.341B</t>
  </si>
  <si>
    <t>IONQ</t>
  </si>
  <si>
    <t>IonQ, Inc.</t>
  </si>
  <si>
    <t>AGNC</t>
  </si>
  <si>
    <t>AGNC Investment Corp.</t>
  </si>
  <si>
    <t>11.171M</t>
  </si>
  <si>
    <t>8.067B</t>
  </si>
  <si>
    <t>BTE</t>
  </si>
  <si>
    <t>Baytex Energy Corp.</t>
  </si>
  <si>
    <t>11.024M</t>
  </si>
  <si>
    <t>2.6B</t>
  </si>
  <si>
    <t>GOOG</t>
  </si>
  <si>
    <t>10.946M</t>
  </si>
  <si>
    <t>VST</t>
  </si>
  <si>
    <t>Vistra Corp.</t>
  </si>
  <si>
    <t>9.855M</t>
  </si>
  <si>
    <t>43.045B</t>
  </si>
  <si>
    <t>COIN</t>
  </si>
  <si>
    <t>Coinbase Global, Inc.</t>
  </si>
  <si>
    <t>BA</t>
  </si>
  <si>
    <t>The Boeing Company</t>
  </si>
  <si>
    <t>8.042M</t>
  </si>
  <si>
    <t>93.062B</t>
  </si>
  <si>
    <t>VZ</t>
  </si>
  <si>
    <t>Verizon Communications Inc.</t>
  </si>
  <si>
    <t>8.123M</t>
  </si>
  <si>
    <t>181.009B</t>
  </si>
  <si>
    <t>CMCSA</t>
  </si>
  <si>
    <t>Comcast Corporation</t>
  </si>
  <si>
    <t>10.448M</t>
  </si>
  <si>
    <t>159.779B</t>
  </si>
  <si>
    <t>KEY</t>
  </si>
  <si>
    <t>KeyCorp</t>
  </si>
  <si>
    <t>8.894M</t>
  </si>
  <si>
    <t>15.982B</t>
  </si>
  <si>
    <t>NKE</t>
  </si>
  <si>
    <t>NIKE, Inc.</t>
  </si>
  <si>
    <t>8.579M</t>
  </si>
  <si>
    <t>122.28B</t>
  </si>
  <si>
    <t>BK</t>
  </si>
  <si>
    <t>The Bank of New York Mellon Corporation</t>
  </si>
  <si>
    <t>10.109M</t>
  </si>
  <si>
    <t>53.913B</t>
  </si>
  <si>
    <t>HL</t>
  </si>
  <si>
    <t>Hecla Mining Company</t>
  </si>
  <si>
    <t>8.883M</t>
  </si>
  <si>
    <t>4.117B</t>
  </si>
  <si>
    <t>PR</t>
  </si>
  <si>
    <t>Permian Resources Corporation</t>
  </si>
  <si>
    <t>8.236M</t>
  </si>
  <si>
    <t>11.653B</t>
  </si>
  <si>
    <t>WMT</t>
  </si>
  <si>
    <t>Walmart Inc.</t>
  </si>
  <si>
    <t>7.176M</t>
  </si>
  <si>
    <t>643.864B</t>
  </si>
  <si>
    <t>NGD</t>
  </si>
  <si>
    <t>New Gold Inc.</t>
  </si>
  <si>
    <t>9.515M</t>
  </si>
  <si>
    <t>2.248B</t>
  </si>
  <si>
    <t>OXY</t>
  </si>
  <si>
    <t>Occidental Petroleum Corporation</t>
  </si>
  <si>
    <t>6.066M</t>
  </si>
  <si>
    <t>50.171B</t>
  </si>
  <si>
    <t>KGC</t>
  </si>
  <si>
    <t>Kinross Gold Corporation</t>
  </si>
  <si>
    <t>9.422M</t>
  </si>
  <si>
    <t>12.087B</t>
  </si>
  <si>
    <t>PBR</t>
  </si>
  <si>
    <t>Petróleo Brasileiro S.A. - Petrobras</t>
  </si>
  <si>
    <t>9.398M</t>
  </si>
  <si>
    <t>91.798B</t>
  </si>
  <si>
    <t>WMB</t>
  </si>
  <si>
    <t>The Williams Companies, Inc.</t>
  </si>
  <si>
    <t>7.885M</t>
  </si>
  <si>
    <t>61.532B</t>
  </si>
  <si>
    <t>BCS</t>
  </si>
  <si>
    <t>Barclays PLC</t>
  </si>
  <si>
    <t>8.97M</t>
  </si>
  <si>
    <t>45.199B</t>
  </si>
  <si>
    <t>ADMA</t>
  </si>
  <si>
    <t>ADMA Biologics, Inc.</t>
  </si>
  <si>
    <t>9.193M</t>
  </si>
  <si>
    <t>3.996B</t>
  </si>
  <si>
    <t>GM</t>
  </si>
  <si>
    <t>General Motors Company</t>
  </si>
  <si>
    <t>7.248M</t>
  </si>
  <si>
    <t>53.802B</t>
  </si>
  <si>
    <t>IAG</t>
  </si>
  <si>
    <t>IAMGOLD Corporation</t>
  </si>
  <si>
    <t>8.607M</t>
  </si>
  <si>
    <t>2.755B</t>
  </si>
  <si>
    <t>CLF</t>
  </si>
  <si>
    <t>Cleveland-Cliffs Inc.</t>
  </si>
  <si>
    <t>9.056M</t>
  </si>
  <si>
    <t>6.15B</t>
  </si>
  <si>
    <t>LUMN</t>
  </si>
  <si>
    <t>Lumen Technologies, Inc.</t>
  </si>
  <si>
    <t>7.912M</t>
  </si>
  <si>
    <t>6.304B</t>
  </si>
  <si>
    <t>PDD</t>
  </si>
  <si>
    <t>PDD Holdings Inc.</t>
  </si>
  <si>
    <t>8.989M</t>
  </si>
  <si>
    <t>201.038B</t>
  </si>
  <si>
    <t>JBLU</t>
  </si>
  <si>
    <t>JetBlue Airways Corporation</t>
  </si>
  <si>
    <t>8.987M</t>
  </si>
  <si>
    <t>2.331B</t>
  </si>
  <si>
    <t>SLB</t>
  </si>
  <si>
    <t>Schlumberger Limited</t>
  </si>
  <si>
    <t>8.802M</t>
  </si>
  <si>
    <t>63.58B</t>
  </si>
  <si>
    <t>USB</t>
  </si>
  <si>
    <t>U.S. Bancorp</t>
  </si>
  <si>
    <t>8.809M</t>
  </si>
  <si>
    <t>72.189B</t>
  </si>
  <si>
    <t>KO</t>
  </si>
  <si>
    <t>The Coca-Cola Company</t>
  </si>
  <si>
    <t>5.791M</t>
  </si>
  <si>
    <t>299.838B</t>
  </si>
  <si>
    <t>CDE</t>
  </si>
  <si>
    <t>Coeur Mining, Inc.</t>
  </si>
  <si>
    <t>8.668M</t>
  </si>
  <si>
    <t>2.551B</t>
  </si>
  <si>
    <t>Top 100 Activity</t>
  </si>
  <si>
    <t>Top Gainers</t>
  </si>
  <si>
    <t>Top Losers</t>
  </si>
  <si>
    <t>Top Activity</t>
  </si>
  <si>
    <t>S&amp;P 500</t>
  </si>
  <si>
    <t>Abbreviation</t>
  </si>
  <si>
    <t>DOW 30</t>
  </si>
  <si>
    <t>NASDAQ 100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</si>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</sst>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73" formatCode="&quot;$&quot;#,##0.00"/>
  </numFmts>
  <fonts count="3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HP Simplified"/>
      <family val="2"/>
    </font>
    <font>
      <b/>
      <sz val="14"/>
      <color theme="1"/>
      <name val="HP Simplified"/>
      <family val="2"/>
    </font>
    <font>
      <b/>
      <sz val="24"/>
      <color theme="1"/>
      <name val="HP Simplified"/>
      <family val="2"/>
    </font>
    <font>
      <b/>
      <sz val="12"/>
      <color theme="1"/>
      <name val="HP Simplified"/>
      <family val="2"/>
    </font>
    <font>
      <sz val="8"/>
      <name val="Aptos Narrow"/>
      <family val="2"/>
      <scheme val="minor"/>
    </font>
    <font>
      <sz val="11"/>
      <color theme="6"/>
      <name val="Arial"/>
      <family val="2"/>
    </font>
    <font>
      <b/>
      <sz val="14"/>
      <color theme="10"/>
      <name val="HP Simplified"/>
      <family val="2"/>
    </font>
    <font>
      <sz val="11"/>
      <color rgb="FFFF0000"/>
      <name val="HP Simplified"/>
      <family val="2"/>
    </font>
    <font>
      <b/>
      <sz val="30"/>
      <color theme="1"/>
      <name val="HP Simplified"/>
      <family val="2"/>
    </font>
    <font>
      <sz val="15"/>
      <color theme="1"/>
      <name val="HP Simplified"/>
      <family val="2"/>
    </font>
    <font>
      <sz val="13"/>
      <color theme="1"/>
      <name val="HP Simplified"/>
      <family val="2"/>
    </font>
    <font>
      <sz val="13"/>
      <color rgb="FF00B050"/>
      <name val="HP Simplified"/>
      <family val="2"/>
    </font>
    <font>
      <sz val="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45">
    <xf numFmtId="0" fontId="0" fillId="0" borderId="0" xfId="0"/>
    <xf numFmtId="164" fontId="0" fillId="0" borderId="0" xfId="0" applyNumberFormat="1"/>
    <xf numFmtId="10" fontId="21" fillId="0" borderId="0" xfId="44" applyNumberFormat="1" applyFont="1" applyAlignment="1"/>
    <xf numFmtId="0" fontId="21" fillId="0" borderId="0" xfId="0" applyNumberFormat="1" applyFont="1" applyBorder="1" applyAlignment="1">
      <alignment horizontal="left" vertical="center"/>
    </xf>
    <xf numFmtId="0" fontId="21" fillId="0" borderId="0" xfId="0" applyNumberFormat="1" applyFont="1" applyAlignment="1">
      <alignment horizontal="left" vertical="center"/>
    </xf>
    <xf numFmtId="0" fontId="21" fillId="0" borderId="0" xfId="0" applyFont="1" applyAlignment="1">
      <alignment horizontal="left"/>
    </xf>
    <xf numFmtId="0" fontId="21" fillId="0" borderId="0" xfId="0" applyNumberFormat="1" applyFont="1" applyBorder="1" applyAlignment="1">
      <alignment horizontal="left"/>
    </xf>
    <xf numFmtId="0" fontId="21" fillId="0" borderId="0" xfId="0" applyNumberFormat="1" applyFont="1" applyAlignment="1">
      <alignment horizontal="left"/>
    </xf>
    <xf numFmtId="0" fontId="21" fillId="0" borderId="0" xfId="0" applyFont="1" applyBorder="1" applyAlignment="1">
      <alignment horizontal="left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3" fillId="0" borderId="0" xfId="0" applyFont="1"/>
    <xf numFmtId="0" fontId="21" fillId="0" borderId="0" xfId="0" applyFont="1" applyAlignment="1">
      <alignment horizontal="right"/>
    </xf>
    <xf numFmtId="10" fontId="21" fillId="0" borderId="0" xfId="44" applyNumberFormat="1" applyFont="1" applyAlignment="1">
      <alignment horizontal="right"/>
      <extLst>
        <ext xmlns:xfpb="http://schemas.microsoft.com/office/spreadsheetml/2022/featurepropertybag" uri="{C7286773-470A-42A8-94C5-96B5CB345126}">
          <xfpb:xfComplement i="0"/>
        </ext>
      </extLst>
    </xf>
    <xf numFmtId="2" fontId="21" fillId="0" borderId="0" xfId="1" applyNumberFormat="1" applyFont="1" applyAlignment="1">
      <alignment horizontal="right"/>
    </xf>
    <xf numFmtId="44" fontId="21" fillId="0" borderId="0" xfId="1" applyFont="1" applyAlignment="1">
      <alignment horizontal="right"/>
    </xf>
    <xf numFmtId="0" fontId="21" fillId="0" borderId="0" xfId="0" applyNumberFormat="1" applyFont="1" applyAlignment="1">
      <alignment horizontal="right"/>
    </xf>
    <xf numFmtId="0" fontId="21" fillId="0" borderId="0" xfId="0" applyFont="1"/>
    <xf numFmtId="0" fontId="24" fillId="0" borderId="0" xfId="0" applyFont="1"/>
    <xf numFmtId="0" fontId="24" fillId="0" borderId="0" xfId="0" applyFont="1" applyAlignment="1">
      <alignment horizontal="center"/>
    </xf>
    <xf numFmtId="0" fontId="21" fillId="0" borderId="0" xfId="0" applyNumberFormat="1" applyFont="1"/>
    <xf numFmtId="10" fontId="21" fillId="0" borderId="0" xfId="44" applyNumberFormat="1" applyFont="1"/>
    <xf numFmtId="0" fontId="22" fillId="0" borderId="0" xfId="0" applyFont="1"/>
    <xf numFmtId="0" fontId="22" fillId="0" borderId="0" xfId="0" applyFont="1" applyAlignment="1">
      <alignment horizontal="center" vertical="center"/>
    </xf>
    <xf numFmtId="173" fontId="21" fillId="0" borderId="0" xfId="0" applyNumberFormat="1" applyFont="1"/>
    <xf numFmtId="10" fontId="26" fillId="0" borderId="0" xfId="44" applyNumberFormat="1" applyFont="1"/>
    <xf numFmtId="173" fontId="26" fillId="0" borderId="0" xfId="0" applyNumberFormat="1" applyFont="1"/>
    <xf numFmtId="173" fontId="21" fillId="0" borderId="0" xfId="1" applyNumberFormat="1" applyFont="1" applyAlignment="1">
      <alignment horizontal="right"/>
    </xf>
    <xf numFmtId="0" fontId="27" fillId="0" borderId="0" xfId="45" applyFont="1"/>
    <xf numFmtId="2" fontId="2" fillId="0" borderId="0" xfId="1" applyNumberFormat="1" applyFont="1"/>
    <xf numFmtId="2" fontId="21" fillId="0" borderId="0" xfId="1" applyNumberFormat="1" applyFont="1"/>
    <xf numFmtId="10" fontId="28" fillId="0" borderId="0" xfId="44" applyNumberFormat="1" applyFont="1"/>
    <xf numFmtId="173" fontId="28" fillId="0" borderId="0" xfId="1" applyNumberFormat="1" applyFont="1"/>
    <xf numFmtId="10" fontId="0" fillId="0" borderId="0" xfId="0" applyNumberFormat="1"/>
    <xf numFmtId="2" fontId="0" fillId="0" borderId="0" xfId="0" applyNumberFormat="1"/>
    <xf numFmtId="0" fontId="29" fillId="0" borderId="0" xfId="0" applyFont="1"/>
    <xf numFmtId="0" fontId="30" fillId="0" borderId="10" xfId="0" applyFont="1" applyBorder="1" applyAlignment="1">
      <alignment horizontal="left"/>
    </xf>
    <xf numFmtId="10" fontId="0" fillId="0" borderId="10" xfId="0" applyNumberFormat="1" applyBorder="1"/>
    <xf numFmtId="0" fontId="0" fillId="0" borderId="10" xfId="0" applyBorder="1"/>
    <xf numFmtId="0" fontId="31" fillId="0" borderId="1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horizontal="left"/>
    </xf>
    <xf numFmtId="0" fontId="19" fillId="0" borderId="0" xfId="0" applyFont="1"/>
  </cellXfs>
  <cellStyles count="46">
    <cellStyle name="20% - Accent1 2" xfId="21" xr:uid="{3A24D3D5-3FAF-4830-92E6-A113814720C5}"/>
    <cellStyle name="20% - Accent2 2" xfId="25" xr:uid="{6828392D-4B93-4833-8478-D25D5055706B}"/>
    <cellStyle name="20% - Accent3 2" xfId="29" xr:uid="{4C6F025F-6388-4C2A-83E9-5F7952E2F972}"/>
    <cellStyle name="20% - Accent4 2" xfId="33" xr:uid="{D7A22416-629B-4ACD-8E95-5E85C34CACFA}"/>
    <cellStyle name="20% - Accent5 2" xfId="37" xr:uid="{F791E3D4-3562-4B43-8F83-FFFB437F0A93}"/>
    <cellStyle name="20% - Accent6 2" xfId="41" xr:uid="{965F4B4D-25DC-43ED-8AE5-8E0C8A3BC892}"/>
    <cellStyle name="40% - Accent1 2" xfId="22" xr:uid="{98825ECE-CB02-4110-9871-4932F5952215}"/>
    <cellStyle name="40% - Accent2 2" xfId="26" xr:uid="{08210C73-7F47-46F9-A89D-BD6DB024154B}"/>
    <cellStyle name="40% - Accent3 2" xfId="30" xr:uid="{7E640BD3-37C6-4465-942D-F453EED46E7E}"/>
    <cellStyle name="40% - Accent4 2" xfId="34" xr:uid="{4A6168AB-EC7E-44E3-8778-75391DFB210F}"/>
    <cellStyle name="40% - Accent5 2" xfId="38" xr:uid="{53FDE649-227A-4182-9D7A-E9C2F7494EE3}"/>
    <cellStyle name="40% - Accent6 2" xfId="42" xr:uid="{50F4DB88-9D34-499F-8D63-9634E24B2B14}"/>
    <cellStyle name="60% - Accent1 2" xfId="23" xr:uid="{6092F9B8-6E8F-4674-BF32-9DE3C2BB5881}"/>
    <cellStyle name="60% - Accent2 2" xfId="27" xr:uid="{22CBB9E5-9C82-41E0-9F3E-C0ED2E232F83}"/>
    <cellStyle name="60% - Accent3 2" xfId="31" xr:uid="{FB30203C-985A-4060-9E0C-CDF44E3D9E3B}"/>
    <cellStyle name="60% - Accent4 2" xfId="35" xr:uid="{79480C36-48E7-489C-9B95-3ED9F9121914}"/>
    <cellStyle name="60% - Accent5 2" xfId="39" xr:uid="{B60875FC-5BCC-43F6-A1C7-936C94423231}"/>
    <cellStyle name="60% - Accent6 2" xfId="43" xr:uid="{89C272DF-F632-4BD5-BA9C-DC6573754FB2}"/>
    <cellStyle name="Accent1 2" xfId="20" xr:uid="{F91CF8C6-9278-4F42-B686-779C296565DA}"/>
    <cellStyle name="Accent2 2" xfId="24" xr:uid="{DF6DBDA8-85F6-4560-BF77-3F01F1F538E5}"/>
    <cellStyle name="Accent3 2" xfId="28" xr:uid="{150D880C-930A-493D-B04D-0F9C97DF0E53}"/>
    <cellStyle name="Accent4 2" xfId="32" xr:uid="{8B91A5A7-38EE-418C-B797-6A78E05FDC29}"/>
    <cellStyle name="Accent5 2" xfId="36" xr:uid="{97057FC3-A504-41BA-97CB-BCBF800B58B3}"/>
    <cellStyle name="Accent6 2" xfId="40" xr:uid="{8421382E-D7AE-4ACB-8B3C-25807622EACA}"/>
    <cellStyle name="Bad 2" xfId="9" xr:uid="{6F009FE6-E475-4D7F-8417-C5EE577E7D77}"/>
    <cellStyle name="Calculation 2" xfId="13" xr:uid="{05F38A38-3EE2-434C-8485-790B784A74D8}"/>
    <cellStyle name="Check Cell 2" xfId="15" xr:uid="{39AD81C0-AF16-4A66-B055-E31306C63A03}"/>
    <cellStyle name="Currency" xfId="1" builtinId="4"/>
    <cellStyle name="Explanatory Text 2" xfId="18" xr:uid="{A50D471F-5D25-40CC-B2FF-34B9FCBAB5D8}"/>
    <cellStyle name="Good 2" xfId="8" xr:uid="{E961FECF-3402-4364-A4C0-601182412CD2}"/>
    <cellStyle name="Heading 1 2" xfId="4" xr:uid="{97324E49-A4DD-483C-AE70-18A990F7C424}"/>
    <cellStyle name="Heading 2 2" xfId="5" xr:uid="{DF3942F4-75AF-43FE-8C8B-02548DA9ACBB}"/>
    <cellStyle name="Heading 3 2" xfId="6" xr:uid="{3286B2CD-412B-4932-8025-AB43546CE36E}"/>
    <cellStyle name="Heading 4 2" xfId="7" xr:uid="{56412D3D-B6B7-42B3-B6C0-7510C08F7DBD}"/>
    <cellStyle name="Hyperlink" xfId="45" builtinId="8"/>
    <cellStyle name="Input 2" xfId="11" xr:uid="{243DF6D3-ABE7-492F-A9B2-AAA8B98D08CD}"/>
    <cellStyle name="Linked Cell 2" xfId="14" xr:uid="{B562BCF7-D967-4444-B968-CD2CD5B3627C}"/>
    <cellStyle name="Neutral 2" xfId="10" xr:uid="{26945F04-641B-4DD6-95C2-78F2A2F86358}"/>
    <cellStyle name="Normal" xfId="0" builtinId="0"/>
    <cellStyle name="Normal 2" xfId="2" xr:uid="{756F77AD-3198-41BB-9498-4E06792E1344}"/>
    <cellStyle name="Note 2" xfId="17" xr:uid="{C7969F38-8DB8-46FE-9610-25F385C5AD02}"/>
    <cellStyle name="Output 2" xfId="12" xr:uid="{166B91DC-EC7A-4BC6-8CE9-4CF849E89D1C}"/>
    <cellStyle name="Percent" xfId="44" builtinId="5"/>
    <cellStyle name="Title 2" xfId="3" xr:uid="{E25E7A80-6DD7-4AD8-9CEA-8F4440AEEBE4}"/>
    <cellStyle name="Total 2" xfId="19" xr:uid="{143E665D-F930-4549-8C74-CF63F03CF7EB}"/>
    <cellStyle name="Warning Text 2" xfId="16" xr:uid="{AA6E2F60-AA9D-4A7F-8921-1878B38EE69D}"/>
  </cellStyles>
  <dxfs count="49"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numFmt numFmtId="173" formatCode="&quot;$&quot;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numFmt numFmtId="14" formatCode="0.00%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numFmt numFmtId="173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numFmt numFmtId="173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numFmt numFmtId="0" formatCode="General"/>
    </dxf>
    <dxf>
      <font>
        <strike val="0"/>
        <color rgb="FF00B050"/>
      </font>
    </dxf>
    <dxf>
      <font>
        <strike val="0"/>
        <color rgb="FF00B050"/>
      </font>
    </dxf>
    <dxf>
      <font>
        <strike val="0"/>
        <color rgb="FF00B050"/>
      </font>
    </dxf>
    <dxf>
      <font>
        <strike val="0"/>
        <color rgb="FFFF0000"/>
      </font>
    </dxf>
    <dxf>
      <font>
        <strike val="0"/>
        <color rgb="FF00B050"/>
      </font>
    </dxf>
    <dxf>
      <font>
        <strike val="0"/>
        <color rgb="FFFF0000"/>
      </font>
    </dxf>
    <dxf>
      <font>
        <strike val="0"/>
        <color rgb="FF00B050"/>
      </font>
    </dxf>
    <dxf>
      <numFmt numFmtId="164" formatCode="_([$$-409]* #,##0.00_);_([$$-409]* \(#,##0.00\);_([$$-409]* &quot;-&quot;??_);_(@_)"/>
    </dxf>
    <dxf>
      <numFmt numFmtId="14" formatCode="0.00%"/>
    </dxf>
    <dxf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</dxf>
    <dxf>
      <font>
        <b/>
        <strike val="0"/>
        <outline val="0"/>
        <shadow val="0"/>
        <u val="none"/>
        <vertAlign val="baseline"/>
        <sz val="14"/>
        <color theme="1"/>
        <name val="HP Simplified"/>
        <family val="2"/>
        <scheme val="none"/>
      </font>
    </dxf>
    <dxf>
      <font>
        <b/>
        <strike val="0"/>
        <outline val="0"/>
        <shadow val="0"/>
        <u val="none"/>
        <vertAlign val="baseline"/>
        <sz val="14"/>
        <color theme="1"/>
        <name val="HP Simplifie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</dxf>
    <dxf>
      <font>
        <b/>
        <strike val="0"/>
        <outline val="0"/>
        <shadow val="0"/>
        <u val="none"/>
        <vertAlign val="baseline"/>
        <sz val="14"/>
        <color theme="1"/>
        <name val="HP Simplified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P Simplified"/>
        <family val="2"/>
        <scheme val="none"/>
      </font>
      <alignment horizontal="center" textRotation="0" wrapText="0" indent="0" justifyLastLine="0" shrinkToFit="0" readingOrder="0"/>
    </dxf>
    <dxf>
      <font>
        <strike val="0"/>
      </font>
      <fill>
        <patternFill>
          <bgColor theme="0" tint="-0.24994659260841701"/>
        </patternFill>
      </fill>
    </dxf>
    <dxf>
      <fill>
        <patternFill>
          <bgColor theme="0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</dxf>
    <dxf>
      <font>
        <strike val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2" defaultTableStyle="TableStyleMedium2" defaultPivotStyle="PivotStyleLight16">
    <tableStyle name="Table Style 1" pivot="0" count="2" xr9:uid="{B115ABEA-CBBA-40BF-A4C0-0E3FE8CCE38F}">
      <tableStyleElement type="headerRow" dxfId="46"/>
      <tableStyleElement type="firstRowStripe" dxfId="45"/>
    </tableStyle>
    <tableStyle name="Testing" pivot="0" count="2" xr9:uid="{F08B1CE6-51A8-4D16-9773-F416EDFF65E8}">
      <tableStyleElement type="wholeTable" dxfId="47"/>
      <tableStyleElement type="firstRowStripe" dxfId="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Structure" Target="richData/rdrichvaluestructure.xml"/><Relationship Id="rId1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298450</xdr:colOff>
      <xdr:row>1</xdr:row>
      <xdr:rowOff>387350</xdr:rowOff>
    </xdr:from>
    <xdr:to>
      <xdr:col>3</xdr:col>
      <xdr:colOff>514350</xdr:colOff>
      <xdr:row>2</xdr:row>
      <xdr:rowOff>63500</xdr:rowOff>
    </xdr:to>
    <xdr:sp macro="" textlink="">
      <xdr:nvSpPr>
        <xdr:cNvPr id="22" name="Isosceles Triangle 21">
          <a:extLst>
            <a:ext uri="{FF2B5EF4-FFF2-40B4-BE49-F238E27FC236}">
              <a16:creationId xmlns:a16="http://schemas.microsoft.com/office/drawing/2014/main" id="{5F2B49C9-7B62-5E8D-EF1F-F9336FFD06E2}"/>
            </a:ext>
          </a:extLst>
        </xdr:cNvPr>
        <xdr:cNvSpPr/>
      </xdr:nvSpPr>
      <xdr:spPr>
        <a:xfrm>
          <a:off x="2316532" y="570021"/>
          <a:ext cx="215900" cy="145876"/>
        </a:xfrm>
        <a:prstGeom prst="triangle">
          <a:avLst/>
        </a:prstGeom>
        <a:solidFill>
          <a:srgbClr val="00B05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355600</xdr:colOff>
      <xdr:row>1</xdr:row>
      <xdr:rowOff>381000</xdr:rowOff>
    </xdr:from>
    <xdr:to>
      <xdr:col>8</xdr:col>
      <xdr:colOff>571500</xdr:colOff>
      <xdr:row>2</xdr:row>
      <xdr:rowOff>57150</xdr:rowOff>
    </xdr:to>
    <xdr:sp macro="" textlink="">
      <xdr:nvSpPr>
        <xdr:cNvPr id="23" name="Isosceles Triangle 22">
          <a:extLst>
            <a:ext uri="{FF2B5EF4-FFF2-40B4-BE49-F238E27FC236}">
              <a16:creationId xmlns:a16="http://schemas.microsoft.com/office/drawing/2014/main" id="{70DCF4DA-0318-4A2E-A044-C9625976EB15}"/>
            </a:ext>
          </a:extLst>
        </xdr:cNvPr>
        <xdr:cNvSpPr/>
      </xdr:nvSpPr>
      <xdr:spPr>
        <a:xfrm>
          <a:off x="5937250" y="565150"/>
          <a:ext cx="215900" cy="146050"/>
        </a:xfrm>
        <a:prstGeom prst="triangle">
          <a:avLst/>
        </a:prstGeom>
        <a:solidFill>
          <a:srgbClr val="00B05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208767</xdr:colOff>
      <xdr:row>1</xdr:row>
      <xdr:rowOff>365342</xdr:rowOff>
    </xdr:from>
    <xdr:to>
      <xdr:col>12</xdr:col>
      <xdr:colOff>424667</xdr:colOff>
      <xdr:row>2</xdr:row>
      <xdr:rowOff>41492</xdr:rowOff>
    </xdr:to>
    <xdr:sp macro="" textlink="">
      <xdr:nvSpPr>
        <xdr:cNvPr id="24" name="Isosceles Triangle 23">
          <a:extLst>
            <a:ext uri="{FF2B5EF4-FFF2-40B4-BE49-F238E27FC236}">
              <a16:creationId xmlns:a16="http://schemas.microsoft.com/office/drawing/2014/main" id="{FED6625F-CB45-4C39-8BDB-A972D23E106F}"/>
            </a:ext>
          </a:extLst>
        </xdr:cNvPr>
        <xdr:cNvSpPr/>
      </xdr:nvSpPr>
      <xdr:spPr>
        <a:xfrm>
          <a:off x="10125205" y="548013"/>
          <a:ext cx="215900" cy="145876"/>
        </a:xfrm>
        <a:prstGeom prst="triangle">
          <a:avLst/>
        </a:prstGeom>
        <a:solidFill>
          <a:srgbClr val="00B05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</xdr:row>
      <xdr:rowOff>28575</xdr:rowOff>
    </xdr:from>
    <xdr:to>
      <xdr:col>4</xdr:col>
      <xdr:colOff>127000</xdr:colOff>
      <xdr:row>2</xdr:row>
      <xdr:rowOff>155575</xdr:rowOff>
    </xdr:to>
    <xdr:sp macro="" textlink="">
      <xdr:nvSpPr>
        <xdr:cNvPr id="711" name="Arrow: Up 710">
          <a:extLst>
            <a:ext uri="{FF2B5EF4-FFF2-40B4-BE49-F238E27FC236}">
              <a16:creationId xmlns:a16="http://schemas.microsoft.com/office/drawing/2014/main" id="{5087A884-AC2D-75B8-97EA-4B78CD369A94}"/>
            </a:ext>
          </a:extLst>
        </xdr:cNvPr>
        <xdr:cNvSpPr>
          <a:spLocks/>
        </xdr:cNvSpPr>
      </xdr:nvSpPr>
      <xdr:spPr>
        <a:xfrm>
          <a:off x="7715250" y="5048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3</xdr:row>
      <xdr:rowOff>28575</xdr:rowOff>
    </xdr:from>
    <xdr:to>
      <xdr:col>4</xdr:col>
      <xdr:colOff>127000</xdr:colOff>
      <xdr:row>3</xdr:row>
      <xdr:rowOff>155575</xdr:rowOff>
    </xdr:to>
    <xdr:sp macro="" textlink="">
      <xdr:nvSpPr>
        <xdr:cNvPr id="712" name="Arrow: Up 711">
          <a:extLst>
            <a:ext uri="{FF2B5EF4-FFF2-40B4-BE49-F238E27FC236}">
              <a16:creationId xmlns:a16="http://schemas.microsoft.com/office/drawing/2014/main" id="{79CB2DA0-C993-9D62-B934-195D309C01CB}"/>
            </a:ext>
          </a:extLst>
        </xdr:cNvPr>
        <xdr:cNvSpPr>
          <a:spLocks/>
        </xdr:cNvSpPr>
      </xdr:nvSpPr>
      <xdr:spPr>
        <a:xfrm>
          <a:off x="7715250" y="6889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4</xdr:row>
      <xdr:rowOff>28575</xdr:rowOff>
    </xdr:from>
    <xdr:to>
      <xdr:col>4</xdr:col>
      <xdr:colOff>127000</xdr:colOff>
      <xdr:row>4</xdr:row>
      <xdr:rowOff>155575</xdr:rowOff>
    </xdr:to>
    <xdr:sp macro="" textlink="">
      <xdr:nvSpPr>
        <xdr:cNvPr id="713" name="Arrow: Up 712">
          <a:extLst>
            <a:ext uri="{FF2B5EF4-FFF2-40B4-BE49-F238E27FC236}">
              <a16:creationId xmlns:a16="http://schemas.microsoft.com/office/drawing/2014/main" id="{64E7806A-BFE3-1C77-BB1E-859E5FA9139A}"/>
            </a:ext>
          </a:extLst>
        </xdr:cNvPr>
        <xdr:cNvSpPr>
          <a:spLocks/>
        </xdr:cNvSpPr>
      </xdr:nvSpPr>
      <xdr:spPr>
        <a:xfrm>
          <a:off x="7715250" y="8731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5</xdr:row>
      <xdr:rowOff>28575</xdr:rowOff>
    </xdr:from>
    <xdr:to>
      <xdr:col>4</xdr:col>
      <xdr:colOff>127000</xdr:colOff>
      <xdr:row>5</xdr:row>
      <xdr:rowOff>155575</xdr:rowOff>
    </xdr:to>
    <xdr:sp macro="" textlink="">
      <xdr:nvSpPr>
        <xdr:cNvPr id="714" name="Arrow: Up 713">
          <a:extLst>
            <a:ext uri="{FF2B5EF4-FFF2-40B4-BE49-F238E27FC236}">
              <a16:creationId xmlns:a16="http://schemas.microsoft.com/office/drawing/2014/main" id="{5947A10D-3CD8-2A12-68C2-D4027B9A0D42}"/>
            </a:ext>
          </a:extLst>
        </xdr:cNvPr>
        <xdr:cNvSpPr>
          <a:spLocks/>
        </xdr:cNvSpPr>
      </xdr:nvSpPr>
      <xdr:spPr>
        <a:xfrm>
          <a:off x="7715250" y="10572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6</xdr:row>
      <xdr:rowOff>28575</xdr:rowOff>
    </xdr:from>
    <xdr:to>
      <xdr:col>4</xdr:col>
      <xdr:colOff>127000</xdr:colOff>
      <xdr:row>6</xdr:row>
      <xdr:rowOff>155575</xdr:rowOff>
    </xdr:to>
    <xdr:sp macro="" textlink="">
      <xdr:nvSpPr>
        <xdr:cNvPr id="715" name="Arrow: Up 714">
          <a:extLst>
            <a:ext uri="{FF2B5EF4-FFF2-40B4-BE49-F238E27FC236}">
              <a16:creationId xmlns:a16="http://schemas.microsoft.com/office/drawing/2014/main" id="{39A0ED4F-840F-CF92-FA00-31BAEB4D5628}"/>
            </a:ext>
          </a:extLst>
        </xdr:cNvPr>
        <xdr:cNvSpPr>
          <a:spLocks/>
        </xdr:cNvSpPr>
      </xdr:nvSpPr>
      <xdr:spPr>
        <a:xfrm>
          <a:off x="7715250" y="12414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7</xdr:row>
      <xdr:rowOff>28575</xdr:rowOff>
    </xdr:from>
    <xdr:to>
      <xdr:col>4</xdr:col>
      <xdr:colOff>127000</xdr:colOff>
      <xdr:row>7</xdr:row>
      <xdr:rowOff>155575</xdr:rowOff>
    </xdr:to>
    <xdr:sp macro="" textlink="">
      <xdr:nvSpPr>
        <xdr:cNvPr id="716" name="Arrow: Up 715">
          <a:extLst>
            <a:ext uri="{FF2B5EF4-FFF2-40B4-BE49-F238E27FC236}">
              <a16:creationId xmlns:a16="http://schemas.microsoft.com/office/drawing/2014/main" id="{17602ADB-C985-A5AB-9873-82AB0490C6A8}"/>
            </a:ext>
          </a:extLst>
        </xdr:cNvPr>
        <xdr:cNvSpPr>
          <a:spLocks/>
        </xdr:cNvSpPr>
      </xdr:nvSpPr>
      <xdr:spPr>
        <a:xfrm>
          <a:off x="7715250" y="14255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8</xdr:row>
      <xdr:rowOff>28575</xdr:rowOff>
    </xdr:from>
    <xdr:to>
      <xdr:col>4</xdr:col>
      <xdr:colOff>127000</xdr:colOff>
      <xdr:row>8</xdr:row>
      <xdr:rowOff>155575</xdr:rowOff>
    </xdr:to>
    <xdr:sp macro="" textlink="">
      <xdr:nvSpPr>
        <xdr:cNvPr id="717" name="Arrow: Up 716">
          <a:extLst>
            <a:ext uri="{FF2B5EF4-FFF2-40B4-BE49-F238E27FC236}">
              <a16:creationId xmlns:a16="http://schemas.microsoft.com/office/drawing/2014/main" id="{ABB2845A-2E32-ECDA-F1FD-35CD27594C49}"/>
            </a:ext>
          </a:extLst>
        </xdr:cNvPr>
        <xdr:cNvSpPr>
          <a:spLocks/>
        </xdr:cNvSpPr>
      </xdr:nvSpPr>
      <xdr:spPr>
        <a:xfrm>
          <a:off x="7715250" y="16097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9</xdr:row>
      <xdr:rowOff>28575</xdr:rowOff>
    </xdr:from>
    <xdr:to>
      <xdr:col>4</xdr:col>
      <xdr:colOff>127000</xdr:colOff>
      <xdr:row>9</xdr:row>
      <xdr:rowOff>155575</xdr:rowOff>
    </xdr:to>
    <xdr:sp macro="" textlink="">
      <xdr:nvSpPr>
        <xdr:cNvPr id="718" name="Arrow: Up 717">
          <a:extLst>
            <a:ext uri="{FF2B5EF4-FFF2-40B4-BE49-F238E27FC236}">
              <a16:creationId xmlns:a16="http://schemas.microsoft.com/office/drawing/2014/main" id="{B01E899A-5F09-9D2E-D21C-C2AD98AFB50F}"/>
            </a:ext>
          </a:extLst>
        </xdr:cNvPr>
        <xdr:cNvSpPr>
          <a:spLocks/>
        </xdr:cNvSpPr>
      </xdr:nvSpPr>
      <xdr:spPr>
        <a:xfrm>
          <a:off x="7715250" y="17938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10</xdr:row>
      <xdr:rowOff>28575</xdr:rowOff>
    </xdr:from>
    <xdr:to>
      <xdr:col>4</xdr:col>
      <xdr:colOff>127000</xdr:colOff>
      <xdr:row>10</xdr:row>
      <xdr:rowOff>155575</xdr:rowOff>
    </xdr:to>
    <xdr:sp macro="" textlink="">
      <xdr:nvSpPr>
        <xdr:cNvPr id="719" name="Arrow: Up 718">
          <a:extLst>
            <a:ext uri="{FF2B5EF4-FFF2-40B4-BE49-F238E27FC236}">
              <a16:creationId xmlns:a16="http://schemas.microsoft.com/office/drawing/2014/main" id="{2F173263-C938-8909-AF96-CE96820076E9}"/>
            </a:ext>
          </a:extLst>
        </xdr:cNvPr>
        <xdr:cNvSpPr>
          <a:spLocks/>
        </xdr:cNvSpPr>
      </xdr:nvSpPr>
      <xdr:spPr>
        <a:xfrm>
          <a:off x="7715250" y="19780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11</xdr:row>
      <xdr:rowOff>28575</xdr:rowOff>
    </xdr:from>
    <xdr:to>
      <xdr:col>4</xdr:col>
      <xdr:colOff>127000</xdr:colOff>
      <xdr:row>11</xdr:row>
      <xdr:rowOff>155575</xdr:rowOff>
    </xdr:to>
    <xdr:sp macro="" textlink="">
      <xdr:nvSpPr>
        <xdr:cNvPr id="720" name="Arrow: Up 719">
          <a:extLst>
            <a:ext uri="{FF2B5EF4-FFF2-40B4-BE49-F238E27FC236}">
              <a16:creationId xmlns:a16="http://schemas.microsoft.com/office/drawing/2014/main" id="{250EBE14-B784-44B7-51C9-FB39479F3545}"/>
            </a:ext>
          </a:extLst>
        </xdr:cNvPr>
        <xdr:cNvSpPr>
          <a:spLocks/>
        </xdr:cNvSpPr>
      </xdr:nvSpPr>
      <xdr:spPr>
        <a:xfrm>
          <a:off x="7715250" y="21621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12</xdr:row>
      <xdr:rowOff>28575</xdr:rowOff>
    </xdr:from>
    <xdr:to>
      <xdr:col>4</xdr:col>
      <xdr:colOff>127000</xdr:colOff>
      <xdr:row>12</xdr:row>
      <xdr:rowOff>155575</xdr:rowOff>
    </xdr:to>
    <xdr:sp macro="" textlink="">
      <xdr:nvSpPr>
        <xdr:cNvPr id="721" name="Arrow: Up 720">
          <a:extLst>
            <a:ext uri="{FF2B5EF4-FFF2-40B4-BE49-F238E27FC236}">
              <a16:creationId xmlns:a16="http://schemas.microsoft.com/office/drawing/2014/main" id="{C2263B37-34A9-D36F-8288-103220AB25DF}"/>
            </a:ext>
          </a:extLst>
        </xdr:cNvPr>
        <xdr:cNvSpPr>
          <a:spLocks/>
        </xdr:cNvSpPr>
      </xdr:nvSpPr>
      <xdr:spPr>
        <a:xfrm>
          <a:off x="7715250" y="23463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13</xdr:row>
      <xdr:rowOff>28575</xdr:rowOff>
    </xdr:from>
    <xdr:to>
      <xdr:col>4</xdr:col>
      <xdr:colOff>127000</xdr:colOff>
      <xdr:row>13</xdr:row>
      <xdr:rowOff>155575</xdr:rowOff>
    </xdr:to>
    <xdr:sp macro="" textlink="">
      <xdr:nvSpPr>
        <xdr:cNvPr id="722" name="Arrow: Up 721">
          <a:extLst>
            <a:ext uri="{FF2B5EF4-FFF2-40B4-BE49-F238E27FC236}">
              <a16:creationId xmlns:a16="http://schemas.microsoft.com/office/drawing/2014/main" id="{CEDFDF8B-0CCF-A1F0-91FC-76CEC0C4B5D2}"/>
            </a:ext>
          </a:extLst>
        </xdr:cNvPr>
        <xdr:cNvSpPr>
          <a:spLocks/>
        </xdr:cNvSpPr>
      </xdr:nvSpPr>
      <xdr:spPr>
        <a:xfrm>
          <a:off x="7715250" y="25304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14</xdr:row>
      <xdr:rowOff>28575</xdr:rowOff>
    </xdr:from>
    <xdr:to>
      <xdr:col>4</xdr:col>
      <xdr:colOff>127000</xdr:colOff>
      <xdr:row>14</xdr:row>
      <xdr:rowOff>155575</xdr:rowOff>
    </xdr:to>
    <xdr:sp macro="" textlink="">
      <xdr:nvSpPr>
        <xdr:cNvPr id="723" name="Arrow: Up 722">
          <a:extLst>
            <a:ext uri="{FF2B5EF4-FFF2-40B4-BE49-F238E27FC236}">
              <a16:creationId xmlns:a16="http://schemas.microsoft.com/office/drawing/2014/main" id="{D2CE91E1-4B26-BD71-88DA-2BE813D918AF}"/>
            </a:ext>
          </a:extLst>
        </xdr:cNvPr>
        <xdr:cNvSpPr>
          <a:spLocks/>
        </xdr:cNvSpPr>
      </xdr:nvSpPr>
      <xdr:spPr>
        <a:xfrm>
          <a:off x="7715250" y="27146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15</xdr:row>
      <xdr:rowOff>28575</xdr:rowOff>
    </xdr:from>
    <xdr:to>
      <xdr:col>4</xdr:col>
      <xdr:colOff>127000</xdr:colOff>
      <xdr:row>15</xdr:row>
      <xdr:rowOff>155575</xdr:rowOff>
    </xdr:to>
    <xdr:sp macro="" textlink="">
      <xdr:nvSpPr>
        <xdr:cNvPr id="724" name="Arrow: Up 723">
          <a:extLst>
            <a:ext uri="{FF2B5EF4-FFF2-40B4-BE49-F238E27FC236}">
              <a16:creationId xmlns:a16="http://schemas.microsoft.com/office/drawing/2014/main" id="{4BD153BC-3107-0578-DA1A-DB85EB0D3171}"/>
            </a:ext>
          </a:extLst>
        </xdr:cNvPr>
        <xdr:cNvSpPr>
          <a:spLocks/>
        </xdr:cNvSpPr>
      </xdr:nvSpPr>
      <xdr:spPr>
        <a:xfrm>
          <a:off x="7715250" y="28987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16</xdr:row>
      <xdr:rowOff>28575</xdr:rowOff>
    </xdr:from>
    <xdr:to>
      <xdr:col>4</xdr:col>
      <xdr:colOff>127000</xdr:colOff>
      <xdr:row>16</xdr:row>
      <xdr:rowOff>155575</xdr:rowOff>
    </xdr:to>
    <xdr:sp macro="" textlink="">
      <xdr:nvSpPr>
        <xdr:cNvPr id="725" name="Arrow: Up 724">
          <a:extLst>
            <a:ext uri="{FF2B5EF4-FFF2-40B4-BE49-F238E27FC236}">
              <a16:creationId xmlns:a16="http://schemas.microsoft.com/office/drawing/2014/main" id="{96302D8D-1D96-ECF9-D077-383F5973F309}"/>
            </a:ext>
          </a:extLst>
        </xdr:cNvPr>
        <xdr:cNvSpPr>
          <a:spLocks/>
        </xdr:cNvSpPr>
      </xdr:nvSpPr>
      <xdr:spPr>
        <a:xfrm>
          <a:off x="7715250" y="30829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17</xdr:row>
      <xdr:rowOff>28575</xdr:rowOff>
    </xdr:from>
    <xdr:to>
      <xdr:col>4</xdr:col>
      <xdr:colOff>127000</xdr:colOff>
      <xdr:row>17</xdr:row>
      <xdr:rowOff>155575</xdr:rowOff>
    </xdr:to>
    <xdr:sp macro="" textlink="">
      <xdr:nvSpPr>
        <xdr:cNvPr id="726" name="Arrow: Up 725">
          <a:extLst>
            <a:ext uri="{FF2B5EF4-FFF2-40B4-BE49-F238E27FC236}">
              <a16:creationId xmlns:a16="http://schemas.microsoft.com/office/drawing/2014/main" id="{9382DFFE-0EEC-0F93-0E65-A4D1DBCE56CF}"/>
            </a:ext>
          </a:extLst>
        </xdr:cNvPr>
        <xdr:cNvSpPr>
          <a:spLocks/>
        </xdr:cNvSpPr>
      </xdr:nvSpPr>
      <xdr:spPr>
        <a:xfrm>
          <a:off x="7715250" y="32670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18</xdr:row>
      <xdr:rowOff>28575</xdr:rowOff>
    </xdr:from>
    <xdr:to>
      <xdr:col>4</xdr:col>
      <xdr:colOff>127000</xdr:colOff>
      <xdr:row>18</xdr:row>
      <xdr:rowOff>155575</xdr:rowOff>
    </xdr:to>
    <xdr:sp macro="" textlink="">
      <xdr:nvSpPr>
        <xdr:cNvPr id="727" name="Arrow: Up 726">
          <a:extLst>
            <a:ext uri="{FF2B5EF4-FFF2-40B4-BE49-F238E27FC236}">
              <a16:creationId xmlns:a16="http://schemas.microsoft.com/office/drawing/2014/main" id="{B7597CF3-A8A6-D0C4-D996-DF484A5FFC64}"/>
            </a:ext>
          </a:extLst>
        </xdr:cNvPr>
        <xdr:cNvSpPr>
          <a:spLocks/>
        </xdr:cNvSpPr>
      </xdr:nvSpPr>
      <xdr:spPr>
        <a:xfrm>
          <a:off x="7715250" y="34512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19</xdr:row>
      <xdr:rowOff>28575</xdr:rowOff>
    </xdr:from>
    <xdr:to>
      <xdr:col>4</xdr:col>
      <xdr:colOff>127000</xdr:colOff>
      <xdr:row>19</xdr:row>
      <xdr:rowOff>155575</xdr:rowOff>
    </xdr:to>
    <xdr:sp macro="" textlink="">
      <xdr:nvSpPr>
        <xdr:cNvPr id="728" name="Arrow: Up 727">
          <a:extLst>
            <a:ext uri="{FF2B5EF4-FFF2-40B4-BE49-F238E27FC236}">
              <a16:creationId xmlns:a16="http://schemas.microsoft.com/office/drawing/2014/main" id="{69E17CF8-D990-221C-98C4-4A2D26E4EFD7}"/>
            </a:ext>
          </a:extLst>
        </xdr:cNvPr>
        <xdr:cNvSpPr>
          <a:spLocks/>
        </xdr:cNvSpPr>
      </xdr:nvSpPr>
      <xdr:spPr>
        <a:xfrm>
          <a:off x="7715250" y="36353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20</xdr:row>
      <xdr:rowOff>28575</xdr:rowOff>
    </xdr:from>
    <xdr:to>
      <xdr:col>4</xdr:col>
      <xdr:colOff>127000</xdr:colOff>
      <xdr:row>20</xdr:row>
      <xdr:rowOff>155575</xdr:rowOff>
    </xdr:to>
    <xdr:sp macro="" textlink="">
      <xdr:nvSpPr>
        <xdr:cNvPr id="729" name="Arrow: Up 728">
          <a:extLst>
            <a:ext uri="{FF2B5EF4-FFF2-40B4-BE49-F238E27FC236}">
              <a16:creationId xmlns:a16="http://schemas.microsoft.com/office/drawing/2014/main" id="{4A673653-8614-6E25-FCCC-3164EC6DE6AB}"/>
            </a:ext>
          </a:extLst>
        </xdr:cNvPr>
        <xdr:cNvSpPr>
          <a:spLocks/>
        </xdr:cNvSpPr>
      </xdr:nvSpPr>
      <xdr:spPr>
        <a:xfrm>
          <a:off x="7715250" y="38195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21</xdr:row>
      <xdr:rowOff>28575</xdr:rowOff>
    </xdr:from>
    <xdr:to>
      <xdr:col>4</xdr:col>
      <xdr:colOff>127000</xdr:colOff>
      <xdr:row>21</xdr:row>
      <xdr:rowOff>155575</xdr:rowOff>
    </xdr:to>
    <xdr:sp macro="" textlink="">
      <xdr:nvSpPr>
        <xdr:cNvPr id="730" name="Arrow: Up 729">
          <a:extLst>
            <a:ext uri="{FF2B5EF4-FFF2-40B4-BE49-F238E27FC236}">
              <a16:creationId xmlns:a16="http://schemas.microsoft.com/office/drawing/2014/main" id="{C1810958-4E3C-1E6A-D720-F3D4BC7FEB0B}"/>
            </a:ext>
          </a:extLst>
        </xdr:cNvPr>
        <xdr:cNvSpPr>
          <a:spLocks/>
        </xdr:cNvSpPr>
      </xdr:nvSpPr>
      <xdr:spPr>
        <a:xfrm>
          <a:off x="7715250" y="40036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22</xdr:row>
      <xdr:rowOff>28575</xdr:rowOff>
    </xdr:from>
    <xdr:to>
      <xdr:col>4</xdr:col>
      <xdr:colOff>127000</xdr:colOff>
      <xdr:row>22</xdr:row>
      <xdr:rowOff>155575</xdr:rowOff>
    </xdr:to>
    <xdr:sp macro="" textlink="">
      <xdr:nvSpPr>
        <xdr:cNvPr id="731" name="Arrow: Up 730">
          <a:extLst>
            <a:ext uri="{FF2B5EF4-FFF2-40B4-BE49-F238E27FC236}">
              <a16:creationId xmlns:a16="http://schemas.microsoft.com/office/drawing/2014/main" id="{B7FD45E2-1C66-E60C-9133-5F1EBEFBD429}"/>
            </a:ext>
          </a:extLst>
        </xdr:cNvPr>
        <xdr:cNvSpPr>
          <a:spLocks/>
        </xdr:cNvSpPr>
      </xdr:nvSpPr>
      <xdr:spPr>
        <a:xfrm>
          <a:off x="7715250" y="41878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23</xdr:row>
      <xdr:rowOff>28575</xdr:rowOff>
    </xdr:from>
    <xdr:to>
      <xdr:col>4</xdr:col>
      <xdr:colOff>127000</xdr:colOff>
      <xdr:row>23</xdr:row>
      <xdr:rowOff>155575</xdr:rowOff>
    </xdr:to>
    <xdr:sp macro="" textlink="">
      <xdr:nvSpPr>
        <xdr:cNvPr id="732" name="Arrow: Up 731">
          <a:extLst>
            <a:ext uri="{FF2B5EF4-FFF2-40B4-BE49-F238E27FC236}">
              <a16:creationId xmlns:a16="http://schemas.microsoft.com/office/drawing/2014/main" id="{D1E2CFC7-A192-4B74-3BF5-DE1B80A73DD5}"/>
            </a:ext>
          </a:extLst>
        </xdr:cNvPr>
        <xdr:cNvSpPr>
          <a:spLocks/>
        </xdr:cNvSpPr>
      </xdr:nvSpPr>
      <xdr:spPr>
        <a:xfrm>
          <a:off x="7715250" y="43719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24</xdr:row>
      <xdr:rowOff>28575</xdr:rowOff>
    </xdr:from>
    <xdr:to>
      <xdr:col>4</xdr:col>
      <xdr:colOff>127000</xdr:colOff>
      <xdr:row>24</xdr:row>
      <xdr:rowOff>155575</xdr:rowOff>
    </xdr:to>
    <xdr:sp macro="" textlink="">
      <xdr:nvSpPr>
        <xdr:cNvPr id="733" name="Arrow: Up 732">
          <a:extLst>
            <a:ext uri="{FF2B5EF4-FFF2-40B4-BE49-F238E27FC236}">
              <a16:creationId xmlns:a16="http://schemas.microsoft.com/office/drawing/2014/main" id="{21AD10F4-9A58-CAB4-1C65-6C4EC02F3E23}"/>
            </a:ext>
          </a:extLst>
        </xdr:cNvPr>
        <xdr:cNvSpPr>
          <a:spLocks/>
        </xdr:cNvSpPr>
      </xdr:nvSpPr>
      <xdr:spPr>
        <a:xfrm>
          <a:off x="7715250" y="45561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25</xdr:row>
      <xdr:rowOff>28575</xdr:rowOff>
    </xdr:from>
    <xdr:to>
      <xdr:col>4</xdr:col>
      <xdr:colOff>127000</xdr:colOff>
      <xdr:row>25</xdr:row>
      <xdr:rowOff>155575</xdr:rowOff>
    </xdr:to>
    <xdr:sp macro="" textlink="">
      <xdr:nvSpPr>
        <xdr:cNvPr id="734" name="Arrow: Up 733">
          <a:extLst>
            <a:ext uri="{FF2B5EF4-FFF2-40B4-BE49-F238E27FC236}">
              <a16:creationId xmlns:a16="http://schemas.microsoft.com/office/drawing/2014/main" id="{3F400B5E-4170-9DA3-D52F-D905CE3797C9}"/>
            </a:ext>
          </a:extLst>
        </xdr:cNvPr>
        <xdr:cNvSpPr>
          <a:spLocks/>
        </xdr:cNvSpPr>
      </xdr:nvSpPr>
      <xdr:spPr>
        <a:xfrm>
          <a:off x="7715250" y="47402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26</xdr:row>
      <xdr:rowOff>28575</xdr:rowOff>
    </xdr:from>
    <xdr:to>
      <xdr:col>4</xdr:col>
      <xdr:colOff>127000</xdr:colOff>
      <xdr:row>26</xdr:row>
      <xdr:rowOff>155575</xdr:rowOff>
    </xdr:to>
    <xdr:sp macro="" textlink="">
      <xdr:nvSpPr>
        <xdr:cNvPr id="735" name="Arrow: Up 734">
          <a:extLst>
            <a:ext uri="{FF2B5EF4-FFF2-40B4-BE49-F238E27FC236}">
              <a16:creationId xmlns:a16="http://schemas.microsoft.com/office/drawing/2014/main" id="{F14EF851-3150-FCDD-6422-50A8BCCA2880}"/>
            </a:ext>
          </a:extLst>
        </xdr:cNvPr>
        <xdr:cNvSpPr>
          <a:spLocks/>
        </xdr:cNvSpPr>
      </xdr:nvSpPr>
      <xdr:spPr>
        <a:xfrm>
          <a:off x="7715250" y="49244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27</xdr:row>
      <xdr:rowOff>28575</xdr:rowOff>
    </xdr:from>
    <xdr:to>
      <xdr:col>4</xdr:col>
      <xdr:colOff>127000</xdr:colOff>
      <xdr:row>27</xdr:row>
      <xdr:rowOff>155575</xdr:rowOff>
    </xdr:to>
    <xdr:sp macro="" textlink="">
      <xdr:nvSpPr>
        <xdr:cNvPr id="736" name="Arrow: Up 735">
          <a:extLst>
            <a:ext uri="{FF2B5EF4-FFF2-40B4-BE49-F238E27FC236}">
              <a16:creationId xmlns:a16="http://schemas.microsoft.com/office/drawing/2014/main" id="{21E9CDC8-B55E-704D-29AF-BC4CF9D1F885}"/>
            </a:ext>
          </a:extLst>
        </xdr:cNvPr>
        <xdr:cNvSpPr>
          <a:spLocks/>
        </xdr:cNvSpPr>
      </xdr:nvSpPr>
      <xdr:spPr>
        <a:xfrm>
          <a:off x="7715250" y="51085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28</xdr:row>
      <xdr:rowOff>28575</xdr:rowOff>
    </xdr:from>
    <xdr:to>
      <xdr:col>4</xdr:col>
      <xdr:colOff>127000</xdr:colOff>
      <xdr:row>28</xdr:row>
      <xdr:rowOff>155575</xdr:rowOff>
    </xdr:to>
    <xdr:sp macro="" textlink="">
      <xdr:nvSpPr>
        <xdr:cNvPr id="737" name="Arrow: Up 736">
          <a:extLst>
            <a:ext uri="{FF2B5EF4-FFF2-40B4-BE49-F238E27FC236}">
              <a16:creationId xmlns:a16="http://schemas.microsoft.com/office/drawing/2014/main" id="{025BECFB-2390-D51C-33B2-C9C8A6021E27}"/>
            </a:ext>
          </a:extLst>
        </xdr:cNvPr>
        <xdr:cNvSpPr>
          <a:spLocks/>
        </xdr:cNvSpPr>
      </xdr:nvSpPr>
      <xdr:spPr>
        <a:xfrm>
          <a:off x="7715250" y="52927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29</xdr:row>
      <xdr:rowOff>28575</xdr:rowOff>
    </xdr:from>
    <xdr:to>
      <xdr:col>4</xdr:col>
      <xdr:colOff>127000</xdr:colOff>
      <xdr:row>29</xdr:row>
      <xdr:rowOff>155575</xdr:rowOff>
    </xdr:to>
    <xdr:sp macro="" textlink="">
      <xdr:nvSpPr>
        <xdr:cNvPr id="738" name="Arrow: Up 737">
          <a:extLst>
            <a:ext uri="{FF2B5EF4-FFF2-40B4-BE49-F238E27FC236}">
              <a16:creationId xmlns:a16="http://schemas.microsoft.com/office/drawing/2014/main" id="{CE101417-86C2-7545-2654-DF5FD46ED424}"/>
            </a:ext>
          </a:extLst>
        </xdr:cNvPr>
        <xdr:cNvSpPr>
          <a:spLocks/>
        </xdr:cNvSpPr>
      </xdr:nvSpPr>
      <xdr:spPr>
        <a:xfrm>
          <a:off x="7715250" y="54768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30</xdr:row>
      <xdr:rowOff>28575</xdr:rowOff>
    </xdr:from>
    <xdr:to>
      <xdr:col>4</xdr:col>
      <xdr:colOff>127000</xdr:colOff>
      <xdr:row>30</xdr:row>
      <xdr:rowOff>155575</xdr:rowOff>
    </xdr:to>
    <xdr:sp macro="" textlink="">
      <xdr:nvSpPr>
        <xdr:cNvPr id="739" name="Arrow: Up 738">
          <a:extLst>
            <a:ext uri="{FF2B5EF4-FFF2-40B4-BE49-F238E27FC236}">
              <a16:creationId xmlns:a16="http://schemas.microsoft.com/office/drawing/2014/main" id="{60F1B83E-CE8B-DDCC-CF99-3B148D420FD6}"/>
            </a:ext>
          </a:extLst>
        </xdr:cNvPr>
        <xdr:cNvSpPr>
          <a:spLocks/>
        </xdr:cNvSpPr>
      </xdr:nvSpPr>
      <xdr:spPr>
        <a:xfrm>
          <a:off x="7715250" y="56610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31</xdr:row>
      <xdr:rowOff>28575</xdr:rowOff>
    </xdr:from>
    <xdr:to>
      <xdr:col>4</xdr:col>
      <xdr:colOff>127000</xdr:colOff>
      <xdr:row>31</xdr:row>
      <xdr:rowOff>155575</xdr:rowOff>
    </xdr:to>
    <xdr:sp macro="" textlink="">
      <xdr:nvSpPr>
        <xdr:cNvPr id="740" name="Arrow: Up 739">
          <a:extLst>
            <a:ext uri="{FF2B5EF4-FFF2-40B4-BE49-F238E27FC236}">
              <a16:creationId xmlns:a16="http://schemas.microsoft.com/office/drawing/2014/main" id="{E9391812-92EC-0130-24AB-2D77624EF09B}"/>
            </a:ext>
          </a:extLst>
        </xdr:cNvPr>
        <xdr:cNvSpPr>
          <a:spLocks/>
        </xdr:cNvSpPr>
      </xdr:nvSpPr>
      <xdr:spPr>
        <a:xfrm>
          <a:off x="7715250" y="58451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32</xdr:row>
      <xdr:rowOff>28575</xdr:rowOff>
    </xdr:from>
    <xdr:to>
      <xdr:col>4</xdr:col>
      <xdr:colOff>127000</xdr:colOff>
      <xdr:row>32</xdr:row>
      <xdr:rowOff>155575</xdr:rowOff>
    </xdr:to>
    <xdr:sp macro="" textlink="">
      <xdr:nvSpPr>
        <xdr:cNvPr id="741" name="Arrow: Up 740">
          <a:extLst>
            <a:ext uri="{FF2B5EF4-FFF2-40B4-BE49-F238E27FC236}">
              <a16:creationId xmlns:a16="http://schemas.microsoft.com/office/drawing/2014/main" id="{047D3BEF-451D-54A7-30A5-A9BFE0EF8AF2}"/>
            </a:ext>
          </a:extLst>
        </xdr:cNvPr>
        <xdr:cNvSpPr>
          <a:spLocks/>
        </xdr:cNvSpPr>
      </xdr:nvSpPr>
      <xdr:spPr>
        <a:xfrm>
          <a:off x="7715250" y="60293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33</xdr:row>
      <xdr:rowOff>28575</xdr:rowOff>
    </xdr:from>
    <xdr:to>
      <xdr:col>4</xdr:col>
      <xdr:colOff>127000</xdr:colOff>
      <xdr:row>33</xdr:row>
      <xdr:rowOff>155575</xdr:rowOff>
    </xdr:to>
    <xdr:sp macro="" textlink="">
      <xdr:nvSpPr>
        <xdr:cNvPr id="742" name="Arrow: Up 741">
          <a:extLst>
            <a:ext uri="{FF2B5EF4-FFF2-40B4-BE49-F238E27FC236}">
              <a16:creationId xmlns:a16="http://schemas.microsoft.com/office/drawing/2014/main" id="{3751EE67-2FDA-8283-8D6F-EF3796FE2660}"/>
            </a:ext>
          </a:extLst>
        </xdr:cNvPr>
        <xdr:cNvSpPr>
          <a:spLocks/>
        </xdr:cNvSpPr>
      </xdr:nvSpPr>
      <xdr:spPr>
        <a:xfrm>
          <a:off x="7715250" y="62134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34</xdr:row>
      <xdr:rowOff>28575</xdr:rowOff>
    </xdr:from>
    <xdr:to>
      <xdr:col>4</xdr:col>
      <xdr:colOff>127000</xdr:colOff>
      <xdr:row>34</xdr:row>
      <xdr:rowOff>155575</xdr:rowOff>
    </xdr:to>
    <xdr:sp macro="" textlink="">
      <xdr:nvSpPr>
        <xdr:cNvPr id="743" name="Arrow: Up 742">
          <a:extLst>
            <a:ext uri="{FF2B5EF4-FFF2-40B4-BE49-F238E27FC236}">
              <a16:creationId xmlns:a16="http://schemas.microsoft.com/office/drawing/2014/main" id="{3B3B1164-9F72-FADB-C73F-96B1F2C1BFA1}"/>
            </a:ext>
          </a:extLst>
        </xdr:cNvPr>
        <xdr:cNvSpPr>
          <a:spLocks/>
        </xdr:cNvSpPr>
      </xdr:nvSpPr>
      <xdr:spPr>
        <a:xfrm>
          <a:off x="7715250" y="63976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35</xdr:row>
      <xdr:rowOff>28575</xdr:rowOff>
    </xdr:from>
    <xdr:to>
      <xdr:col>4</xdr:col>
      <xdr:colOff>127000</xdr:colOff>
      <xdr:row>35</xdr:row>
      <xdr:rowOff>155575</xdr:rowOff>
    </xdr:to>
    <xdr:sp macro="" textlink="">
      <xdr:nvSpPr>
        <xdr:cNvPr id="744" name="Arrow: Up 743">
          <a:extLst>
            <a:ext uri="{FF2B5EF4-FFF2-40B4-BE49-F238E27FC236}">
              <a16:creationId xmlns:a16="http://schemas.microsoft.com/office/drawing/2014/main" id="{948C3C53-A9B9-B6BE-465F-B688B299419F}"/>
            </a:ext>
          </a:extLst>
        </xdr:cNvPr>
        <xdr:cNvSpPr>
          <a:spLocks/>
        </xdr:cNvSpPr>
      </xdr:nvSpPr>
      <xdr:spPr>
        <a:xfrm>
          <a:off x="7715250" y="65817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36</xdr:row>
      <xdr:rowOff>28575</xdr:rowOff>
    </xdr:from>
    <xdr:to>
      <xdr:col>4</xdr:col>
      <xdr:colOff>127000</xdr:colOff>
      <xdr:row>36</xdr:row>
      <xdr:rowOff>155575</xdr:rowOff>
    </xdr:to>
    <xdr:sp macro="" textlink="">
      <xdr:nvSpPr>
        <xdr:cNvPr id="745" name="Arrow: Up 744">
          <a:extLst>
            <a:ext uri="{FF2B5EF4-FFF2-40B4-BE49-F238E27FC236}">
              <a16:creationId xmlns:a16="http://schemas.microsoft.com/office/drawing/2014/main" id="{FB8796BD-AA24-D661-5C46-CDE319BE699C}"/>
            </a:ext>
          </a:extLst>
        </xdr:cNvPr>
        <xdr:cNvSpPr>
          <a:spLocks/>
        </xdr:cNvSpPr>
      </xdr:nvSpPr>
      <xdr:spPr>
        <a:xfrm>
          <a:off x="7715250" y="67659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37</xdr:row>
      <xdr:rowOff>28575</xdr:rowOff>
    </xdr:from>
    <xdr:to>
      <xdr:col>4</xdr:col>
      <xdr:colOff>127000</xdr:colOff>
      <xdr:row>37</xdr:row>
      <xdr:rowOff>155575</xdr:rowOff>
    </xdr:to>
    <xdr:sp macro="" textlink="">
      <xdr:nvSpPr>
        <xdr:cNvPr id="746" name="Arrow: Up 745">
          <a:extLst>
            <a:ext uri="{FF2B5EF4-FFF2-40B4-BE49-F238E27FC236}">
              <a16:creationId xmlns:a16="http://schemas.microsoft.com/office/drawing/2014/main" id="{CAB755A5-8129-D969-FD1E-0AD4DB5FADF3}"/>
            </a:ext>
          </a:extLst>
        </xdr:cNvPr>
        <xdr:cNvSpPr>
          <a:spLocks/>
        </xdr:cNvSpPr>
      </xdr:nvSpPr>
      <xdr:spPr>
        <a:xfrm>
          <a:off x="7715250" y="69500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38</xdr:row>
      <xdr:rowOff>28575</xdr:rowOff>
    </xdr:from>
    <xdr:to>
      <xdr:col>4</xdr:col>
      <xdr:colOff>127000</xdr:colOff>
      <xdr:row>38</xdr:row>
      <xdr:rowOff>155575</xdr:rowOff>
    </xdr:to>
    <xdr:sp macro="" textlink="">
      <xdr:nvSpPr>
        <xdr:cNvPr id="747" name="Arrow: Up 746">
          <a:extLst>
            <a:ext uri="{FF2B5EF4-FFF2-40B4-BE49-F238E27FC236}">
              <a16:creationId xmlns:a16="http://schemas.microsoft.com/office/drawing/2014/main" id="{1BC80E2D-6C36-3E0A-7D0B-90A2BD4333BB}"/>
            </a:ext>
          </a:extLst>
        </xdr:cNvPr>
        <xdr:cNvSpPr>
          <a:spLocks/>
        </xdr:cNvSpPr>
      </xdr:nvSpPr>
      <xdr:spPr>
        <a:xfrm>
          <a:off x="7715250" y="71342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39</xdr:row>
      <xdr:rowOff>28575</xdr:rowOff>
    </xdr:from>
    <xdr:to>
      <xdr:col>4</xdr:col>
      <xdr:colOff>127000</xdr:colOff>
      <xdr:row>39</xdr:row>
      <xdr:rowOff>155575</xdr:rowOff>
    </xdr:to>
    <xdr:sp macro="" textlink="">
      <xdr:nvSpPr>
        <xdr:cNvPr id="748" name="Arrow: Up 747">
          <a:extLst>
            <a:ext uri="{FF2B5EF4-FFF2-40B4-BE49-F238E27FC236}">
              <a16:creationId xmlns:a16="http://schemas.microsoft.com/office/drawing/2014/main" id="{BBD6D663-0D5B-FFF8-965C-13368FA8F124}"/>
            </a:ext>
          </a:extLst>
        </xdr:cNvPr>
        <xdr:cNvSpPr>
          <a:spLocks/>
        </xdr:cNvSpPr>
      </xdr:nvSpPr>
      <xdr:spPr>
        <a:xfrm>
          <a:off x="7715250" y="73183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40</xdr:row>
      <xdr:rowOff>28575</xdr:rowOff>
    </xdr:from>
    <xdr:to>
      <xdr:col>4</xdr:col>
      <xdr:colOff>127000</xdr:colOff>
      <xdr:row>40</xdr:row>
      <xdr:rowOff>155575</xdr:rowOff>
    </xdr:to>
    <xdr:sp macro="" textlink="">
      <xdr:nvSpPr>
        <xdr:cNvPr id="749" name="Arrow: Up 748">
          <a:extLst>
            <a:ext uri="{FF2B5EF4-FFF2-40B4-BE49-F238E27FC236}">
              <a16:creationId xmlns:a16="http://schemas.microsoft.com/office/drawing/2014/main" id="{07F823EC-9F99-EFEE-B5FB-BF53D4B69C4F}"/>
            </a:ext>
          </a:extLst>
        </xdr:cNvPr>
        <xdr:cNvSpPr>
          <a:spLocks/>
        </xdr:cNvSpPr>
      </xdr:nvSpPr>
      <xdr:spPr>
        <a:xfrm>
          <a:off x="7715250" y="75025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41</xdr:row>
      <xdr:rowOff>28575</xdr:rowOff>
    </xdr:from>
    <xdr:to>
      <xdr:col>4</xdr:col>
      <xdr:colOff>127000</xdr:colOff>
      <xdr:row>41</xdr:row>
      <xdr:rowOff>155575</xdr:rowOff>
    </xdr:to>
    <xdr:sp macro="" textlink="">
      <xdr:nvSpPr>
        <xdr:cNvPr id="750" name="Arrow: Up 749">
          <a:extLst>
            <a:ext uri="{FF2B5EF4-FFF2-40B4-BE49-F238E27FC236}">
              <a16:creationId xmlns:a16="http://schemas.microsoft.com/office/drawing/2014/main" id="{D300B665-EFF3-A8CB-B3E4-F6F85B64922A}"/>
            </a:ext>
          </a:extLst>
        </xdr:cNvPr>
        <xdr:cNvSpPr>
          <a:spLocks/>
        </xdr:cNvSpPr>
      </xdr:nvSpPr>
      <xdr:spPr>
        <a:xfrm>
          <a:off x="7715250" y="76866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42</xdr:row>
      <xdr:rowOff>28575</xdr:rowOff>
    </xdr:from>
    <xdr:to>
      <xdr:col>4</xdr:col>
      <xdr:colOff>127000</xdr:colOff>
      <xdr:row>42</xdr:row>
      <xdr:rowOff>155575</xdr:rowOff>
    </xdr:to>
    <xdr:sp macro="" textlink="">
      <xdr:nvSpPr>
        <xdr:cNvPr id="751" name="Arrow: Up 750">
          <a:extLst>
            <a:ext uri="{FF2B5EF4-FFF2-40B4-BE49-F238E27FC236}">
              <a16:creationId xmlns:a16="http://schemas.microsoft.com/office/drawing/2014/main" id="{F35253FD-2C03-C4D4-7C6A-55B8446A717D}"/>
            </a:ext>
          </a:extLst>
        </xdr:cNvPr>
        <xdr:cNvSpPr>
          <a:spLocks/>
        </xdr:cNvSpPr>
      </xdr:nvSpPr>
      <xdr:spPr>
        <a:xfrm>
          <a:off x="7715250" y="78708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43</xdr:row>
      <xdr:rowOff>28575</xdr:rowOff>
    </xdr:from>
    <xdr:to>
      <xdr:col>4</xdr:col>
      <xdr:colOff>127000</xdr:colOff>
      <xdr:row>43</xdr:row>
      <xdr:rowOff>155575</xdr:rowOff>
    </xdr:to>
    <xdr:sp macro="" textlink="">
      <xdr:nvSpPr>
        <xdr:cNvPr id="752" name="Arrow: Up 751">
          <a:extLst>
            <a:ext uri="{FF2B5EF4-FFF2-40B4-BE49-F238E27FC236}">
              <a16:creationId xmlns:a16="http://schemas.microsoft.com/office/drawing/2014/main" id="{2051D8AD-BD83-3504-8CC9-1486F5C508F6}"/>
            </a:ext>
          </a:extLst>
        </xdr:cNvPr>
        <xdr:cNvSpPr>
          <a:spLocks/>
        </xdr:cNvSpPr>
      </xdr:nvSpPr>
      <xdr:spPr>
        <a:xfrm>
          <a:off x="7715250" y="80549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44</xdr:row>
      <xdr:rowOff>28575</xdr:rowOff>
    </xdr:from>
    <xdr:to>
      <xdr:col>4</xdr:col>
      <xdr:colOff>127000</xdr:colOff>
      <xdr:row>44</xdr:row>
      <xdr:rowOff>155575</xdr:rowOff>
    </xdr:to>
    <xdr:sp macro="" textlink="">
      <xdr:nvSpPr>
        <xdr:cNvPr id="753" name="Arrow: Up 752">
          <a:extLst>
            <a:ext uri="{FF2B5EF4-FFF2-40B4-BE49-F238E27FC236}">
              <a16:creationId xmlns:a16="http://schemas.microsoft.com/office/drawing/2014/main" id="{AD1D1778-217C-F43A-FEC5-921D88DADED2}"/>
            </a:ext>
          </a:extLst>
        </xdr:cNvPr>
        <xdr:cNvSpPr>
          <a:spLocks/>
        </xdr:cNvSpPr>
      </xdr:nvSpPr>
      <xdr:spPr>
        <a:xfrm>
          <a:off x="7715250" y="82391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45</xdr:row>
      <xdr:rowOff>28575</xdr:rowOff>
    </xdr:from>
    <xdr:to>
      <xdr:col>4</xdr:col>
      <xdr:colOff>127000</xdr:colOff>
      <xdr:row>45</xdr:row>
      <xdr:rowOff>155575</xdr:rowOff>
    </xdr:to>
    <xdr:sp macro="" textlink="">
      <xdr:nvSpPr>
        <xdr:cNvPr id="754" name="Arrow: Up 753">
          <a:extLst>
            <a:ext uri="{FF2B5EF4-FFF2-40B4-BE49-F238E27FC236}">
              <a16:creationId xmlns:a16="http://schemas.microsoft.com/office/drawing/2014/main" id="{15A999EE-2521-3E17-62BE-BB78432669E8}"/>
            </a:ext>
          </a:extLst>
        </xdr:cNvPr>
        <xdr:cNvSpPr>
          <a:spLocks/>
        </xdr:cNvSpPr>
      </xdr:nvSpPr>
      <xdr:spPr>
        <a:xfrm>
          <a:off x="7715250" y="84232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46</xdr:row>
      <xdr:rowOff>28575</xdr:rowOff>
    </xdr:from>
    <xdr:to>
      <xdr:col>4</xdr:col>
      <xdr:colOff>127000</xdr:colOff>
      <xdr:row>46</xdr:row>
      <xdr:rowOff>155575</xdr:rowOff>
    </xdr:to>
    <xdr:sp macro="" textlink="">
      <xdr:nvSpPr>
        <xdr:cNvPr id="755" name="Arrow: Up 754">
          <a:extLst>
            <a:ext uri="{FF2B5EF4-FFF2-40B4-BE49-F238E27FC236}">
              <a16:creationId xmlns:a16="http://schemas.microsoft.com/office/drawing/2014/main" id="{6F19BF60-A5C7-88A8-A68F-C5374797455F}"/>
            </a:ext>
          </a:extLst>
        </xdr:cNvPr>
        <xdr:cNvSpPr>
          <a:spLocks/>
        </xdr:cNvSpPr>
      </xdr:nvSpPr>
      <xdr:spPr>
        <a:xfrm>
          <a:off x="7715250" y="86074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47</xdr:row>
      <xdr:rowOff>28575</xdr:rowOff>
    </xdr:from>
    <xdr:to>
      <xdr:col>4</xdr:col>
      <xdr:colOff>127000</xdr:colOff>
      <xdr:row>47</xdr:row>
      <xdr:rowOff>155575</xdr:rowOff>
    </xdr:to>
    <xdr:sp macro="" textlink="">
      <xdr:nvSpPr>
        <xdr:cNvPr id="756" name="Arrow: Up 755">
          <a:extLst>
            <a:ext uri="{FF2B5EF4-FFF2-40B4-BE49-F238E27FC236}">
              <a16:creationId xmlns:a16="http://schemas.microsoft.com/office/drawing/2014/main" id="{FBDE152D-61D8-4A6B-3AC3-2D154716F5F5}"/>
            </a:ext>
          </a:extLst>
        </xdr:cNvPr>
        <xdr:cNvSpPr>
          <a:spLocks/>
        </xdr:cNvSpPr>
      </xdr:nvSpPr>
      <xdr:spPr>
        <a:xfrm>
          <a:off x="7715250" y="87915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48</xdr:row>
      <xdr:rowOff>28575</xdr:rowOff>
    </xdr:from>
    <xdr:to>
      <xdr:col>4</xdr:col>
      <xdr:colOff>127000</xdr:colOff>
      <xdr:row>48</xdr:row>
      <xdr:rowOff>155575</xdr:rowOff>
    </xdr:to>
    <xdr:sp macro="" textlink="">
      <xdr:nvSpPr>
        <xdr:cNvPr id="757" name="Arrow: Up 756">
          <a:extLst>
            <a:ext uri="{FF2B5EF4-FFF2-40B4-BE49-F238E27FC236}">
              <a16:creationId xmlns:a16="http://schemas.microsoft.com/office/drawing/2014/main" id="{2037744F-0346-0AA4-8FB4-89B0B0A22A19}"/>
            </a:ext>
          </a:extLst>
        </xdr:cNvPr>
        <xdr:cNvSpPr>
          <a:spLocks/>
        </xdr:cNvSpPr>
      </xdr:nvSpPr>
      <xdr:spPr>
        <a:xfrm>
          <a:off x="7715250" y="89757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49</xdr:row>
      <xdr:rowOff>28575</xdr:rowOff>
    </xdr:from>
    <xdr:to>
      <xdr:col>4</xdr:col>
      <xdr:colOff>127000</xdr:colOff>
      <xdr:row>49</xdr:row>
      <xdr:rowOff>155575</xdr:rowOff>
    </xdr:to>
    <xdr:sp macro="" textlink="">
      <xdr:nvSpPr>
        <xdr:cNvPr id="758" name="Arrow: Up 757">
          <a:extLst>
            <a:ext uri="{FF2B5EF4-FFF2-40B4-BE49-F238E27FC236}">
              <a16:creationId xmlns:a16="http://schemas.microsoft.com/office/drawing/2014/main" id="{47466B4D-8CB4-B7C5-8B58-54B2D38588F0}"/>
            </a:ext>
          </a:extLst>
        </xdr:cNvPr>
        <xdr:cNvSpPr>
          <a:spLocks/>
        </xdr:cNvSpPr>
      </xdr:nvSpPr>
      <xdr:spPr>
        <a:xfrm>
          <a:off x="7715250" y="91598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50</xdr:row>
      <xdr:rowOff>28575</xdr:rowOff>
    </xdr:from>
    <xdr:to>
      <xdr:col>4</xdr:col>
      <xdr:colOff>127000</xdr:colOff>
      <xdr:row>50</xdr:row>
      <xdr:rowOff>155575</xdr:rowOff>
    </xdr:to>
    <xdr:sp macro="" textlink="">
      <xdr:nvSpPr>
        <xdr:cNvPr id="759" name="Arrow: Up 758">
          <a:extLst>
            <a:ext uri="{FF2B5EF4-FFF2-40B4-BE49-F238E27FC236}">
              <a16:creationId xmlns:a16="http://schemas.microsoft.com/office/drawing/2014/main" id="{D1EE2BF8-F5D1-111E-AFD9-54A483AD4035}"/>
            </a:ext>
          </a:extLst>
        </xdr:cNvPr>
        <xdr:cNvSpPr>
          <a:spLocks/>
        </xdr:cNvSpPr>
      </xdr:nvSpPr>
      <xdr:spPr>
        <a:xfrm>
          <a:off x="7715250" y="93440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51</xdr:row>
      <xdr:rowOff>28575</xdr:rowOff>
    </xdr:from>
    <xdr:to>
      <xdr:col>4</xdr:col>
      <xdr:colOff>127000</xdr:colOff>
      <xdr:row>51</xdr:row>
      <xdr:rowOff>155575</xdr:rowOff>
    </xdr:to>
    <xdr:sp macro="" textlink="">
      <xdr:nvSpPr>
        <xdr:cNvPr id="760" name="Arrow: Up 759">
          <a:extLst>
            <a:ext uri="{FF2B5EF4-FFF2-40B4-BE49-F238E27FC236}">
              <a16:creationId xmlns:a16="http://schemas.microsoft.com/office/drawing/2014/main" id="{5B94B166-F1B8-3292-64D7-1280C4C77A17}"/>
            </a:ext>
          </a:extLst>
        </xdr:cNvPr>
        <xdr:cNvSpPr>
          <a:spLocks/>
        </xdr:cNvSpPr>
      </xdr:nvSpPr>
      <xdr:spPr>
        <a:xfrm>
          <a:off x="7715250" y="95281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52</xdr:row>
      <xdr:rowOff>28575</xdr:rowOff>
    </xdr:from>
    <xdr:to>
      <xdr:col>4</xdr:col>
      <xdr:colOff>127000</xdr:colOff>
      <xdr:row>52</xdr:row>
      <xdr:rowOff>155575</xdr:rowOff>
    </xdr:to>
    <xdr:sp macro="" textlink="">
      <xdr:nvSpPr>
        <xdr:cNvPr id="761" name="Arrow: Up 760">
          <a:extLst>
            <a:ext uri="{FF2B5EF4-FFF2-40B4-BE49-F238E27FC236}">
              <a16:creationId xmlns:a16="http://schemas.microsoft.com/office/drawing/2014/main" id="{4CA3AD87-88EC-083D-64D4-6B4C5A8C239E}"/>
            </a:ext>
          </a:extLst>
        </xdr:cNvPr>
        <xdr:cNvSpPr>
          <a:spLocks/>
        </xdr:cNvSpPr>
      </xdr:nvSpPr>
      <xdr:spPr>
        <a:xfrm>
          <a:off x="7715250" y="97123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53</xdr:row>
      <xdr:rowOff>28575</xdr:rowOff>
    </xdr:from>
    <xdr:to>
      <xdr:col>4</xdr:col>
      <xdr:colOff>127000</xdr:colOff>
      <xdr:row>53</xdr:row>
      <xdr:rowOff>155575</xdr:rowOff>
    </xdr:to>
    <xdr:sp macro="" textlink="">
      <xdr:nvSpPr>
        <xdr:cNvPr id="762" name="Arrow: Up 761">
          <a:extLst>
            <a:ext uri="{FF2B5EF4-FFF2-40B4-BE49-F238E27FC236}">
              <a16:creationId xmlns:a16="http://schemas.microsoft.com/office/drawing/2014/main" id="{B8A2BFE2-A977-B086-D9B6-C49405465265}"/>
            </a:ext>
          </a:extLst>
        </xdr:cNvPr>
        <xdr:cNvSpPr>
          <a:spLocks/>
        </xdr:cNvSpPr>
      </xdr:nvSpPr>
      <xdr:spPr>
        <a:xfrm>
          <a:off x="7715250" y="98964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54</xdr:row>
      <xdr:rowOff>28575</xdr:rowOff>
    </xdr:from>
    <xdr:to>
      <xdr:col>4</xdr:col>
      <xdr:colOff>127000</xdr:colOff>
      <xdr:row>54</xdr:row>
      <xdr:rowOff>155575</xdr:rowOff>
    </xdr:to>
    <xdr:sp macro="" textlink="">
      <xdr:nvSpPr>
        <xdr:cNvPr id="763" name="Arrow: Up 762">
          <a:extLst>
            <a:ext uri="{FF2B5EF4-FFF2-40B4-BE49-F238E27FC236}">
              <a16:creationId xmlns:a16="http://schemas.microsoft.com/office/drawing/2014/main" id="{254038A4-74A5-A463-00AA-E969D8066365}"/>
            </a:ext>
          </a:extLst>
        </xdr:cNvPr>
        <xdr:cNvSpPr>
          <a:spLocks/>
        </xdr:cNvSpPr>
      </xdr:nvSpPr>
      <xdr:spPr>
        <a:xfrm>
          <a:off x="7715250" y="100806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55</xdr:row>
      <xdr:rowOff>28575</xdr:rowOff>
    </xdr:from>
    <xdr:to>
      <xdr:col>4</xdr:col>
      <xdr:colOff>127000</xdr:colOff>
      <xdr:row>55</xdr:row>
      <xdr:rowOff>155575</xdr:rowOff>
    </xdr:to>
    <xdr:sp macro="" textlink="">
      <xdr:nvSpPr>
        <xdr:cNvPr id="764" name="Arrow: Up 763">
          <a:extLst>
            <a:ext uri="{FF2B5EF4-FFF2-40B4-BE49-F238E27FC236}">
              <a16:creationId xmlns:a16="http://schemas.microsoft.com/office/drawing/2014/main" id="{5255D9A7-F82D-CC87-E733-4E56E85630F5}"/>
            </a:ext>
          </a:extLst>
        </xdr:cNvPr>
        <xdr:cNvSpPr>
          <a:spLocks/>
        </xdr:cNvSpPr>
      </xdr:nvSpPr>
      <xdr:spPr>
        <a:xfrm>
          <a:off x="7715250" y="102647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56</xdr:row>
      <xdr:rowOff>28575</xdr:rowOff>
    </xdr:from>
    <xdr:to>
      <xdr:col>4</xdr:col>
      <xdr:colOff>127000</xdr:colOff>
      <xdr:row>56</xdr:row>
      <xdr:rowOff>155575</xdr:rowOff>
    </xdr:to>
    <xdr:sp macro="" textlink="">
      <xdr:nvSpPr>
        <xdr:cNvPr id="765" name="Arrow: Up 764">
          <a:extLst>
            <a:ext uri="{FF2B5EF4-FFF2-40B4-BE49-F238E27FC236}">
              <a16:creationId xmlns:a16="http://schemas.microsoft.com/office/drawing/2014/main" id="{E70E7749-3584-A47F-5B35-F4BCDE426CCE}"/>
            </a:ext>
          </a:extLst>
        </xdr:cNvPr>
        <xdr:cNvSpPr>
          <a:spLocks/>
        </xdr:cNvSpPr>
      </xdr:nvSpPr>
      <xdr:spPr>
        <a:xfrm>
          <a:off x="7715250" y="104489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57</xdr:row>
      <xdr:rowOff>28575</xdr:rowOff>
    </xdr:from>
    <xdr:to>
      <xdr:col>4</xdr:col>
      <xdr:colOff>127000</xdr:colOff>
      <xdr:row>57</xdr:row>
      <xdr:rowOff>155575</xdr:rowOff>
    </xdr:to>
    <xdr:sp macro="" textlink="">
      <xdr:nvSpPr>
        <xdr:cNvPr id="766" name="Arrow: Up 765">
          <a:extLst>
            <a:ext uri="{FF2B5EF4-FFF2-40B4-BE49-F238E27FC236}">
              <a16:creationId xmlns:a16="http://schemas.microsoft.com/office/drawing/2014/main" id="{38B532D4-FDBC-38DC-68B7-548193B1D213}"/>
            </a:ext>
          </a:extLst>
        </xdr:cNvPr>
        <xdr:cNvSpPr>
          <a:spLocks/>
        </xdr:cNvSpPr>
      </xdr:nvSpPr>
      <xdr:spPr>
        <a:xfrm>
          <a:off x="7715250" y="106330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58</xdr:row>
      <xdr:rowOff>28575</xdr:rowOff>
    </xdr:from>
    <xdr:to>
      <xdr:col>4</xdr:col>
      <xdr:colOff>127000</xdr:colOff>
      <xdr:row>58</xdr:row>
      <xdr:rowOff>155575</xdr:rowOff>
    </xdr:to>
    <xdr:sp macro="" textlink="">
      <xdr:nvSpPr>
        <xdr:cNvPr id="767" name="Arrow: Up 766">
          <a:extLst>
            <a:ext uri="{FF2B5EF4-FFF2-40B4-BE49-F238E27FC236}">
              <a16:creationId xmlns:a16="http://schemas.microsoft.com/office/drawing/2014/main" id="{9EFD0644-7FF4-1A8E-FC20-312C000AC56B}"/>
            </a:ext>
          </a:extLst>
        </xdr:cNvPr>
        <xdr:cNvSpPr>
          <a:spLocks/>
        </xdr:cNvSpPr>
      </xdr:nvSpPr>
      <xdr:spPr>
        <a:xfrm>
          <a:off x="7715250" y="108172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59</xdr:row>
      <xdr:rowOff>28575</xdr:rowOff>
    </xdr:from>
    <xdr:to>
      <xdr:col>4</xdr:col>
      <xdr:colOff>127000</xdr:colOff>
      <xdr:row>59</xdr:row>
      <xdr:rowOff>155575</xdr:rowOff>
    </xdr:to>
    <xdr:sp macro="" textlink="">
      <xdr:nvSpPr>
        <xdr:cNvPr id="768" name="Arrow: Up 767">
          <a:extLst>
            <a:ext uri="{FF2B5EF4-FFF2-40B4-BE49-F238E27FC236}">
              <a16:creationId xmlns:a16="http://schemas.microsoft.com/office/drawing/2014/main" id="{FCCF7B69-8789-ED67-8077-73F33B24BE81}"/>
            </a:ext>
          </a:extLst>
        </xdr:cNvPr>
        <xdr:cNvSpPr>
          <a:spLocks/>
        </xdr:cNvSpPr>
      </xdr:nvSpPr>
      <xdr:spPr>
        <a:xfrm>
          <a:off x="7715250" y="110013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60</xdr:row>
      <xdr:rowOff>28575</xdr:rowOff>
    </xdr:from>
    <xdr:to>
      <xdr:col>4</xdr:col>
      <xdr:colOff>127000</xdr:colOff>
      <xdr:row>60</xdr:row>
      <xdr:rowOff>155575</xdr:rowOff>
    </xdr:to>
    <xdr:sp macro="" textlink="">
      <xdr:nvSpPr>
        <xdr:cNvPr id="769" name="Arrow: Up 768">
          <a:extLst>
            <a:ext uri="{FF2B5EF4-FFF2-40B4-BE49-F238E27FC236}">
              <a16:creationId xmlns:a16="http://schemas.microsoft.com/office/drawing/2014/main" id="{72518A86-5136-29CE-3EDE-D4B545CD45C6}"/>
            </a:ext>
          </a:extLst>
        </xdr:cNvPr>
        <xdr:cNvSpPr>
          <a:spLocks/>
        </xdr:cNvSpPr>
      </xdr:nvSpPr>
      <xdr:spPr>
        <a:xfrm>
          <a:off x="7715250" y="111855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61</xdr:row>
      <xdr:rowOff>28575</xdr:rowOff>
    </xdr:from>
    <xdr:to>
      <xdr:col>4</xdr:col>
      <xdr:colOff>127000</xdr:colOff>
      <xdr:row>61</xdr:row>
      <xdr:rowOff>155575</xdr:rowOff>
    </xdr:to>
    <xdr:sp macro="" textlink="">
      <xdr:nvSpPr>
        <xdr:cNvPr id="770" name="Arrow: Up 769">
          <a:extLst>
            <a:ext uri="{FF2B5EF4-FFF2-40B4-BE49-F238E27FC236}">
              <a16:creationId xmlns:a16="http://schemas.microsoft.com/office/drawing/2014/main" id="{333C97BC-CC24-DAF0-0066-57B72BF527F1}"/>
            </a:ext>
          </a:extLst>
        </xdr:cNvPr>
        <xdr:cNvSpPr>
          <a:spLocks/>
        </xdr:cNvSpPr>
      </xdr:nvSpPr>
      <xdr:spPr>
        <a:xfrm>
          <a:off x="7715250" y="113696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62</xdr:row>
      <xdr:rowOff>28575</xdr:rowOff>
    </xdr:from>
    <xdr:to>
      <xdr:col>4</xdr:col>
      <xdr:colOff>127000</xdr:colOff>
      <xdr:row>62</xdr:row>
      <xdr:rowOff>155575</xdr:rowOff>
    </xdr:to>
    <xdr:sp macro="" textlink="">
      <xdr:nvSpPr>
        <xdr:cNvPr id="771" name="Arrow: Up 770">
          <a:extLst>
            <a:ext uri="{FF2B5EF4-FFF2-40B4-BE49-F238E27FC236}">
              <a16:creationId xmlns:a16="http://schemas.microsoft.com/office/drawing/2014/main" id="{00754850-67F1-AFEF-307C-CA037DAF3BBA}"/>
            </a:ext>
          </a:extLst>
        </xdr:cNvPr>
        <xdr:cNvSpPr>
          <a:spLocks/>
        </xdr:cNvSpPr>
      </xdr:nvSpPr>
      <xdr:spPr>
        <a:xfrm>
          <a:off x="7715250" y="115538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63</xdr:row>
      <xdr:rowOff>28575</xdr:rowOff>
    </xdr:from>
    <xdr:to>
      <xdr:col>4</xdr:col>
      <xdr:colOff>127000</xdr:colOff>
      <xdr:row>63</xdr:row>
      <xdr:rowOff>155575</xdr:rowOff>
    </xdr:to>
    <xdr:sp macro="" textlink="">
      <xdr:nvSpPr>
        <xdr:cNvPr id="772" name="Arrow: Up 771">
          <a:extLst>
            <a:ext uri="{FF2B5EF4-FFF2-40B4-BE49-F238E27FC236}">
              <a16:creationId xmlns:a16="http://schemas.microsoft.com/office/drawing/2014/main" id="{B1E61E41-F340-B107-3789-B1F94A2E4DE1}"/>
            </a:ext>
          </a:extLst>
        </xdr:cNvPr>
        <xdr:cNvSpPr>
          <a:spLocks/>
        </xdr:cNvSpPr>
      </xdr:nvSpPr>
      <xdr:spPr>
        <a:xfrm>
          <a:off x="7715250" y="117379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64</xdr:row>
      <xdr:rowOff>28575</xdr:rowOff>
    </xdr:from>
    <xdr:to>
      <xdr:col>4</xdr:col>
      <xdr:colOff>127000</xdr:colOff>
      <xdr:row>64</xdr:row>
      <xdr:rowOff>155575</xdr:rowOff>
    </xdr:to>
    <xdr:sp macro="" textlink="">
      <xdr:nvSpPr>
        <xdr:cNvPr id="773" name="Arrow: Up 772">
          <a:extLst>
            <a:ext uri="{FF2B5EF4-FFF2-40B4-BE49-F238E27FC236}">
              <a16:creationId xmlns:a16="http://schemas.microsoft.com/office/drawing/2014/main" id="{13804E88-10B9-BBC1-2A6E-DC8F7D68AA7B}"/>
            </a:ext>
          </a:extLst>
        </xdr:cNvPr>
        <xdr:cNvSpPr>
          <a:spLocks/>
        </xdr:cNvSpPr>
      </xdr:nvSpPr>
      <xdr:spPr>
        <a:xfrm>
          <a:off x="7715250" y="119221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65</xdr:row>
      <xdr:rowOff>28575</xdr:rowOff>
    </xdr:from>
    <xdr:to>
      <xdr:col>4</xdr:col>
      <xdr:colOff>127000</xdr:colOff>
      <xdr:row>65</xdr:row>
      <xdr:rowOff>155575</xdr:rowOff>
    </xdr:to>
    <xdr:sp macro="" textlink="">
      <xdr:nvSpPr>
        <xdr:cNvPr id="774" name="Arrow: Up 773">
          <a:extLst>
            <a:ext uri="{FF2B5EF4-FFF2-40B4-BE49-F238E27FC236}">
              <a16:creationId xmlns:a16="http://schemas.microsoft.com/office/drawing/2014/main" id="{00D8C5A3-7857-7C31-AF77-576136034D01}"/>
            </a:ext>
          </a:extLst>
        </xdr:cNvPr>
        <xdr:cNvSpPr>
          <a:spLocks/>
        </xdr:cNvSpPr>
      </xdr:nvSpPr>
      <xdr:spPr>
        <a:xfrm>
          <a:off x="7715250" y="121062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66</xdr:row>
      <xdr:rowOff>28575</xdr:rowOff>
    </xdr:from>
    <xdr:to>
      <xdr:col>4</xdr:col>
      <xdr:colOff>127000</xdr:colOff>
      <xdr:row>66</xdr:row>
      <xdr:rowOff>155575</xdr:rowOff>
    </xdr:to>
    <xdr:sp macro="" textlink="">
      <xdr:nvSpPr>
        <xdr:cNvPr id="775" name="Arrow: Up 774">
          <a:extLst>
            <a:ext uri="{FF2B5EF4-FFF2-40B4-BE49-F238E27FC236}">
              <a16:creationId xmlns:a16="http://schemas.microsoft.com/office/drawing/2014/main" id="{554D2AA0-63D7-8433-94EA-250D1EA04C35}"/>
            </a:ext>
          </a:extLst>
        </xdr:cNvPr>
        <xdr:cNvSpPr>
          <a:spLocks/>
        </xdr:cNvSpPr>
      </xdr:nvSpPr>
      <xdr:spPr>
        <a:xfrm>
          <a:off x="7715250" y="122904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67</xdr:row>
      <xdr:rowOff>28575</xdr:rowOff>
    </xdr:from>
    <xdr:to>
      <xdr:col>4</xdr:col>
      <xdr:colOff>127000</xdr:colOff>
      <xdr:row>67</xdr:row>
      <xdr:rowOff>155575</xdr:rowOff>
    </xdr:to>
    <xdr:sp macro="" textlink="">
      <xdr:nvSpPr>
        <xdr:cNvPr id="776" name="Arrow: Up 775">
          <a:extLst>
            <a:ext uri="{FF2B5EF4-FFF2-40B4-BE49-F238E27FC236}">
              <a16:creationId xmlns:a16="http://schemas.microsoft.com/office/drawing/2014/main" id="{638C5DAF-9AFF-EB2F-B0B4-01602AC0DAE0}"/>
            </a:ext>
          </a:extLst>
        </xdr:cNvPr>
        <xdr:cNvSpPr>
          <a:spLocks/>
        </xdr:cNvSpPr>
      </xdr:nvSpPr>
      <xdr:spPr>
        <a:xfrm>
          <a:off x="7715250" y="124745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68</xdr:row>
      <xdr:rowOff>28575</xdr:rowOff>
    </xdr:from>
    <xdr:to>
      <xdr:col>4</xdr:col>
      <xdr:colOff>127000</xdr:colOff>
      <xdr:row>68</xdr:row>
      <xdr:rowOff>155575</xdr:rowOff>
    </xdr:to>
    <xdr:sp macro="" textlink="">
      <xdr:nvSpPr>
        <xdr:cNvPr id="777" name="Arrow: Up 776">
          <a:extLst>
            <a:ext uri="{FF2B5EF4-FFF2-40B4-BE49-F238E27FC236}">
              <a16:creationId xmlns:a16="http://schemas.microsoft.com/office/drawing/2014/main" id="{FA75CAE2-198B-BCD7-AB8A-20F01D0B5465}"/>
            </a:ext>
          </a:extLst>
        </xdr:cNvPr>
        <xdr:cNvSpPr>
          <a:spLocks/>
        </xdr:cNvSpPr>
      </xdr:nvSpPr>
      <xdr:spPr>
        <a:xfrm>
          <a:off x="7715250" y="126587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69</xdr:row>
      <xdr:rowOff>28575</xdr:rowOff>
    </xdr:from>
    <xdr:to>
      <xdr:col>4</xdr:col>
      <xdr:colOff>127000</xdr:colOff>
      <xdr:row>69</xdr:row>
      <xdr:rowOff>155575</xdr:rowOff>
    </xdr:to>
    <xdr:sp macro="" textlink="">
      <xdr:nvSpPr>
        <xdr:cNvPr id="778" name="Arrow: Up 777">
          <a:extLst>
            <a:ext uri="{FF2B5EF4-FFF2-40B4-BE49-F238E27FC236}">
              <a16:creationId xmlns:a16="http://schemas.microsoft.com/office/drawing/2014/main" id="{4AE33BA0-FC99-7740-17A6-FEF6438B8672}"/>
            </a:ext>
          </a:extLst>
        </xdr:cNvPr>
        <xdr:cNvSpPr>
          <a:spLocks/>
        </xdr:cNvSpPr>
      </xdr:nvSpPr>
      <xdr:spPr>
        <a:xfrm>
          <a:off x="7715250" y="128428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70</xdr:row>
      <xdr:rowOff>28575</xdr:rowOff>
    </xdr:from>
    <xdr:to>
      <xdr:col>4</xdr:col>
      <xdr:colOff>127000</xdr:colOff>
      <xdr:row>70</xdr:row>
      <xdr:rowOff>155575</xdr:rowOff>
    </xdr:to>
    <xdr:sp macro="" textlink="">
      <xdr:nvSpPr>
        <xdr:cNvPr id="779" name="Arrow: Up 778">
          <a:extLst>
            <a:ext uri="{FF2B5EF4-FFF2-40B4-BE49-F238E27FC236}">
              <a16:creationId xmlns:a16="http://schemas.microsoft.com/office/drawing/2014/main" id="{88BBB5F0-2959-9EFF-D6B6-038B5EF5762E}"/>
            </a:ext>
          </a:extLst>
        </xdr:cNvPr>
        <xdr:cNvSpPr>
          <a:spLocks/>
        </xdr:cNvSpPr>
      </xdr:nvSpPr>
      <xdr:spPr>
        <a:xfrm>
          <a:off x="7715250" y="130270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71</xdr:row>
      <xdr:rowOff>28575</xdr:rowOff>
    </xdr:from>
    <xdr:to>
      <xdr:col>4</xdr:col>
      <xdr:colOff>127000</xdr:colOff>
      <xdr:row>71</xdr:row>
      <xdr:rowOff>155575</xdr:rowOff>
    </xdr:to>
    <xdr:sp macro="" textlink="">
      <xdr:nvSpPr>
        <xdr:cNvPr id="780" name="Arrow: Up 779">
          <a:extLst>
            <a:ext uri="{FF2B5EF4-FFF2-40B4-BE49-F238E27FC236}">
              <a16:creationId xmlns:a16="http://schemas.microsoft.com/office/drawing/2014/main" id="{E4DD86EB-9F0E-D072-EBEA-5F2CEBB7C88D}"/>
            </a:ext>
          </a:extLst>
        </xdr:cNvPr>
        <xdr:cNvSpPr>
          <a:spLocks/>
        </xdr:cNvSpPr>
      </xdr:nvSpPr>
      <xdr:spPr>
        <a:xfrm>
          <a:off x="7715250" y="132111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72</xdr:row>
      <xdr:rowOff>28575</xdr:rowOff>
    </xdr:from>
    <xdr:to>
      <xdr:col>4</xdr:col>
      <xdr:colOff>127000</xdr:colOff>
      <xdr:row>72</xdr:row>
      <xdr:rowOff>155575</xdr:rowOff>
    </xdr:to>
    <xdr:sp macro="" textlink="">
      <xdr:nvSpPr>
        <xdr:cNvPr id="781" name="Arrow: Up 780">
          <a:extLst>
            <a:ext uri="{FF2B5EF4-FFF2-40B4-BE49-F238E27FC236}">
              <a16:creationId xmlns:a16="http://schemas.microsoft.com/office/drawing/2014/main" id="{3D614B22-9CEA-332C-88BF-C446BDEB9E4F}"/>
            </a:ext>
          </a:extLst>
        </xdr:cNvPr>
        <xdr:cNvSpPr>
          <a:spLocks/>
        </xdr:cNvSpPr>
      </xdr:nvSpPr>
      <xdr:spPr>
        <a:xfrm>
          <a:off x="7715250" y="133953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73</xdr:row>
      <xdr:rowOff>28575</xdr:rowOff>
    </xdr:from>
    <xdr:to>
      <xdr:col>4</xdr:col>
      <xdr:colOff>127000</xdr:colOff>
      <xdr:row>73</xdr:row>
      <xdr:rowOff>155575</xdr:rowOff>
    </xdr:to>
    <xdr:sp macro="" textlink="">
      <xdr:nvSpPr>
        <xdr:cNvPr id="782" name="Arrow: Up 781">
          <a:extLst>
            <a:ext uri="{FF2B5EF4-FFF2-40B4-BE49-F238E27FC236}">
              <a16:creationId xmlns:a16="http://schemas.microsoft.com/office/drawing/2014/main" id="{2CF9EE16-83AD-1E5F-A2D7-01B28F376489}"/>
            </a:ext>
          </a:extLst>
        </xdr:cNvPr>
        <xdr:cNvSpPr>
          <a:spLocks/>
        </xdr:cNvSpPr>
      </xdr:nvSpPr>
      <xdr:spPr>
        <a:xfrm>
          <a:off x="7715250" y="135794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74</xdr:row>
      <xdr:rowOff>28575</xdr:rowOff>
    </xdr:from>
    <xdr:to>
      <xdr:col>4</xdr:col>
      <xdr:colOff>127000</xdr:colOff>
      <xdr:row>74</xdr:row>
      <xdr:rowOff>155575</xdr:rowOff>
    </xdr:to>
    <xdr:sp macro="" textlink="">
      <xdr:nvSpPr>
        <xdr:cNvPr id="783" name="Arrow: Up 782">
          <a:extLst>
            <a:ext uri="{FF2B5EF4-FFF2-40B4-BE49-F238E27FC236}">
              <a16:creationId xmlns:a16="http://schemas.microsoft.com/office/drawing/2014/main" id="{16893579-1DFE-77CD-AC72-453BF00C59E8}"/>
            </a:ext>
          </a:extLst>
        </xdr:cNvPr>
        <xdr:cNvSpPr>
          <a:spLocks/>
        </xdr:cNvSpPr>
      </xdr:nvSpPr>
      <xdr:spPr>
        <a:xfrm>
          <a:off x="7715250" y="137636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75</xdr:row>
      <xdr:rowOff>28575</xdr:rowOff>
    </xdr:from>
    <xdr:to>
      <xdr:col>4</xdr:col>
      <xdr:colOff>127000</xdr:colOff>
      <xdr:row>75</xdr:row>
      <xdr:rowOff>155575</xdr:rowOff>
    </xdr:to>
    <xdr:sp macro="" textlink="">
      <xdr:nvSpPr>
        <xdr:cNvPr id="784" name="Arrow: Up 783">
          <a:extLst>
            <a:ext uri="{FF2B5EF4-FFF2-40B4-BE49-F238E27FC236}">
              <a16:creationId xmlns:a16="http://schemas.microsoft.com/office/drawing/2014/main" id="{BC9FFE44-721B-AFEE-133D-E01DE44B9681}"/>
            </a:ext>
          </a:extLst>
        </xdr:cNvPr>
        <xdr:cNvSpPr>
          <a:spLocks/>
        </xdr:cNvSpPr>
      </xdr:nvSpPr>
      <xdr:spPr>
        <a:xfrm>
          <a:off x="7715250" y="139477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76</xdr:row>
      <xdr:rowOff>28575</xdr:rowOff>
    </xdr:from>
    <xdr:to>
      <xdr:col>4</xdr:col>
      <xdr:colOff>127000</xdr:colOff>
      <xdr:row>76</xdr:row>
      <xdr:rowOff>155575</xdr:rowOff>
    </xdr:to>
    <xdr:sp macro="" textlink="">
      <xdr:nvSpPr>
        <xdr:cNvPr id="785" name="Arrow: Up 784">
          <a:extLst>
            <a:ext uri="{FF2B5EF4-FFF2-40B4-BE49-F238E27FC236}">
              <a16:creationId xmlns:a16="http://schemas.microsoft.com/office/drawing/2014/main" id="{11FF2C4E-0D27-17DD-7812-F9EEE21FEAD7}"/>
            </a:ext>
          </a:extLst>
        </xdr:cNvPr>
        <xdr:cNvSpPr>
          <a:spLocks/>
        </xdr:cNvSpPr>
      </xdr:nvSpPr>
      <xdr:spPr>
        <a:xfrm>
          <a:off x="7715250" y="141319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77</xdr:row>
      <xdr:rowOff>28575</xdr:rowOff>
    </xdr:from>
    <xdr:to>
      <xdr:col>4</xdr:col>
      <xdr:colOff>127000</xdr:colOff>
      <xdr:row>77</xdr:row>
      <xdr:rowOff>155575</xdr:rowOff>
    </xdr:to>
    <xdr:sp macro="" textlink="">
      <xdr:nvSpPr>
        <xdr:cNvPr id="786" name="Arrow: Up 785">
          <a:extLst>
            <a:ext uri="{FF2B5EF4-FFF2-40B4-BE49-F238E27FC236}">
              <a16:creationId xmlns:a16="http://schemas.microsoft.com/office/drawing/2014/main" id="{4EDCE142-56E1-4C27-B148-6AB8617E7210}"/>
            </a:ext>
          </a:extLst>
        </xdr:cNvPr>
        <xdr:cNvSpPr>
          <a:spLocks/>
        </xdr:cNvSpPr>
      </xdr:nvSpPr>
      <xdr:spPr>
        <a:xfrm>
          <a:off x="7715250" y="143160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78</xdr:row>
      <xdr:rowOff>28575</xdr:rowOff>
    </xdr:from>
    <xdr:to>
      <xdr:col>4</xdr:col>
      <xdr:colOff>127000</xdr:colOff>
      <xdr:row>78</xdr:row>
      <xdr:rowOff>155575</xdr:rowOff>
    </xdr:to>
    <xdr:sp macro="" textlink="">
      <xdr:nvSpPr>
        <xdr:cNvPr id="787" name="Arrow: Up 786">
          <a:extLst>
            <a:ext uri="{FF2B5EF4-FFF2-40B4-BE49-F238E27FC236}">
              <a16:creationId xmlns:a16="http://schemas.microsoft.com/office/drawing/2014/main" id="{0827F2A5-9C3A-245C-3FB1-FB71E1E4B218}"/>
            </a:ext>
          </a:extLst>
        </xdr:cNvPr>
        <xdr:cNvSpPr>
          <a:spLocks/>
        </xdr:cNvSpPr>
      </xdr:nvSpPr>
      <xdr:spPr>
        <a:xfrm>
          <a:off x="7715250" y="145002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79</xdr:row>
      <xdr:rowOff>28575</xdr:rowOff>
    </xdr:from>
    <xdr:to>
      <xdr:col>4</xdr:col>
      <xdr:colOff>127000</xdr:colOff>
      <xdr:row>79</xdr:row>
      <xdr:rowOff>155575</xdr:rowOff>
    </xdr:to>
    <xdr:sp macro="" textlink="">
      <xdr:nvSpPr>
        <xdr:cNvPr id="788" name="Arrow: Up 787">
          <a:extLst>
            <a:ext uri="{FF2B5EF4-FFF2-40B4-BE49-F238E27FC236}">
              <a16:creationId xmlns:a16="http://schemas.microsoft.com/office/drawing/2014/main" id="{41C0FAD9-0A70-287F-D17E-D51E9AD6315C}"/>
            </a:ext>
          </a:extLst>
        </xdr:cNvPr>
        <xdr:cNvSpPr>
          <a:spLocks/>
        </xdr:cNvSpPr>
      </xdr:nvSpPr>
      <xdr:spPr>
        <a:xfrm>
          <a:off x="7715250" y="146843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80</xdr:row>
      <xdr:rowOff>28575</xdr:rowOff>
    </xdr:from>
    <xdr:to>
      <xdr:col>4</xdr:col>
      <xdr:colOff>127000</xdr:colOff>
      <xdr:row>80</xdr:row>
      <xdr:rowOff>155575</xdr:rowOff>
    </xdr:to>
    <xdr:sp macro="" textlink="">
      <xdr:nvSpPr>
        <xdr:cNvPr id="789" name="Arrow: Up 788">
          <a:extLst>
            <a:ext uri="{FF2B5EF4-FFF2-40B4-BE49-F238E27FC236}">
              <a16:creationId xmlns:a16="http://schemas.microsoft.com/office/drawing/2014/main" id="{9841AC0C-ECA8-1CBA-FE83-6E8DA27A54F5}"/>
            </a:ext>
          </a:extLst>
        </xdr:cNvPr>
        <xdr:cNvSpPr>
          <a:spLocks/>
        </xdr:cNvSpPr>
      </xdr:nvSpPr>
      <xdr:spPr>
        <a:xfrm>
          <a:off x="7715250" y="148685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81</xdr:row>
      <xdr:rowOff>28575</xdr:rowOff>
    </xdr:from>
    <xdr:to>
      <xdr:col>4</xdr:col>
      <xdr:colOff>127000</xdr:colOff>
      <xdr:row>81</xdr:row>
      <xdr:rowOff>155575</xdr:rowOff>
    </xdr:to>
    <xdr:sp macro="" textlink="">
      <xdr:nvSpPr>
        <xdr:cNvPr id="790" name="Arrow: Up 789">
          <a:extLst>
            <a:ext uri="{FF2B5EF4-FFF2-40B4-BE49-F238E27FC236}">
              <a16:creationId xmlns:a16="http://schemas.microsoft.com/office/drawing/2014/main" id="{7C8CB5CD-F416-3627-88A5-F15217EE593B}"/>
            </a:ext>
          </a:extLst>
        </xdr:cNvPr>
        <xdr:cNvSpPr>
          <a:spLocks/>
        </xdr:cNvSpPr>
      </xdr:nvSpPr>
      <xdr:spPr>
        <a:xfrm>
          <a:off x="7715250" y="150526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82</xdr:row>
      <xdr:rowOff>28575</xdr:rowOff>
    </xdr:from>
    <xdr:to>
      <xdr:col>4</xdr:col>
      <xdr:colOff>127000</xdr:colOff>
      <xdr:row>82</xdr:row>
      <xdr:rowOff>155575</xdr:rowOff>
    </xdr:to>
    <xdr:sp macro="" textlink="">
      <xdr:nvSpPr>
        <xdr:cNvPr id="791" name="Arrow: Up 790">
          <a:extLst>
            <a:ext uri="{FF2B5EF4-FFF2-40B4-BE49-F238E27FC236}">
              <a16:creationId xmlns:a16="http://schemas.microsoft.com/office/drawing/2014/main" id="{6B424700-B7D2-7EFC-899C-7968C51F96C9}"/>
            </a:ext>
          </a:extLst>
        </xdr:cNvPr>
        <xdr:cNvSpPr>
          <a:spLocks/>
        </xdr:cNvSpPr>
      </xdr:nvSpPr>
      <xdr:spPr>
        <a:xfrm>
          <a:off x="7715250" y="152368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83</xdr:row>
      <xdr:rowOff>28575</xdr:rowOff>
    </xdr:from>
    <xdr:to>
      <xdr:col>4</xdr:col>
      <xdr:colOff>127000</xdr:colOff>
      <xdr:row>83</xdr:row>
      <xdr:rowOff>155575</xdr:rowOff>
    </xdr:to>
    <xdr:sp macro="" textlink="">
      <xdr:nvSpPr>
        <xdr:cNvPr id="792" name="Arrow: Up 791">
          <a:extLst>
            <a:ext uri="{FF2B5EF4-FFF2-40B4-BE49-F238E27FC236}">
              <a16:creationId xmlns:a16="http://schemas.microsoft.com/office/drawing/2014/main" id="{AB655FB4-1EA1-0030-5CF4-F87E049B372E}"/>
            </a:ext>
          </a:extLst>
        </xdr:cNvPr>
        <xdr:cNvSpPr>
          <a:spLocks/>
        </xdr:cNvSpPr>
      </xdr:nvSpPr>
      <xdr:spPr>
        <a:xfrm>
          <a:off x="7715250" y="154209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84</xdr:row>
      <xdr:rowOff>28575</xdr:rowOff>
    </xdr:from>
    <xdr:to>
      <xdr:col>4</xdr:col>
      <xdr:colOff>127000</xdr:colOff>
      <xdr:row>84</xdr:row>
      <xdr:rowOff>155575</xdr:rowOff>
    </xdr:to>
    <xdr:sp macro="" textlink="">
      <xdr:nvSpPr>
        <xdr:cNvPr id="793" name="Arrow: Up 792">
          <a:extLst>
            <a:ext uri="{FF2B5EF4-FFF2-40B4-BE49-F238E27FC236}">
              <a16:creationId xmlns:a16="http://schemas.microsoft.com/office/drawing/2014/main" id="{5688ABAE-C0A1-44D5-1657-8BDE826BB1D9}"/>
            </a:ext>
          </a:extLst>
        </xdr:cNvPr>
        <xdr:cNvSpPr>
          <a:spLocks/>
        </xdr:cNvSpPr>
      </xdr:nvSpPr>
      <xdr:spPr>
        <a:xfrm>
          <a:off x="7715250" y="156051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85</xdr:row>
      <xdr:rowOff>28575</xdr:rowOff>
    </xdr:from>
    <xdr:to>
      <xdr:col>4</xdr:col>
      <xdr:colOff>127000</xdr:colOff>
      <xdr:row>85</xdr:row>
      <xdr:rowOff>155575</xdr:rowOff>
    </xdr:to>
    <xdr:sp macro="" textlink="">
      <xdr:nvSpPr>
        <xdr:cNvPr id="794" name="Arrow: Up 793">
          <a:extLst>
            <a:ext uri="{FF2B5EF4-FFF2-40B4-BE49-F238E27FC236}">
              <a16:creationId xmlns:a16="http://schemas.microsoft.com/office/drawing/2014/main" id="{996BA025-6DC8-719D-0B9A-C76B9EE2188B}"/>
            </a:ext>
          </a:extLst>
        </xdr:cNvPr>
        <xdr:cNvSpPr>
          <a:spLocks/>
        </xdr:cNvSpPr>
      </xdr:nvSpPr>
      <xdr:spPr>
        <a:xfrm>
          <a:off x="7715250" y="157892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86</xdr:row>
      <xdr:rowOff>28575</xdr:rowOff>
    </xdr:from>
    <xdr:to>
      <xdr:col>4</xdr:col>
      <xdr:colOff>127000</xdr:colOff>
      <xdr:row>86</xdr:row>
      <xdr:rowOff>155575</xdr:rowOff>
    </xdr:to>
    <xdr:sp macro="" textlink="">
      <xdr:nvSpPr>
        <xdr:cNvPr id="795" name="Arrow: Up 794">
          <a:extLst>
            <a:ext uri="{FF2B5EF4-FFF2-40B4-BE49-F238E27FC236}">
              <a16:creationId xmlns:a16="http://schemas.microsoft.com/office/drawing/2014/main" id="{6E61BE05-D899-8318-5E26-D876D92A5E7D}"/>
            </a:ext>
          </a:extLst>
        </xdr:cNvPr>
        <xdr:cNvSpPr>
          <a:spLocks/>
        </xdr:cNvSpPr>
      </xdr:nvSpPr>
      <xdr:spPr>
        <a:xfrm>
          <a:off x="7715250" y="159734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87</xdr:row>
      <xdr:rowOff>28575</xdr:rowOff>
    </xdr:from>
    <xdr:to>
      <xdr:col>4</xdr:col>
      <xdr:colOff>127000</xdr:colOff>
      <xdr:row>87</xdr:row>
      <xdr:rowOff>155575</xdr:rowOff>
    </xdr:to>
    <xdr:sp macro="" textlink="">
      <xdr:nvSpPr>
        <xdr:cNvPr id="796" name="Arrow: Up 795">
          <a:extLst>
            <a:ext uri="{FF2B5EF4-FFF2-40B4-BE49-F238E27FC236}">
              <a16:creationId xmlns:a16="http://schemas.microsoft.com/office/drawing/2014/main" id="{B33C2989-2779-428A-4B52-1E78844022FB}"/>
            </a:ext>
          </a:extLst>
        </xdr:cNvPr>
        <xdr:cNvSpPr>
          <a:spLocks/>
        </xdr:cNvSpPr>
      </xdr:nvSpPr>
      <xdr:spPr>
        <a:xfrm>
          <a:off x="7715250" y="161575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88</xdr:row>
      <xdr:rowOff>28575</xdr:rowOff>
    </xdr:from>
    <xdr:to>
      <xdr:col>4</xdr:col>
      <xdr:colOff>127000</xdr:colOff>
      <xdr:row>88</xdr:row>
      <xdr:rowOff>155575</xdr:rowOff>
    </xdr:to>
    <xdr:sp macro="" textlink="">
      <xdr:nvSpPr>
        <xdr:cNvPr id="797" name="Arrow: Up 796">
          <a:extLst>
            <a:ext uri="{FF2B5EF4-FFF2-40B4-BE49-F238E27FC236}">
              <a16:creationId xmlns:a16="http://schemas.microsoft.com/office/drawing/2014/main" id="{B720951D-7E8E-A576-E70F-38A76F4A458A}"/>
            </a:ext>
          </a:extLst>
        </xdr:cNvPr>
        <xdr:cNvSpPr>
          <a:spLocks/>
        </xdr:cNvSpPr>
      </xdr:nvSpPr>
      <xdr:spPr>
        <a:xfrm>
          <a:off x="7715250" y="163417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89</xdr:row>
      <xdr:rowOff>28575</xdr:rowOff>
    </xdr:from>
    <xdr:to>
      <xdr:col>4</xdr:col>
      <xdr:colOff>127000</xdr:colOff>
      <xdr:row>89</xdr:row>
      <xdr:rowOff>155575</xdr:rowOff>
    </xdr:to>
    <xdr:sp macro="" textlink="">
      <xdr:nvSpPr>
        <xdr:cNvPr id="798" name="Arrow: Up 797">
          <a:extLst>
            <a:ext uri="{FF2B5EF4-FFF2-40B4-BE49-F238E27FC236}">
              <a16:creationId xmlns:a16="http://schemas.microsoft.com/office/drawing/2014/main" id="{59DE9676-F0E2-9DD5-9E5D-EB01ED6F404E}"/>
            </a:ext>
          </a:extLst>
        </xdr:cNvPr>
        <xdr:cNvSpPr>
          <a:spLocks/>
        </xdr:cNvSpPr>
      </xdr:nvSpPr>
      <xdr:spPr>
        <a:xfrm>
          <a:off x="7715250" y="165258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90</xdr:row>
      <xdr:rowOff>28575</xdr:rowOff>
    </xdr:from>
    <xdr:to>
      <xdr:col>4</xdr:col>
      <xdr:colOff>127000</xdr:colOff>
      <xdr:row>90</xdr:row>
      <xdr:rowOff>155575</xdr:rowOff>
    </xdr:to>
    <xdr:sp macro="" textlink="">
      <xdr:nvSpPr>
        <xdr:cNvPr id="799" name="Arrow: Up 798">
          <a:extLst>
            <a:ext uri="{FF2B5EF4-FFF2-40B4-BE49-F238E27FC236}">
              <a16:creationId xmlns:a16="http://schemas.microsoft.com/office/drawing/2014/main" id="{12688715-56A0-47D5-4458-AFB3F8A54F32}"/>
            </a:ext>
          </a:extLst>
        </xdr:cNvPr>
        <xdr:cNvSpPr>
          <a:spLocks/>
        </xdr:cNvSpPr>
      </xdr:nvSpPr>
      <xdr:spPr>
        <a:xfrm>
          <a:off x="7715250" y="167100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91</xdr:row>
      <xdr:rowOff>28575</xdr:rowOff>
    </xdr:from>
    <xdr:to>
      <xdr:col>4</xdr:col>
      <xdr:colOff>127000</xdr:colOff>
      <xdr:row>91</xdr:row>
      <xdr:rowOff>155575</xdr:rowOff>
    </xdr:to>
    <xdr:sp macro="" textlink="">
      <xdr:nvSpPr>
        <xdr:cNvPr id="800" name="Arrow: Up 799">
          <a:extLst>
            <a:ext uri="{FF2B5EF4-FFF2-40B4-BE49-F238E27FC236}">
              <a16:creationId xmlns:a16="http://schemas.microsoft.com/office/drawing/2014/main" id="{4B1255F9-83DB-7A36-DB5F-31C9AA8F4402}"/>
            </a:ext>
          </a:extLst>
        </xdr:cNvPr>
        <xdr:cNvSpPr>
          <a:spLocks/>
        </xdr:cNvSpPr>
      </xdr:nvSpPr>
      <xdr:spPr>
        <a:xfrm>
          <a:off x="7715250" y="168941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92</xdr:row>
      <xdr:rowOff>28575</xdr:rowOff>
    </xdr:from>
    <xdr:to>
      <xdr:col>4</xdr:col>
      <xdr:colOff>127000</xdr:colOff>
      <xdr:row>92</xdr:row>
      <xdr:rowOff>155575</xdr:rowOff>
    </xdr:to>
    <xdr:sp macro="" textlink="">
      <xdr:nvSpPr>
        <xdr:cNvPr id="801" name="Arrow: Up 800">
          <a:extLst>
            <a:ext uri="{FF2B5EF4-FFF2-40B4-BE49-F238E27FC236}">
              <a16:creationId xmlns:a16="http://schemas.microsoft.com/office/drawing/2014/main" id="{37240588-4396-44A5-54D8-C2352C16002A}"/>
            </a:ext>
          </a:extLst>
        </xdr:cNvPr>
        <xdr:cNvSpPr>
          <a:spLocks/>
        </xdr:cNvSpPr>
      </xdr:nvSpPr>
      <xdr:spPr>
        <a:xfrm>
          <a:off x="7715250" y="170783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93</xdr:row>
      <xdr:rowOff>28575</xdr:rowOff>
    </xdr:from>
    <xdr:to>
      <xdr:col>4</xdr:col>
      <xdr:colOff>127000</xdr:colOff>
      <xdr:row>93</xdr:row>
      <xdr:rowOff>155575</xdr:rowOff>
    </xdr:to>
    <xdr:sp macro="" textlink="">
      <xdr:nvSpPr>
        <xdr:cNvPr id="802" name="Arrow: Up 801">
          <a:extLst>
            <a:ext uri="{FF2B5EF4-FFF2-40B4-BE49-F238E27FC236}">
              <a16:creationId xmlns:a16="http://schemas.microsoft.com/office/drawing/2014/main" id="{744EBB49-4FBD-3097-F711-133E79B25900}"/>
            </a:ext>
          </a:extLst>
        </xdr:cNvPr>
        <xdr:cNvSpPr>
          <a:spLocks/>
        </xdr:cNvSpPr>
      </xdr:nvSpPr>
      <xdr:spPr>
        <a:xfrm>
          <a:off x="7715250" y="172624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94</xdr:row>
      <xdr:rowOff>28575</xdr:rowOff>
    </xdr:from>
    <xdr:to>
      <xdr:col>4</xdr:col>
      <xdr:colOff>127000</xdr:colOff>
      <xdr:row>94</xdr:row>
      <xdr:rowOff>155575</xdr:rowOff>
    </xdr:to>
    <xdr:sp macro="" textlink="">
      <xdr:nvSpPr>
        <xdr:cNvPr id="803" name="Arrow: Up 802">
          <a:extLst>
            <a:ext uri="{FF2B5EF4-FFF2-40B4-BE49-F238E27FC236}">
              <a16:creationId xmlns:a16="http://schemas.microsoft.com/office/drawing/2014/main" id="{F345C06D-47C6-F9B4-BB60-ED46B0786815}"/>
            </a:ext>
          </a:extLst>
        </xdr:cNvPr>
        <xdr:cNvSpPr>
          <a:spLocks/>
        </xdr:cNvSpPr>
      </xdr:nvSpPr>
      <xdr:spPr>
        <a:xfrm>
          <a:off x="7715250" y="174466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95</xdr:row>
      <xdr:rowOff>28575</xdr:rowOff>
    </xdr:from>
    <xdr:to>
      <xdr:col>4</xdr:col>
      <xdr:colOff>127000</xdr:colOff>
      <xdr:row>95</xdr:row>
      <xdr:rowOff>155575</xdr:rowOff>
    </xdr:to>
    <xdr:sp macro="" textlink="">
      <xdr:nvSpPr>
        <xdr:cNvPr id="804" name="Arrow: Up 803">
          <a:extLst>
            <a:ext uri="{FF2B5EF4-FFF2-40B4-BE49-F238E27FC236}">
              <a16:creationId xmlns:a16="http://schemas.microsoft.com/office/drawing/2014/main" id="{0C186C2A-0A86-11CF-96BD-5A437D091B06}"/>
            </a:ext>
          </a:extLst>
        </xdr:cNvPr>
        <xdr:cNvSpPr>
          <a:spLocks/>
        </xdr:cNvSpPr>
      </xdr:nvSpPr>
      <xdr:spPr>
        <a:xfrm>
          <a:off x="7715250" y="176307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96</xdr:row>
      <xdr:rowOff>28575</xdr:rowOff>
    </xdr:from>
    <xdr:to>
      <xdr:col>4</xdr:col>
      <xdr:colOff>127000</xdr:colOff>
      <xdr:row>96</xdr:row>
      <xdr:rowOff>155575</xdr:rowOff>
    </xdr:to>
    <xdr:sp macro="" textlink="">
      <xdr:nvSpPr>
        <xdr:cNvPr id="805" name="Arrow: Up 804">
          <a:extLst>
            <a:ext uri="{FF2B5EF4-FFF2-40B4-BE49-F238E27FC236}">
              <a16:creationId xmlns:a16="http://schemas.microsoft.com/office/drawing/2014/main" id="{9EB90302-4AEC-A7F0-B995-EBB341B3845F}"/>
            </a:ext>
          </a:extLst>
        </xdr:cNvPr>
        <xdr:cNvSpPr>
          <a:spLocks/>
        </xdr:cNvSpPr>
      </xdr:nvSpPr>
      <xdr:spPr>
        <a:xfrm>
          <a:off x="7715250" y="178149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97</xdr:row>
      <xdr:rowOff>28575</xdr:rowOff>
    </xdr:from>
    <xdr:to>
      <xdr:col>4</xdr:col>
      <xdr:colOff>127000</xdr:colOff>
      <xdr:row>97</xdr:row>
      <xdr:rowOff>155575</xdr:rowOff>
    </xdr:to>
    <xdr:sp macro="" textlink="">
      <xdr:nvSpPr>
        <xdr:cNvPr id="806" name="Arrow: Up 805">
          <a:extLst>
            <a:ext uri="{FF2B5EF4-FFF2-40B4-BE49-F238E27FC236}">
              <a16:creationId xmlns:a16="http://schemas.microsoft.com/office/drawing/2014/main" id="{80A736A9-AE88-50EE-AE50-C91B50F77F03}"/>
            </a:ext>
          </a:extLst>
        </xdr:cNvPr>
        <xdr:cNvSpPr>
          <a:spLocks/>
        </xdr:cNvSpPr>
      </xdr:nvSpPr>
      <xdr:spPr>
        <a:xfrm>
          <a:off x="7715250" y="179990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98</xdr:row>
      <xdr:rowOff>28575</xdr:rowOff>
    </xdr:from>
    <xdr:to>
      <xdr:col>4</xdr:col>
      <xdr:colOff>127000</xdr:colOff>
      <xdr:row>98</xdr:row>
      <xdr:rowOff>155575</xdr:rowOff>
    </xdr:to>
    <xdr:sp macro="" textlink="">
      <xdr:nvSpPr>
        <xdr:cNvPr id="807" name="Arrow: Up 806">
          <a:extLst>
            <a:ext uri="{FF2B5EF4-FFF2-40B4-BE49-F238E27FC236}">
              <a16:creationId xmlns:a16="http://schemas.microsoft.com/office/drawing/2014/main" id="{21D346AC-1648-AAC8-44BB-8F3A3833B915}"/>
            </a:ext>
          </a:extLst>
        </xdr:cNvPr>
        <xdr:cNvSpPr>
          <a:spLocks/>
        </xdr:cNvSpPr>
      </xdr:nvSpPr>
      <xdr:spPr>
        <a:xfrm>
          <a:off x="7715250" y="181832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99</xdr:row>
      <xdr:rowOff>28575</xdr:rowOff>
    </xdr:from>
    <xdr:to>
      <xdr:col>4</xdr:col>
      <xdr:colOff>127000</xdr:colOff>
      <xdr:row>99</xdr:row>
      <xdr:rowOff>155575</xdr:rowOff>
    </xdr:to>
    <xdr:sp macro="" textlink="">
      <xdr:nvSpPr>
        <xdr:cNvPr id="808" name="Arrow: Up 807">
          <a:extLst>
            <a:ext uri="{FF2B5EF4-FFF2-40B4-BE49-F238E27FC236}">
              <a16:creationId xmlns:a16="http://schemas.microsoft.com/office/drawing/2014/main" id="{90017880-6094-F283-E5E4-7B87FD786910}"/>
            </a:ext>
          </a:extLst>
        </xdr:cNvPr>
        <xdr:cNvSpPr>
          <a:spLocks/>
        </xdr:cNvSpPr>
      </xdr:nvSpPr>
      <xdr:spPr>
        <a:xfrm>
          <a:off x="7715250" y="183673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100</xdr:row>
      <xdr:rowOff>28575</xdr:rowOff>
    </xdr:from>
    <xdr:to>
      <xdr:col>4</xdr:col>
      <xdr:colOff>127000</xdr:colOff>
      <xdr:row>100</xdr:row>
      <xdr:rowOff>155575</xdr:rowOff>
    </xdr:to>
    <xdr:sp macro="" textlink="">
      <xdr:nvSpPr>
        <xdr:cNvPr id="809" name="Arrow: Up 808">
          <a:extLst>
            <a:ext uri="{FF2B5EF4-FFF2-40B4-BE49-F238E27FC236}">
              <a16:creationId xmlns:a16="http://schemas.microsoft.com/office/drawing/2014/main" id="{1B637D4A-88E8-976E-4C4F-6FB04EF96512}"/>
            </a:ext>
          </a:extLst>
        </xdr:cNvPr>
        <xdr:cNvSpPr>
          <a:spLocks/>
        </xdr:cNvSpPr>
      </xdr:nvSpPr>
      <xdr:spPr>
        <a:xfrm>
          <a:off x="7715250" y="185515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101</xdr:row>
      <xdr:rowOff>28575</xdr:rowOff>
    </xdr:from>
    <xdr:to>
      <xdr:col>4</xdr:col>
      <xdr:colOff>127000</xdr:colOff>
      <xdr:row>101</xdr:row>
      <xdr:rowOff>155575</xdr:rowOff>
    </xdr:to>
    <xdr:sp macro="" textlink="">
      <xdr:nvSpPr>
        <xdr:cNvPr id="810" name="Arrow: Up 809">
          <a:extLst>
            <a:ext uri="{FF2B5EF4-FFF2-40B4-BE49-F238E27FC236}">
              <a16:creationId xmlns:a16="http://schemas.microsoft.com/office/drawing/2014/main" id="{5B2CC6BD-792C-6257-E696-E447E5CE86FC}"/>
            </a:ext>
          </a:extLst>
        </xdr:cNvPr>
        <xdr:cNvSpPr>
          <a:spLocks/>
        </xdr:cNvSpPr>
      </xdr:nvSpPr>
      <xdr:spPr>
        <a:xfrm>
          <a:off x="7715250" y="187356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</xdr:row>
      <xdr:rowOff>28575</xdr:rowOff>
    </xdr:from>
    <xdr:to>
      <xdr:col>4</xdr:col>
      <xdr:colOff>127000</xdr:colOff>
      <xdr:row>2</xdr:row>
      <xdr:rowOff>155575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767A3E48-B272-BEF2-2CAB-8851B50EA3F2}"/>
            </a:ext>
          </a:extLst>
        </xdr:cNvPr>
        <xdr:cNvSpPr>
          <a:spLocks/>
        </xdr:cNvSpPr>
      </xdr:nvSpPr>
      <xdr:spPr>
        <a:xfrm>
          <a:off x="3454400" y="63182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3</xdr:row>
      <xdr:rowOff>28575</xdr:rowOff>
    </xdr:from>
    <xdr:to>
      <xdr:col>4</xdr:col>
      <xdr:colOff>127000</xdr:colOff>
      <xdr:row>3</xdr:row>
      <xdr:rowOff>155575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F0D7F3B0-D4EE-124E-D05B-0F6B4F5CDEEB}"/>
            </a:ext>
          </a:extLst>
        </xdr:cNvPr>
        <xdr:cNvSpPr>
          <a:spLocks/>
        </xdr:cNvSpPr>
      </xdr:nvSpPr>
      <xdr:spPr>
        <a:xfrm>
          <a:off x="3454400" y="81597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4</xdr:row>
      <xdr:rowOff>28575</xdr:rowOff>
    </xdr:from>
    <xdr:to>
      <xdr:col>4</xdr:col>
      <xdr:colOff>127000</xdr:colOff>
      <xdr:row>4</xdr:row>
      <xdr:rowOff>155575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E23ECEDD-AED0-5AA4-CD60-3A9544A1B0EF}"/>
            </a:ext>
          </a:extLst>
        </xdr:cNvPr>
        <xdr:cNvSpPr>
          <a:spLocks/>
        </xdr:cNvSpPr>
      </xdr:nvSpPr>
      <xdr:spPr>
        <a:xfrm>
          <a:off x="3454400" y="100012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5</xdr:row>
      <xdr:rowOff>28575</xdr:rowOff>
    </xdr:from>
    <xdr:to>
      <xdr:col>4</xdr:col>
      <xdr:colOff>127000</xdr:colOff>
      <xdr:row>5</xdr:row>
      <xdr:rowOff>155575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D0E3A029-D3D8-29C8-70E4-24C4A8E54197}"/>
            </a:ext>
          </a:extLst>
        </xdr:cNvPr>
        <xdr:cNvSpPr>
          <a:spLocks/>
        </xdr:cNvSpPr>
      </xdr:nvSpPr>
      <xdr:spPr>
        <a:xfrm>
          <a:off x="3454400" y="118427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6</xdr:row>
      <xdr:rowOff>28575</xdr:rowOff>
    </xdr:from>
    <xdr:to>
      <xdr:col>4</xdr:col>
      <xdr:colOff>127000</xdr:colOff>
      <xdr:row>6</xdr:row>
      <xdr:rowOff>155575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13747C59-FBD4-7E9A-457D-6565273CB69D}"/>
            </a:ext>
          </a:extLst>
        </xdr:cNvPr>
        <xdr:cNvSpPr>
          <a:spLocks/>
        </xdr:cNvSpPr>
      </xdr:nvSpPr>
      <xdr:spPr>
        <a:xfrm>
          <a:off x="3454400" y="136842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7</xdr:row>
      <xdr:rowOff>28575</xdr:rowOff>
    </xdr:from>
    <xdr:to>
      <xdr:col>4</xdr:col>
      <xdr:colOff>127000</xdr:colOff>
      <xdr:row>7</xdr:row>
      <xdr:rowOff>155575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0E47BA50-3837-D5AE-867B-4501B7FA32B9}"/>
            </a:ext>
          </a:extLst>
        </xdr:cNvPr>
        <xdr:cNvSpPr>
          <a:spLocks/>
        </xdr:cNvSpPr>
      </xdr:nvSpPr>
      <xdr:spPr>
        <a:xfrm>
          <a:off x="3454400" y="155257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8</xdr:row>
      <xdr:rowOff>28575</xdr:rowOff>
    </xdr:from>
    <xdr:to>
      <xdr:col>4</xdr:col>
      <xdr:colOff>127000</xdr:colOff>
      <xdr:row>8</xdr:row>
      <xdr:rowOff>155575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BC12702B-2F4E-59F6-0E18-12310544AE76}"/>
            </a:ext>
          </a:extLst>
        </xdr:cNvPr>
        <xdr:cNvSpPr>
          <a:spLocks/>
        </xdr:cNvSpPr>
      </xdr:nvSpPr>
      <xdr:spPr>
        <a:xfrm>
          <a:off x="3454400" y="173672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9</xdr:row>
      <xdr:rowOff>28575</xdr:rowOff>
    </xdr:from>
    <xdr:to>
      <xdr:col>4</xdr:col>
      <xdr:colOff>127000</xdr:colOff>
      <xdr:row>9</xdr:row>
      <xdr:rowOff>155575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103E6F24-F087-F09C-F520-3B5E9329B418}"/>
            </a:ext>
          </a:extLst>
        </xdr:cNvPr>
        <xdr:cNvSpPr>
          <a:spLocks/>
        </xdr:cNvSpPr>
      </xdr:nvSpPr>
      <xdr:spPr>
        <a:xfrm>
          <a:off x="3454400" y="192087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10</xdr:row>
      <xdr:rowOff>28575</xdr:rowOff>
    </xdr:from>
    <xdr:to>
      <xdr:col>4</xdr:col>
      <xdr:colOff>127000</xdr:colOff>
      <xdr:row>10</xdr:row>
      <xdr:rowOff>155575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9CC75C5E-8A4C-7FDC-532A-05F86EACF86E}"/>
            </a:ext>
          </a:extLst>
        </xdr:cNvPr>
        <xdr:cNvSpPr>
          <a:spLocks/>
        </xdr:cNvSpPr>
      </xdr:nvSpPr>
      <xdr:spPr>
        <a:xfrm>
          <a:off x="3454400" y="210502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11</xdr:row>
      <xdr:rowOff>28575</xdr:rowOff>
    </xdr:from>
    <xdr:to>
      <xdr:col>4</xdr:col>
      <xdr:colOff>127000</xdr:colOff>
      <xdr:row>11</xdr:row>
      <xdr:rowOff>155575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5CE2AA1B-9B85-1235-0E26-B227880C2F42}"/>
            </a:ext>
          </a:extLst>
        </xdr:cNvPr>
        <xdr:cNvSpPr>
          <a:spLocks/>
        </xdr:cNvSpPr>
      </xdr:nvSpPr>
      <xdr:spPr>
        <a:xfrm>
          <a:off x="3454400" y="228917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12</xdr:row>
      <xdr:rowOff>28575</xdr:rowOff>
    </xdr:from>
    <xdr:to>
      <xdr:col>4</xdr:col>
      <xdr:colOff>127000</xdr:colOff>
      <xdr:row>12</xdr:row>
      <xdr:rowOff>155575</xdr:rowOff>
    </xdr:to>
    <xdr:sp macro="" textlink="">
      <xdr:nvSpPr>
        <xdr:cNvPr id="12" name="Arrow: Down 11">
          <a:extLst>
            <a:ext uri="{FF2B5EF4-FFF2-40B4-BE49-F238E27FC236}">
              <a16:creationId xmlns:a16="http://schemas.microsoft.com/office/drawing/2014/main" id="{DDD719E3-FF8D-F33A-FDF1-D292D825073B}"/>
            </a:ext>
          </a:extLst>
        </xdr:cNvPr>
        <xdr:cNvSpPr>
          <a:spLocks/>
        </xdr:cNvSpPr>
      </xdr:nvSpPr>
      <xdr:spPr>
        <a:xfrm>
          <a:off x="3454400" y="247332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13</xdr:row>
      <xdr:rowOff>28575</xdr:rowOff>
    </xdr:from>
    <xdr:to>
      <xdr:col>4</xdr:col>
      <xdr:colOff>127000</xdr:colOff>
      <xdr:row>13</xdr:row>
      <xdr:rowOff>155575</xdr:rowOff>
    </xdr:to>
    <xdr:sp macro="" textlink="">
      <xdr:nvSpPr>
        <xdr:cNvPr id="13" name="Arrow: Down 12">
          <a:extLst>
            <a:ext uri="{FF2B5EF4-FFF2-40B4-BE49-F238E27FC236}">
              <a16:creationId xmlns:a16="http://schemas.microsoft.com/office/drawing/2014/main" id="{610480D4-F65C-4646-A172-41DE00F6B434}"/>
            </a:ext>
          </a:extLst>
        </xdr:cNvPr>
        <xdr:cNvSpPr>
          <a:spLocks/>
        </xdr:cNvSpPr>
      </xdr:nvSpPr>
      <xdr:spPr>
        <a:xfrm>
          <a:off x="3454400" y="265747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14</xdr:row>
      <xdr:rowOff>28575</xdr:rowOff>
    </xdr:from>
    <xdr:to>
      <xdr:col>4</xdr:col>
      <xdr:colOff>127000</xdr:colOff>
      <xdr:row>14</xdr:row>
      <xdr:rowOff>155575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36AA275E-7F7B-7556-BCE4-D22E5A40408B}"/>
            </a:ext>
          </a:extLst>
        </xdr:cNvPr>
        <xdr:cNvSpPr>
          <a:spLocks/>
        </xdr:cNvSpPr>
      </xdr:nvSpPr>
      <xdr:spPr>
        <a:xfrm>
          <a:off x="3454400" y="284162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15</xdr:row>
      <xdr:rowOff>28575</xdr:rowOff>
    </xdr:from>
    <xdr:to>
      <xdr:col>4</xdr:col>
      <xdr:colOff>127000</xdr:colOff>
      <xdr:row>15</xdr:row>
      <xdr:rowOff>155575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ABD75186-0960-1E12-A7F3-42F35D1753A1}"/>
            </a:ext>
          </a:extLst>
        </xdr:cNvPr>
        <xdr:cNvSpPr>
          <a:spLocks/>
        </xdr:cNvSpPr>
      </xdr:nvSpPr>
      <xdr:spPr>
        <a:xfrm>
          <a:off x="3454400" y="302577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16</xdr:row>
      <xdr:rowOff>28575</xdr:rowOff>
    </xdr:from>
    <xdr:to>
      <xdr:col>4</xdr:col>
      <xdr:colOff>127000</xdr:colOff>
      <xdr:row>16</xdr:row>
      <xdr:rowOff>155575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D954ACFA-83D3-CC5D-2DFC-26B6FBE71D8B}"/>
            </a:ext>
          </a:extLst>
        </xdr:cNvPr>
        <xdr:cNvSpPr>
          <a:spLocks/>
        </xdr:cNvSpPr>
      </xdr:nvSpPr>
      <xdr:spPr>
        <a:xfrm>
          <a:off x="3454400" y="320992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17</xdr:row>
      <xdr:rowOff>28575</xdr:rowOff>
    </xdr:from>
    <xdr:to>
      <xdr:col>4</xdr:col>
      <xdr:colOff>127000</xdr:colOff>
      <xdr:row>17</xdr:row>
      <xdr:rowOff>155575</xdr:rowOff>
    </xdr:to>
    <xdr:sp macro="" textlink="">
      <xdr:nvSpPr>
        <xdr:cNvPr id="17" name="Arrow: Down 16">
          <a:extLst>
            <a:ext uri="{FF2B5EF4-FFF2-40B4-BE49-F238E27FC236}">
              <a16:creationId xmlns:a16="http://schemas.microsoft.com/office/drawing/2014/main" id="{65ECF23C-8F74-EE93-C920-F88993BBF7F9}"/>
            </a:ext>
          </a:extLst>
        </xdr:cNvPr>
        <xdr:cNvSpPr>
          <a:spLocks/>
        </xdr:cNvSpPr>
      </xdr:nvSpPr>
      <xdr:spPr>
        <a:xfrm>
          <a:off x="3454400" y="339407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18</xdr:row>
      <xdr:rowOff>28575</xdr:rowOff>
    </xdr:from>
    <xdr:to>
      <xdr:col>4</xdr:col>
      <xdr:colOff>127000</xdr:colOff>
      <xdr:row>18</xdr:row>
      <xdr:rowOff>155575</xdr:rowOff>
    </xdr:to>
    <xdr:sp macro="" textlink="">
      <xdr:nvSpPr>
        <xdr:cNvPr id="18" name="Arrow: Down 17">
          <a:extLst>
            <a:ext uri="{FF2B5EF4-FFF2-40B4-BE49-F238E27FC236}">
              <a16:creationId xmlns:a16="http://schemas.microsoft.com/office/drawing/2014/main" id="{603F85BA-BC00-13E2-1562-A04E0BAEBC0A}"/>
            </a:ext>
          </a:extLst>
        </xdr:cNvPr>
        <xdr:cNvSpPr>
          <a:spLocks/>
        </xdr:cNvSpPr>
      </xdr:nvSpPr>
      <xdr:spPr>
        <a:xfrm>
          <a:off x="3454400" y="357822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19</xdr:row>
      <xdr:rowOff>28575</xdr:rowOff>
    </xdr:from>
    <xdr:to>
      <xdr:col>4</xdr:col>
      <xdr:colOff>127000</xdr:colOff>
      <xdr:row>19</xdr:row>
      <xdr:rowOff>155575</xdr:rowOff>
    </xdr:to>
    <xdr:sp macro="" textlink="">
      <xdr:nvSpPr>
        <xdr:cNvPr id="19" name="Arrow: Down 18">
          <a:extLst>
            <a:ext uri="{FF2B5EF4-FFF2-40B4-BE49-F238E27FC236}">
              <a16:creationId xmlns:a16="http://schemas.microsoft.com/office/drawing/2014/main" id="{170DE620-AB75-514E-2732-E58758D57A98}"/>
            </a:ext>
          </a:extLst>
        </xdr:cNvPr>
        <xdr:cNvSpPr>
          <a:spLocks/>
        </xdr:cNvSpPr>
      </xdr:nvSpPr>
      <xdr:spPr>
        <a:xfrm>
          <a:off x="3454400" y="376237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20</xdr:row>
      <xdr:rowOff>28575</xdr:rowOff>
    </xdr:from>
    <xdr:to>
      <xdr:col>4</xdr:col>
      <xdr:colOff>127000</xdr:colOff>
      <xdr:row>20</xdr:row>
      <xdr:rowOff>155575</xdr:rowOff>
    </xdr:to>
    <xdr:sp macro="" textlink="">
      <xdr:nvSpPr>
        <xdr:cNvPr id="20" name="Arrow: Down 19">
          <a:extLst>
            <a:ext uri="{FF2B5EF4-FFF2-40B4-BE49-F238E27FC236}">
              <a16:creationId xmlns:a16="http://schemas.microsoft.com/office/drawing/2014/main" id="{1DB0BB2E-334A-F023-EEB2-0A38B6C6FEE6}"/>
            </a:ext>
          </a:extLst>
        </xdr:cNvPr>
        <xdr:cNvSpPr>
          <a:spLocks/>
        </xdr:cNvSpPr>
      </xdr:nvSpPr>
      <xdr:spPr>
        <a:xfrm>
          <a:off x="3454400" y="394652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21</xdr:row>
      <xdr:rowOff>28575</xdr:rowOff>
    </xdr:from>
    <xdr:to>
      <xdr:col>4</xdr:col>
      <xdr:colOff>127000</xdr:colOff>
      <xdr:row>21</xdr:row>
      <xdr:rowOff>155575</xdr:rowOff>
    </xdr:to>
    <xdr:sp macro="" textlink="">
      <xdr:nvSpPr>
        <xdr:cNvPr id="21" name="Arrow: Down 20">
          <a:extLst>
            <a:ext uri="{FF2B5EF4-FFF2-40B4-BE49-F238E27FC236}">
              <a16:creationId xmlns:a16="http://schemas.microsoft.com/office/drawing/2014/main" id="{205BD4BB-3856-0DE4-9BA2-D863A4D6BCC5}"/>
            </a:ext>
          </a:extLst>
        </xdr:cNvPr>
        <xdr:cNvSpPr>
          <a:spLocks/>
        </xdr:cNvSpPr>
      </xdr:nvSpPr>
      <xdr:spPr>
        <a:xfrm>
          <a:off x="3454400" y="413067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63500</xdr:colOff>
      <xdr:row>2</xdr:row>
      <xdr:rowOff>28575</xdr:rowOff>
    </xdr:from>
    <xdr:to>
      <xdr:col>3</xdr:col>
      <xdr:colOff>127000</xdr:colOff>
      <xdr:row>2</xdr:row>
      <xdr:rowOff>155575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739E8C92-AD17-DDF2-71D8-8495C982F364}"/>
            </a:ext>
          </a:extLst>
        </xdr:cNvPr>
        <xdr:cNvSpPr>
          <a:spLocks/>
        </xdr:cNvSpPr>
      </xdr:nvSpPr>
      <xdr:spPr>
        <a:xfrm>
          <a:off x="4660900" y="63182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3</xdr:row>
      <xdr:rowOff>28575</xdr:rowOff>
    </xdr:from>
    <xdr:to>
      <xdr:col>3</xdr:col>
      <xdr:colOff>127000</xdr:colOff>
      <xdr:row>3</xdr:row>
      <xdr:rowOff>155575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222DF43E-9339-82AD-CBE9-F2D01DDF893E}"/>
            </a:ext>
          </a:extLst>
        </xdr:cNvPr>
        <xdr:cNvSpPr>
          <a:spLocks/>
        </xdr:cNvSpPr>
      </xdr:nvSpPr>
      <xdr:spPr>
        <a:xfrm>
          <a:off x="4660900" y="81597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4</xdr:row>
      <xdr:rowOff>28575</xdr:rowOff>
    </xdr:from>
    <xdr:to>
      <xdr:col>3</xdr:col>
      <xdr:colOff>127000</xdr:colOff>
      <xdr:row>4</xdr:row>
      <xdr:rowOff>155575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AEC3CC4E-1B33-9325-9C8C-F1B71C39F0E1}"/>
            </a:ext>
          </a:extLst>
        </xdr:cNvPr>
        <xdr:cNvSpPr>
          <a:spLocks/>
        </xdr:cNvSpPr>
      </xdr:nvSpPr>
      <xdr:spPr>
        <a:xfrm>
          <a:off x="4660900" y="100012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5</xdr:row>
      <xdr:rowOff>28575</xdr:rowOff>
    </xdr:from>
    <xdr:to>
      <xdr:col>3</xdr:col>
      <xdr:colOff>127000</xdr:colOff>
      <xdr:row>5</xdr:row>
      <xdr:rowOff>155575</xdr:rowOff>
    </xdr:to>
    <xdr:sp macro="" textlink="">
      <xdr:nvSpPr>
        <xdr:cNvPr id="5" name="Arrow: Up 4">
          <a:extLst>
            <a:ext uri="{FF2B5EF4-FFF2-40B4-BE49-F238E27FC236}">
              <a16:creationId xmlns:a16="http://schemas.microsoft.com/office/drawing/2014/main" id="{2871D4D2-1F2E-6814-ACC3-7F37D02746E8}"/>
            </a:ext>
          </a:extLst>
        </xdr:cNvPr>
        <xdr:cNvSpPr>
          <a:spLocks/>
        </xdr:cNvSpPr>
      </xdr:nvSpPr>
      <xdr:spPr>
        <a:xfrm>
          <a:off x="4660900" y="11842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6</xdr:row>
      <xdr:rowOff>28575</xdr:rowOff>
    </xdr:from>
    <xdr:to>
      <xdr:col>3</xdr:col>
      <xdr:colOff>127000</xdr:colOff>
      <xdr:row>6</xdr:row>
      <xdr:rowOff>155575</xdr:rowOff>
    </xdr:to>
    <xdr:sp macro="" textlink="">
      <xdr:nvSpPr>
        <xdr:cNvPr id="6" name="Arrow: Up 5">
          <a:extLst>
            <a:ext uri="{FF2B5EF4-FFF2-40B4-BE49-F238E27FC236}">
              <a16:creationId xmlns:a16="http://schemas.microsoft.com/office/drawing/2014/main" id="{07F0FF95-7957-F07F-EDAD-8BC8F60BF655}"/>
            </a:ext>
          </a:extLst>
        </xdr:cNvPr>
        <xdr:cNvSpPr>
          <a:spLocks/>
        </xdr:cNvSpPr>
      </xdr:nvSpPr>
      <xdr:spPr>
        <a:xfrm>
          <a:off x="4660900" y="13684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7</xdr:row>
      <xdr:rowOff>28575</xdr:rowOff>
    </xdr:from>
    <xdr:to>
      <xdr:col>3</xdr:col>
      <xdr:colOff>127000</xdr:colOff>
      <xdr:row>7</xdr:row>
      <xdr:rowOff>155575</xdr:rowOff>
    </xdr:to>
    <xdr:sp macro="" textlink="">
      <xdr:nvSpPr>
        <xdr:cNvPr id="7" name="Arrow: Up 6">
          <a:extLst>
            <a:ext uri="{FF2B5EF4-FFF2-40B4-BE49-F238E27FC236}">
              <a16:creationId xmlns:a16="http://schemas.microsoft.com/office/drawing/2014/main" id="{D289D37A-7D37-0838-8B8F-ACE5E4FCFB34}"/>
            </a:ext>
          </a:extLst>
        </xdr:cNvPr>
        <xdr:cNvSpPr>
          <a:spLocks/>
        </xdr:cNvSpPr>
      </xdr:nvSpPr>
      <xdr:spPr>
        <a:xfrm>
          <a:off x="4660900" y="15525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8</xdr:row>
      <xdr:rowOff>28575</xdr:rowOff>
    </xdr:from>
    <xdr:to>
      <xdr:col>3</xdr:col>
      <xdr:colOff>127000</xdr:colOff>
      <xdr:row>8</xdr:row>
      <xdr:rowOff>155575</xdr:rowOff>
    </xdr:to>
    <xdr:sp macro="" textlink="">
      <xdr:nvSpPr>
        <xdr:cNvPr id="8" name="Arrow: Up 7">
          <a:extLst>
            <a:ext uri="{FF2B5EF4-FFF2-40B4-BE49-F238E27FC236}">
              <a16:creationId xmlns:a16="http://schemas.microsoft.com/office/drawing/2014/main" id="{577CEEF7-4B18-BE0D-B33D-BDEEDA815CDD}"/>
            </a:ext>
          </a:extLst>
        </xdr:cNvPr>
        <xdr:cNvSpPr>
          <a:spLocks/>
        </xdr:cNvSpPr>
      </xdr:nvSpPr>
      <xdr:spPr>
        <a:xfrm>
          <a:off x="4660900" y="17367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9</xdr:row>
      <xdr:rowOff>28575</xdr:rowOff>
    </xdr:from>
    <xdr:to>
      <xdr:col>3</xdr:col>
      <xdr:colOff>127000</xdr:colOff>
      <xdr:row>9</xdr:row>
      <xdr:rowOff>155575</xdr:rowOff>
    </xdr:to>
    <xdr:sp macro="" textlink="">
      <xdr:nvSpPr>
        <xdr:cNvPr id="9" name="Arrow: Up 8">
          <a:extLst>
            <a:ext uri="{FF2B5EF4-FFF2-40B4-BE49-F238E27FC236}">
              <a16:creationId xmlns:a16="http://schemas.microsoft.com/office/drawing/2014/main" id="{343FDC65-37C4-9D65-D40C-B451454B9378}"/>
            </a:ext>
          </a:extLst>
        </xdr:cNvPr>
        <xdr:cNvSpPr>
          <a:spLocks/>
        </xdr:cNvSpPr>
      </xdr:nvSpPr>
      <xdr:spPr>
        <a:xfrm>
          <a:off x="4660900" y="19208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10</xdr:row>
      <xdr:rowOff>28575</xdr:rowOff>
    </xdr:from>
    <xdr:to>
      <xdr:col>3</xdr:col>
      <xdr:colOff>127000</xdr:colOff>
      <xdr:row>10</xdr:row>
      <xdr:rowOff>155575</xdr:rowOff>
    </xdr:to>
    <xdr:sp macro="" textlink="">
      <xdr:nvSpPr>
        <xdr:cNvPr id="10" name="Arrow: Up 9">
          <a:extLst>
            <a:ext uri="{FF2B5EF4-FFF2-40B4-BE49-F238E27FC236}">
              <a16:creationId xmlns:a16="http://schemas.microsoft.com/office/drawing/2014/main" id="{FD260D1C-6B06-D568-B67F-05999A5BC696}"/>
            </a:ext>
          </a:extLst>
        </xdr:cNvPr>
        <xdr:cNvSpPr>
          <a:spLocks/>
        </xdr:cNvSpPr>
      </xdr:nvSpPr>
      <xdr:spPr>
        <a:xfrm>
          <a:off x="4660900" y="21050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11</xdr:row>
      <xdr:rowOff>28575</xdr:rowOff>
    </xdr:from>
    <xdr:to>
      <xdr:col>3</xdr:col>
      <xdr:colOff>127000</xdr:colOff>
      <xdr:row>11</xdr:row>
      <xdr:rowOff>155575</xdr:rowOff>
    </xdr:to>
    <xdr:sp macro="" textlink="">
      <xdr:nvSpPr>
        <xdr:cNvPr id="11" name="Arrow: Up 10">
          <a:extLst>
            <a:ext uri="{FF2B5EF4-FFF2-40B4-BE49-F238E27FC236}">
              <a16:creationId xmlns:a16="http://schemas.microsoft.com/office/drawing/2014/main" id="{75087853-6245-2D55-B252-F3E0F969B6AC}"/>
            </a:ext>
          </a:extLst>
        </xdr:cNvPr>
        <xdr:cNvSpPr>
          <a:spLocks/>
        </xdr:cNvSpPr>
      </xdr:nvSpPr>
      <xdr:spPr>
        <a:xfrm>
          <a:off x="4660900" y="22891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12</xdr:row>
      <xdr:rowOff>28575</xdr:rowOff>
    </xdr:from>
    <xdr:to>
      <xdr:col>3</xdr:col>
      <xdr:colOff>127000</xdr:colOff>
      <xdr:row>12</xdr:row>
      <xdr:rowOff>155575</xdr:rowOff>
    </xdr:to>
    <xdr:sp macro="" textlink="">
      <xdr:nvSpPr>
        <xdr:cNvPr id="12" name="Arrow: Up 11">
          <a:extLst>
            <a:ext uri="{FF2B5EF4-FFF2-40B4-BE49-F238E27FC236}">
              <a16:creationId xmlns:a16="http://schemas.microsoft.com/office/drawing/2014/main" id="{E6E96516-3AA8-B968-A8AA-45FDAC2AC291}"/>
            </a:ext>
          </a:extLst>
        </xdr:cNvPr>
        <xdr:cNvSpPr>
          <a:spLocks/>
        </xdr:cNvSpPr>
      </xdr:nvSpPr>
      <xdr:spPr>
        <a:xfrm>
          <a:off x="4660900" y="24733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13</xdr:row>
      <xdr:rowOff>28575</xdr:rowOff>
    </xdr:from>
    <xdr:to>
      <xdr:col>3</xdr:col>
      <xdr:colOff>127000</xdr:colOff>
      <xdr:row>13</xdr:row>
      <xdr:rowOff>155575</xdr:rowOff>
    </xdr:to>
    <xdr:sp macro="" textlink="">
      <xdr:nvSpPr>
        <xdr:cNvPr id="13" name="Arrow: Up 12">
          <a:extLst>
            <a:ext uri="{FF2B5EF4-FFF2-40B4-BE49-F238E27FC236}">
              <a16:creationId xmlns:a16="http://schemas.microsoft.com/office/drawing/2014/main" id="{EFCB8890-22F0-91F7-4239-DDCA1D3B9514}"/>
            </a:ext>
          </a:extLst>
        </xdr:cNvPr>
        <xdr:cNvSpPr>
          <a:spLocks/>
        </xdr:cNvSpPr>
      </xdr:nvSpPr>
      <xdr:spPr>
        <a:xfrm>
          <a:off x="4660900" y="26574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14</xdr:row>
      <xdr:rowOff>28575</xdr:rowOff>
    </xdr:from>
    <xdr:to>
      <xdr:col>3</xdr:col>
      <xdr:colOff>127000</xdr:colOff>
      <xdr:row>14</xdr:row>
      <xdr:rowOff>155575</xdr:rowOff>
    </xdr:to>
    <xdr:sp macro="" textlink="">
      <xdr:nvSpPr>
        <xdr:cNvPr id="14" name="Arrow: Up 13">
          <a:extLst>
            <a:ext uri="{FF2B5EF4-FFF2-40B4-BE49-F238E27FC236}">
              <a16:creationId xmlns:a16="http://schemas.microsoft.com/office/drawing/2014/main" id="{E83D2F7C-5FAE-6BF9-8E4A-C2DBD12332AE}"/>
            </a:ext>
          </a:extLst>
        </xdr:cNvPr>
        <xdr:cNvSpPr>
          <a:spLocks/>
        </xdr:cNvSpPr>
      </xdr:nvSpPr>
      <xdr:spPr>
        <a:xfrm>
          <a:off x="4660900" y="28416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15</xdr:row>
      <xdr:rowOff>28575</xdr:rowOff>
    </xdr:from>
    <xdr:to>
      <xdr:col>3</xdr:col>
      <xdr:colOff>127000</xdr:colOff>
      <xdr:row>15</xdr:row>
      <xdr:rowOff>155575</xdr:rowOff>
    </xdr:to>
    <xdr:sp macro="" textlink="">
      <xdr:nvSpPr>
        <xdr:cNvPr id="15" name="Arrow: Up 14">
          <a:extLst>
            <a:ext uri="{FF2B5EF4-FFF2-40B4-BE49-F238E27FC236}">
              <a16:creationId xmlns:a16="http://schemas.microsoft.com/office/drawing/2014/main" id="{85AFD97F-BA88-F71A-E895-377C59FA0FB8}"/>
            </a:ext>
          </a:extLst>
        </xdr:cNvPr>
        <xdr:cNvSpPr>
          <a:spLocks/>
        </xdr:cNvSpPr>
      </xdr:nvSpPr>
      <xdr:spPr>
        <a:xfrm>
          <a:off x="4660900" y="30257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16</xdr:row>
      <xdr:rowOff>28575</xdr:rowOff>
    </xdr:from>
    <xdr:to>
      <xdr:col>3</xdr:col>
      <xdr:colOff>127000</xdr:colOff>
      <xdr:row>16</xdr:row>
      <xdr:rowOff>155575</xdr:rowOff>
    </xdr:to>
    <xdr:sp macro="" textlink="">
      <xdr:nvSpPr>
        <xdr:cNvPr id="16" name="Arrow: Up 15">
          <a:extLst>
            <a:ext uri="{FF2B5EF4-FFF2-40B4-BE49-F238E27FC236}">
              <a16:creationId xmlns:a16="http://schemas.microsoft.com/office/drawing/2014/main" id="{25E078ED-3910-3C2B-DCA0-4830CD8B2F43}"/>
            </a:ext>
          </a:extLst>
        </xdr:cNvPr>
        <xdr:cNvSpPr>
          <a:spLocks/>
        </xdr:cNvSpPr>
      </xdr:nvSpPr>
      <xdr:spPr>
        <a:xfrm>
          <a:off x="4660900" y="32099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17</xdr:row>
      <xdr:rowOff>28575</xdr:rowOff>
    </xdr:from>
    <xdr:to>
      <xdr:col>3</xdr:col>
      <xdr:colOff>127000</xdr:colOff>
      <xdr:row>17</xdr:row>
      <xdr:rowOff>155575</xdr:rowOff>
    </xdr:to>
    <xdr:sp macro="" textlink="">
      <xdr:nvSpPr>
        <xdr:cNvPr id="17" name="Arrow: Up 16">
          <a:extLst>
            <a:ext uri="{FF2B5EF4-FFF2-40B4-BE49-F238E27FC236}">
              <a16:creationId xmlns:a16="http://schemas.microsoft.com/office/drawing/2014/main" id="{0F6D4147-9281-65BD-4B61-4AA092567C9B}"/>
            </a:ext>
          </a:extLst>
        </xdr:cNvPr>
        <xdr:cNvSpPr>
          <a:spLocks/>
        </xdr:cNvSpPr>
      </xdr:nvSpPr>
      <xdr:spPr>
        <a:xfrm>
          <a:off x="4660900" y="33940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18</xdr:row>
      <xdr:rowOff>28575</xdr:rowOff>
    </xdr:from>
    <xdr:to>
      <xdr:col>3</xdr:col>
      <xdr:colOff>127000</xdr:colOff>
      <xdr:row>18</xdr:row>
      <xdr:rowOff>155575</xdr:rowOff>
    </xdr:to>
    <xdr:sp macro="" textlink="">
      <xdr:nvSpPr>
        <xdr:cNvPr id="18" name="Arrow: Down 17">
          <a:extLst>
            <a:ext uri="{FF2B5EF4-FFF2-40B4-BE49-F238E27FC236}">
              <a16:creationId xmlns:a16="http://schemas.microsoft.com/office/drawing/2014/main" id="{A61D2AF9-9A07-5409-FFC2-46ED6BFB9410}"/>
            </a:ext>
          </a:extLst>
        </xdr:cNvPr>
        <xdr:cNvSpPr>
          <a:spLocks/>
        </xdr:cNvSpPr>
      </xdr:nvSpPr>
      <xdr:spPr>
        <a:xfrm>
          <a:off x="4660900" y="357822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19</xdr:row>
      <xdr:rowOff>28575</xdr:rowOff>
    </xdr:from>
    <xdr:to>
      <xdr:col>3</xdr:col>
      <xdr:colOff>127000</xdr:colOff>
      <xdr:row>19</xdr:row>
      <xdr:rowOff>155575</xdr:rowOff>
    </xdr:to>
    <xdr:sp macro="" textlink="">
      <xdr:nvSpPr>
        <xdr:cNvPr id="19" name="Arrow: Up 18">
          <a:extLst>
            <a:ext uri="{FF2B5EF4-FFF2-40B4-BE49-F238E27FC236}">
              <a16:creationId xmlns:a16="http://schemas.microsoft.com/office/drawing/2014/main" id="{236B15FD-49CF-A56D-2284-1A27B6442982}"/>
            </a:ext>
          </a:extLst>
        </xdr:cNvPr>
        <xdr:cNvSpPr>
          <a:spLocks/>
        </xdr:cNvSpPr>
      </xdr:nvSpPr>
      <xdr:spPr>
        <a:xfrm>
          <a:off x="4660900" y="37623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20</xdr:row>
      <xdr:rowOff>28575</xdr:rowOff>
    </xdr:from>
    <xdr:to>
      <xdr:col>3</xdr:col>
      <xdr:colOff>127000</xdr:colOff>
      <xdr:row>20</xdr:row>
      <xdr:rowOff>155575</xdr:rowOff>
    </xdr:to>
    <xdr:sp macro="" textlink="">
      <xdr:nvSpPr>
        <xdr:cNvPr id="20" name="Arrow: Down 19">
          <a:extLst>
            <a:ext uri="{FF2B5EF4-FFF2-40B4-BE49-F238E27FC236}">
              <a16:creationId xmlns:a16="http://schemas.microsoft.com/office/drawing/2014/main" id="{62ED94AB-F842-DD7C-1454-9023B53E4B65}"/>
            </a:ext>
          </a:extLst>
        </xdr:cNvPr>
        <xdr:cNvSpPr>
          <a:spLocks/>
        </xdr:cNvSpPr>
      </xdr:nvSpPr>
      <xdr:spPr>
        <a:xfrm>
          <a:off x="4660900" y="394652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21</xdr:row>
      <xdr:rowOff>28575</xdr:rowOff>
    </xdr:from>
    <xdr:to>
      <xdr:col>3</xdr:col>
      <xdr:colOff>127000</xdr:colOff>
      <xdr:row>21</xdr:row>
      <xdr:rowOff>155575</xdr:rowOff>
    </xdr:to>
    <xdr:sp macro="" textlink="">
      <xdr:nvSpPr>
        <xdr:cNvPr id="21" name="Arrow: Up 20">
          <a:extLst>
            <a:ext uri="{FF2B5EF4-FFF2-40B4-BE49-F238E27FC236}">
              <a16:creationId xmlns:a16="http://schemas.microsoft.com/office/drawing/2014/main" id="{5F3C118F-BAFA-62DE-FC68-56A0DDE77DA6}"/>
            </a:ext>
          </a:extLst>
        </xdr:cNvPr>
        <xdr:cNvSpPr>
          <a:spLocks/>
        </xdr:cNvSpPr>
      </xdr:nvSpPr>
      <xdr:spPr>
        <a:xfrm>
          <a:off x="4660900" y="41306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22</xdr:row>
      <xdr:rowOff>28575</xdr:rowOff>
    </xdr:from>
    <xdr:to>
      <xdr:col>3</xdr:col>
      <xdr:colOff>127000</xdr:colOff>
      <xdr:row>22</xdr:row>
      <xdr:rowOff>155575</xdr:rowOff>
    </xdr:to>
    <xdr:sp macro="" textlink="">
      <xdr:nvSpPr>
        <xdr:cNvPr id="22" name="Arrow: Down 21">
          <a:extLst>
            <a:ext uri="{FF2B5EF4-FFF2-40B4-BE49-F238E27FC236}">
              <a16:creationId xmlns:a16="http://schemas.microsoft.com/office/drawing/2014/main" id="{E43EA90B-9281-CC47-4D2B-1AB849531929}"/>
            </a:ext>
          </a:extLst>
        </xdr:cNvPr>
        <xdr:cNvSpPr>
          <a:spLocks/>
        </xdr:cNvSpPr>
      </xdr:nvSpPr>
      <xdr:spPr>
        <a:xfrm>
          <a:off x="4660900" y="431482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23</xdr:row>
      <xdr:rowOff>28575</xdr:rowOff>
    </xdr:from>
    <xdr:to>
      <xdr:col>3</xdr:col>
      <xdr:colOff>127000</xdr:colOff>
      <xdr:row>23</xdr:row>
      <xdr:rowOff>155575</xdr:rowOff>
    </xdr:to>
    <xdr:sp macro="" textlink="">
      <xdr:nvSpPr>
        <xdr:cNvPr id="23" name="Arrow: Up 22">
          <a:extLst>
            <a:ext uri="{FF2B5EF4-FFF2-40B4-BE49-F238E27FC236}">
              <a16:creationId xmlns:a16="http://schemas.microsoft.com/office/drawing/2014/main" id="{3A5996C5-AD4A-B792-FD9F-9E7F2887FA80}"/>
            </a:ext>
          </a:extLst>
        </xdr:cNvPr>
        <xdr:cNvSpPr>
          <a:spLocks/>
        </xdr:cNvSpPr>
      </xdr:nvSpPr>
      <xdr:spPr>
        <a:xfrm>
          <a:off x="4660900" y="44989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24</xdr:row>
      <xdr:rowOff>28575</xdr:rowOff>
    </xdr:from>
    <xdr:to>
      <xdr:col>3</xdr:col>
      <xdr:colOff>127000</xdr:colOff>
      <xdr:row>24</xdr:row>
      <xdr:rowOff>155575</xdr:rowOff>
    </xdr:to>
    <xdr:sp macro="" textlink="">
      <xdr:nvSpPr>
        <xdr:cNvPr id="24" name="Arrow: Up 23">
          <a:extLst>
            <a:ext uri="{FF2B5EF4-FFF2-40B4-BE49-F238E27FC236}">
              <a16:creationId xmlns:a16="http://schemas.microsoft.com/office/drawing/2014/main" id="{D75C40D8-036D-DF6C-297C-A21D9AA7E8CB}"/>
            </a:ext>
          </a:extLst>
        </xdr:cNvPr>
        <xdr:cNvSpPr>
          <a:spLocks/>
        </xdr:cNvSpPr>
      </xdr:nvSpPr>
      <xdr:spPr>
        <a:xfrm>
          <a:off x="4660900" y="46831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25</xdr:row>
      <xdr:rowOff>28575</xdr:rowOff>
    </xdr:from>
    <xdr:to>
      <xdr:col>3</xdr:col>
      <xdr:colOff>127000</xdr:colOff>
      <xdr:row>25</xdr:row>
      <xdr:rowOff>155575</xdr:rowOff>
    </xdr:to>
    <xdr:sp macro="" textlink="">
      <xdr:nvSpPr>
        <xdr:cNvPr id="25" name="Arrow: Up 24">
          <a:extLst>
            <a:ext uri="{FF2B5EF4-FFF2-40B4-BE49-F238E27FC236}">
              <a16:creationId xmlns:a16="http://schemas.microsoft.com/office/drawing/2014/main" id="{C870E7A1-F5A7-7098-3A78-9DF0C56ED225}"/>
            </a:ext>
          </a:extLst>
        </xdr:cNvPr>
        <xdr:cNvSpPr>
          <a:spLocks/>
        </xdr:cNvSpPr>
      </xdr:nvSpPr>
      <xdr:spPr>
        <a:xfrm>
          <a:off x="4660900" y="48672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26</xdr:row>
      <xdr:rowOff>28575</xdr:rowOff>
    </xdr:from>
    <xdr:to>
      <xdr:col>3</xdr:col>
      <xdr:colOff>127000</xdr:colOff>
      <xdr:row>26</xdr:row>
      <xdr:rowOff>155575</xdr:rowOff>
    </xdr:to>
    <xdr:sp macro="" textlink="">
      <xdr:nvSpPr>
        <xdr:cNvPr id="26" name="Arrow: Up 25">
          <a:extLst>
            <a:ext uri="{FF2B5EF4-FFF2-40B4-BE49-F238E27FC236}">
              <a16:creationId xmlns:a16="http://schemas.microsoft.com/office/drawing/2014/main" id="{9DD26BB7-55D1-2008-C59B-9D67EDDC2035}"/>
            </a:ext>
          </a:extLst>
        </xdr:cNvPr>
        <xdr:cNvSpPr>
          <a:spLocks/>
        </xdr:cNvSpPr>
      </xdr:nvSpPr>
      <xdr:spPr>
        <a:xfrm>
          <a:off x="4660900" y="50514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27</xdr:row>
      <xdr:rowOff>28575</xdr:rowOff>
    </xdr:from>
    <xdr:to>
      <xdr:col>3</xdr:col>
      <xdr:colOff>127000</xdr:colOff>
      <xdr:row>27</xdr:row>
      <xdr:rowOff>155575</xdr:rowOff>
    </xdr:to>
    <xdr:sp macro="" textlink="">
      <xdr:nvSpPr>
        <xdr:cNvPr id="27" name="Arrow: Up 26">
          <a:extLst>
            <a:ext uri="{FF2B5EF4-FFF2-40B4-BE49-F238E27FC236}">
              <a16:creationId xmlns:a16="http://schemas.microsoft.com/office/drawing/2014/main" id="{E9B6BB62-DB86-3495-F543-10B93AF100F1}"/>
            </a:ext>
          </a:extLst>
        </xdr:cNvPr>
        <xdr:cNvSpPr>
          <a:spLocks/>
        </xdr:cNvSpPr>
      </xdr:nvSpPr>
      <xdr:spPr>
        <a:xfrm>
          <a:off x="4660900" y="52355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28</xdr:row>
      <xdr:rowOff>28575</xdr:rowOff>
    </xdr:from>
    <xdr:to>
      <xdr:col>3</xdr:col>
      <xdr:colOff>127000</xdr:colOff>
      <xdr:row>28</xdr:row>
      <xdr:rowOff>155575</xdr:rowOff>
    </xdr:to>
    <xdr:sp macro="" textlink="">
      <xdr:nvSpPr>
        <xdr:cNvPr id="28" name="Arrow: Up 27">
          <a:extLst>
            <a:ext uri="{FF2B5EF4-FFF2-40B4-BE49-F238E27FC236}">
              <a16:creationId xmlns:a16="http://schemas.microsoft.com/office/drawing/2014/main" id="{1526AA70-0E60-4330-48C7-3A14853DD380}"/>
            </a:ext>
          </a:extLst>
        </xdr:cNvPr>
        <xdr:cNvSpPr>
          <a:spLocks/>
        </xdr:cNvSpPr>
      </xdr:nvSpPr>
      <xdr:spPr>
        <a:xfrm>
          <a:off x="4660900" y="54197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29</xdr:row>
      <xdr:rowOff>28575</xdr:rowOff>
    </xdr:from>
    <xdr:to>
      <xdr:col>3</xdr:col>
      <xdr:colOff>127000</xdr:colOff>
      <xdr:row>29</xdr:row>
      <xdr:rowOff>155575</xdr:rowOff>
    </xdr:to>
    <xdr:sp macro="" textlink="">
      <xdr:nvSpPr>
        <xdr:cNvPr id="29" name="Arrow: Up 28">
          <a:extLst>
            <a:ext uri="{FF2B5EF4-FFF2-40B4-BE49-F238E27FC236}">
              <a16:creationId xmlns:a16="http://schemas.microsoft.com/office/drawing/2014/main" id="{17EF1038-F11F-EF42-3232-FC21D80C0289}"/>
            </a:ext>
          </a:extLst>
        </xdr:cNvPr>
        <xdr:cNvSpPr>
          <a:spLocks/>
        </xdr:cNvSpPr>
      </xdr:nvSpPr>
      <xdr:spPr>
        <a:xfrm>
          <a:off x="4660900" y="56038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30</xdr:row>
      <xdr:rowOff>28575</xdr:rowOff>
    </xdr:from>
    <xdr:to>
      <xdr:col>3</xdr:col>
      <xdr:colOff>127000</xdr:colOff>
      <xdr:row>30</xdr:row>
      <xdr:rowOff>155575</xdr:rowOff>
    </xdr:to>
    <xdr:sp macro="" textlink="">
      <xdr:nvSpPr>
        <xdr:cNvPr id="30" name="Arrow: Down 29">
          <a:extLst>
            <a:ext uri="{FF2B5EF4-FFF2-40B4-BE49-F238E27FC236}">
              <a16:creationId xmlns:a16="http://schemas.microsoft.com/office/drawing/2014/main" id="{4E12B929-6E19-1DFA-5349-E9E7D8F52D04}"/>
            </a:ext>
          </a:extLst>
        </xdr:cNvPr>
        <xdr:cNvSpPr>
          <a:spLocks/>
        </xdr:cNvSpPr>
      </xdr:nvSpPr>
      <xdr:spPr>
        <a:xfrm>
          <a:off x="4660900" y="578802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31</xdr:row>
      <xdr:rowOff>28575</xdr:rowOff>
    </xdr:from>
    <xdr:to>
      <xdr:col>3</xdr:col>
      <xdr:colOff>127000</xdr:colOff>
      <xdr:row>31</xdr:row>
      <xdr:rowOff>155575</xdr:rowOff>
    </xdr:to>
    <xdr:sp macro="" textlink="">
      <xdr:nvSpPr>
        <xdr:cNvPr id="31" name="Arrow: Up 30">
          <a:extLst>
            <a:ext uri="{FF2B5EF4-FFF2-40B4-BE49-F238E27FC236}">
              <a16:creationId xmlns:a16="http://schemas.microsoft.com/office/drawing/2014/main" id="{2C36B540-98BD-4D26-D213-CAFCE98FA15C}"/>
            </a:ext>
          </a:extLst>
        </xdr:cNvPr>
        <xdr:cNvSpPr>
          <a:spLocks/>
        </xdr:cNvSpPr>
      </xdr:nvSpPr>
      <xdr:spPr>
        <a:xfrm>
          <a:off x="4660900" y="59721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32</xdr:row>
      <xdr:rowOff>28575</xdr:rowOff>
    </xdr:from>
    <xdr:to>
      <xdr:col>3</xdr:col>
      <xdr:colOff>127000</xdr:colOff>
      <xdr:row>32</xdr:row>
      <xdr:rowOff>155575</xdr:rowOff>
    </xdr:to>
    <xdr:sp macro="" textlink="">
      <xdr:nvSpPr>
        <xdr:cNvPr id="32" name="Arrow: Up 31">
          <a:extLst>
            <a:ext uri="{FF2B5EF4-FFF2-40B4-BE49-F238E27FC236}">
              <a16:creationId xmlns:a16="http://schemas.microsoft.com/office/drawing/2014/main" id="{30ABC762-4174-B361-963E-290EB3A42343}"/>
            </a:ext>
          </a:extLst>
        </xdr:cNvPr>
        <xdr:cNvSpPr>
          <a:spLocks/>
        </xdr:cNvSpPr>
      </xdr:nvSpPr>
      <xdr:spPr>
        <a:xfrm>
          <a:off x="4660900" y="61563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33</xdr:row>
      <xdr:rowOff>28575</xdr:rowOff>
    </xdr:from>
    <xdr:to>
      <xdr:col>3</xdr:col>
      <xdr:colOff>127000</xdr:colOff>
      <xdr:row>33</xdr:row>
      <xdr:rowOff>155575</xdr:rowOff>
    </xdr:to>
    <xdr:sp macro="" textlink="">
      <xdr:nvSpPr>
        <xdr:cNvPr id="33" name="Arrow: Up 32">
          <a:extLst>
            <a:ext uri="{FF2B5EF4-FFF2-40B4-BE49-F238E27FC236}">
              <a16:creationId xmlns:a16="http://schemas.microsoft.com/office/drawing/2014/main" id="{46196DF0-38A7-1C39-F5E2-2D21AC6EADAA}"/>
            </a:ext>
          </a:extLst>
        </xdr:cNvPr>
        <xdr:cNvSpPr>
          <a:spLocks/>
        </xdr:cNvSpPr>
      </xdr:nvSpPr>
      <xdr:spPr>
        <a:xfrm>
          <a:off x="4660900" y="63404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34</xdr:row>
      <xdr:rowOff>28575</xdr:rowOff>
    </xdr:from>
    <xdr:to>
      <xdr:col>3</xdr:col>
      <xdr:colOff>127000</xdr:colOff>
      <xdr:row>34</xdr:row>
      <xdr:rowOff>155575</xdr:rowOff>
    </xdr:to>
    <xdr:sp macro="" textlink="">
      <xdr:nvSpPr>
        <xdr:cNvPr id="34" name="Arrow: Up 33">
          <a:extLst>
            <a:ext uri="{FF2B5EF4-FFF2-40B4-BE49-F238E27FC236}">
              <a16:creationId xmlns:a16="http://schemas.microsoft.com/office/drawing/2014/main" id="{8A5CA231-44B2-2BDC-B747-CC18EF2EDFD5}"/>
            </a:ext>
          </a:extLst>
        </xdr:cNvPr>
        <xdr:cNvSpPr>
          <a:spLocks/>
        </xdr:cNvSpPr>
      </xdr:nvSpPr>
      <xdr:spPr>
        <a:xfrm>
          <a:off x="4660900" y="65246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35</xdr:row>
      <xdr:rowOff>28575</xdr:rowOff>
    </xdr:from>
    <xdr:to>
      <xdr:col>3</xdr:col>
      <xdr:colOff>127000</xdr:colOff>
      <xdr:row>35</xdr:row>
      <xdr:rowOff>155575</xdr:rowOff>
    </xdr:to>
    <xdr:sp macro="" textlink="">
      <xdr:nvSpPr>
        <xdr:cNvPr id="35" name="Arrow: Up 34">
          <a:extLst>
            <a:ext uri="{FF2B5EF4-FFF2-40B4-BE49-F238E27FC236}">
              <a16:creationId xmlns:a16="http://schemas.microsoft.com/office/drawing/2014/main" id="{6611815D-80C8-1EC0-053E-2CF07BF665ED}"/>
            </a:ext>
          </a:extLst>
        </xdr:cNvPr>
        <xdr:cNvSpPr>
          <a:spLocks/>
        </xdr:cNvSpPr>
      </xdr:nvSpPr>
      <xdr:spPr>
        <a:xfrm>
          <a:off x="4660900" y="67087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36</xdr:row>
      <xdr:rowOff>28575</xdr:rowOff>
    </xdr:from>
    <xdr:to>
      <xdr:col>3</xdr:col>
      <xdr:colOff>127000</xdr:colOff>
      <xdr:row>36</xdr:row>
      <xdr:rowOff>155575</xdr:rowOff>
    </xdr:to>
    <xdr:sp macro="" textlink="">
      <xdr:nvSpPr>
        <xdr:cNvPr id="36" name="Arrow: Up 35">
          <a:extLst>
            <a:ext uri="{FF2B5EF4-FFF2-40B4-BE49-F238E27FC236}">
              <a16:creationId xmlns:a16="http://schemas.microsoft.com/office/drawing/2014/main" id="{F7239916-0D9E-6130-941D-C3B7008DED9C}"/>
            </a:ext>
          </a:extLst>
        </xdr:cNvPr>
        <xdr:cNvSpPr>
          <a:spLocks/>
        </xdr:cNvSpPr>
      </xdr:nvSpPr>
      <xdr:spPr>
        <a:xfrm>
          <a:off x="4660900" y="68929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37</xdr:row>
      <xdr:rowOff>28575</xdr:rowOff>
    </xdr:from>
    <xdr:to>
      <xdr:col>3</xdr:col>
      <xdr:colOff>127000</xdr:colOff>
      <xdr:row>37</xdr:row>
      <xdr:rowOff>155575</xdr:rowOff>
    </xdr:to>
    <xdr:sp macro="" textlink="">
      <xdr:nvSpPr>
        <xdr:cNvPr id="37" name="Arrow: Down 36">
          <a:extLst>
            <a:ext uri="{FF2B5EF4-FFF2-40B4-BE49-F238E27FC236}">
              <a16:creationId xmlns:a16="http://schemas.microsoft.com/office/drawing/2014/main" id="{905B5E30-2C2E-EAB1-BD77-7145B5C23CFD}"/>
            </a:ext>
          </a:extLst>
        </xdr:cNvPr>
        <xdr:cNvSpPr>
          <a:spLocks/>
        </xdr:cNvSpPr>
      </xdr:nvSpPr>
      <xdr:spPr>
        <a:xfrm>
          <a:off x="4660900" y="707707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38</xdr:row>
      <xdr:rowOff>28575</xdr:rowOff>
    </xdr:from>
    <xdr:to>
      <xdr:col>3</xdr:col>
      <xdr:colOff>127000</xdr:colOff>
      <xdr:row>38</xdr:row>
      <xdr:rowOff>155575</xdr:rowOff>
    </xdr:to>
    <xdr:sp macro="" textlink="">
      <xdr:nvSpPr>
        <xdr:cNvPr id="38" name="Arrow: Up 37">
          <a:extLst>
            <a:ext uri="{FF2B5EF4-FFF2-40B4-BE49-F238E27FC236}">
              <a16:creationId xmlns:a16="http://schemas.microsoft.com/office/drawing/2014/main" id="{FA2D8CF4-0D42-5A98-2B3B-A6DC090CD502}"/>
            </a:ext>
          </a:extLst>
        </xdr:cNvPr>
        <xdr:cNvSpPr>
          <a:spLocks/>
        </xdr:cNvSpPr>
      </xdr:nvSpPr>
      <xdr:spPr>
        <a:xfrm>
          <a:off x="4660900" y="72612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39</xdr:row>
      <xdr:rowOff>28575</xdr:rowOff>
    </xdr:from>
    <xdr:to>
      <xdr:col>3</xdr:col>
      <xdr:colOff>127000</xdr:colOff>
      <xdr:row>39</xdr:row>
      <xdr:rowOff>155575</xdr:rowOff>
    </xdr:to>
    <xdr:sp macro="" textlink="">
      <xdr:nvSpPr>
        <xdr:cNvPr id="39" name="Arrow: Up 38">
          <a:extLst>
            <a:ext uri="{FF2B5EF4-FFF2-40B4-BE49-F238E27FC236}">
              <a16:creationId xmlns:a16="http://schemas.microsoft.com/office/drawing/2014/main" id="{E3FA52D5-9F47-A605-BC92-A3804C946866}"/>
            </a:ext>
          </a:extLst>
        </xdr:cNvPr>
        <xdr:cNvSpPr>
          <a:spLocks/>
        </xdr:cNvSpPr>
      </xdr:nvSpPr>
      <xdr:spPr>
        <a:xfrm>
          <a:off x="4660900" y="74453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40</xdr:row>
      <xdr:rowOff>28575</xdr:rowOff>
    </xdr:from>
    <xdr:to>
      <xdr:col>3</xdr:col>
      <xdr:colOff>127000</xdr:colOff>
      <xdr:row>40</xdr:row>
      <xdr:rowOff>155575</xdr:rowOff>
    </xdr:to>
    <xdr:sp macro="" textlink="">
      <xdr:nvSpPr>
        <xdr:cNvPr id="40" name="Arrow: Up 39">
          <a:extLst>
            <a:ext uri="{FF2B5EF4-FFF2-40B4-BE49-F238E27FC236}">
              <a16:creationId xmlns:a16="http://schemas.microsoft.com/office/drawing/2014/main" id="{04B25325-8800-B344-9E3F-05C771291342}"/>
            </a:ext>
          </a:extLst>
        </xdr:cNvPr>
        <xdr:cNvSpPr>
          <a:spLocks/>
        </xdr:cNvSpPr>
      </xdr:nvSpPr>
      <xdr:spPr>
        <a:xfrm>
          <a:off x="4660900" y="76295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41</xdr:row>
      <xdr:rowOff>28575</xdr:rowOff>
    </xdr:from>
    <xdr:to>
      <xdr:col>3</xdr:col>
      <xdr:colOff>127000</xdr:colOff>
      <xdr:row>41</xdr:row>
      <xdr:rowOff>155575</xdr:rowOff>
    </xdr:to>
    <xdr:sp macro="" textlink="">
      <xdr:nvSpPr>
        <xdr:cNvPr id="41" name="Arrow: Up 40">
          <a:extLst>
            <a:ext uri="{FF2B5EF4-FFF2-40B4-BE49-F238E27FC236}">
              <a16:creationId xmlns:a16="http://schemas.microsoft.com/office/drawing/2014/main" id="{AC1C1CFC-2BA2-47D2-10B8-082F5AD4068E}"/>
            </a:ext>
          </a:extLst>
        </xdr:cNvPr>
        <xdr:cNvSpPr>
          <a:spLocks/>
        </xdr:cNvSpPr>
      </xdr:nvSpPr>
      <xdr:spPr>
        <a:xfrm>
          <a:off x="4660900" y="78136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42</xdr:row>
      <xdr:rowOff>28575</xdr:rowOff>
    </xdr:from>
    <xdr:to>
      <xdr:col>3</xdr:col>
      <xdr:colOff>127000</xdr:colOff>
      <xdr:row>42</xdr:row>
      <xdr:rowOff>155575</xdr:rowOff>
    </xdr:to>
    <xdr:sp macro="" textlink="">
      <xdr:nvSpPr>
        <xdr:cNvPr id="42" name="Arrow: Down 41">
          <a:extLst>
            <a:ext uri="{FF2B5EF4-FFF2-40B4-BE49-F238E27FC236}">
              <a16:creationId xmlns:a16="http://schemas.microsoft.com/office/drawing/2014/main" id="{B423E05F-72FB-B4E2-F695-A24B75868C90}"/>
            </a:ext>
          </a:extLst>
        </xdr:cNvPr>
        <xdr:cNvSpPr>
          <a:spLocks/>
        </xdr:cNvSpPr>
      </xdr:nvSpPr>
      <xdr:spPr>
        <a:xfrm>
          <a:off x="4660900" y="799782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43</xdr:row>
      <xdr:rowOff>28575</xdr:rowOff>
    </xdr:from>
    <xdr:to>
      <xdr:col>3</xdr:col>
      <xdr:colOff>127000</xdr:colOff>
      <xdr:row>43</xdr:row>
      <xdr:rowOff>155575</xdr:rowOff>
    </xdr:to>
    <xdr:sp macro="" textlink="">
      <xdr:nvSpPr>
        <xdr:cNvPr id="43" name="Arrow: Up 42">
          <a:extLst>
            <a:ext uri="{FF2B5EF4-FFF2-40B4-BE49-F238E27FC236}">
              <a16:creationId xmlns:a16="http://schemas.microsoft.com/office/drawing/2014/main" id="{CB66923B-1920-CC75-5331-6A48566AAC76}"/>
            </a:ext>
          </a:extLst>
        </xdr:cNvPr>
        <xdr:cNvSpPr>
          <a:spLocks/>
        </xdr:cNvSpPr>
      </xdr:nvSpPr>
      <xdr:spPr>
        <a:xfrm>
          <a:off x="4660900" y="81819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44</xdr:row>
      <xdr:rowOff>28575</xdr:rowOff>
    </xdr:from>
    <xdr:to>
      <xdr:col>3</xdr:col>
      <xdr:colOff>127000</xdr:colOff>
      <xdr:row>44</xdr:row>
      <xdr:rowOff>155575</xdr:rowOff>
    </xdr:to>
    <xdr:sp macro="" textlink="">
      <xdr:nvSpPr>
        <xdr:cNvPr id="44" name="Arrow: Up 43">
          <a:extLst>
            <a:ext uri="{FF2B5EF4-FFF2-40B4-BE49-F238E27FC236}">
              <a16:creationId xmlns:a16="http://schemas.microsoft.com/office/drawing/2014/main" id="{374DF7F9-9667-C26A-3460-489A2094F75E}"/>
            </a:ext>
          </a:extLst>
        </xdr:cNvPr>
        <xdr:cNvSpPr>
          <a:spLocks/>
        </xdr:cNvSpPr>
      </xdr:nvSpPr>
      <xdr:spPr>
        <a:xfrm>
          <a:off x="4660900" y="83661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45</xdr:row>
      <xdr:rowOff>28575</xdr:rowOff>
    </xdr:from>
    <xdr:to>
      <xdr:col>3</xdr:col>
      <xdr:colOff>127000</xdr:colOff>
      <xdr:row>45</xdr:row>
      <xdr:rowOff>155575</xdr:rowOff>
    </xdr:to>
    <xdr:sp macro="" textlink="">
      <xdr:nvSpPr>
        <xdr:cNvPr id="45" name="Arrow: Down 44">
          <a:extLst>
            <a:ext uri="{FF2B5EF4-FFF2-40B4-BE49-F238E27FC236}">
              <a16:creationId xmlns:a16="http://schemas.microsoft.com/office/drawing/2014/main" id="{BE11B064-8B61-40D6-BF7C-79BE10BDB757}"/>
            </a:ext>
          </a:extLst>
        </xdr:cNvPr>
        <xdr:cNvSpPr>
          <a:spLocks/>
        </xdr:cNvSpPr>
      </xdr:nvSpPr>
      <xdr:spPr>
        <a:xfrm>
          <a:off x="4660900" y="855027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46</xdr:row>
      <xdr:rowOff>28575</xdr:rowOff>
    </xdr:from>
    <xdr:to>
      <xdr:col>3</xdr:col>
      <xdr:colOff>127000</xdr:colOff>
      <xdr:row>46</xdr:row>
      <xdr:rowOff>155575</xdr:rowOff>
    </xdr:to>
    <xdr:sp macro="" textlink="">
      <xdr:nvSpPr>
        <xdr:cNvPr id="46" name="Arrow: Up 45">
          <a:extLst>
            <a:ext uri="{FF2B5EF4-FFF2-40B4-BE49-F238E27FC236}">
              <a16:creationId xmlns:a16="http://schemas.microsoft.com/office/drawing/2014/main" id="{AB356DDA-9CC8-5835-4C48-6E97D2995651}"/>
            </a:ext>
          </a:extLst>
        </xdr:cNvPr>
        <xdr:cNvSpPr>
          <a:spLocks/>
        </xdr:cNvSpPr>
      </xdr:nvSpPr>
      <xdr:spPr>
        <a:xfrm>
          <a:off x="4660900" y="87344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47</xdr:row>
      <xdr:rowOff>28575</xdr:rowOff>
    </xdr:from>
    <xdr:to>
      <xdr:col>3</xdr:col>
      <xdr:colOff>127000</xdr:colOff>
      <xdr:row>47</xdr:row>
      <xdr:rowOff>155575</xdr:rowOff>
    </xdr:to>
    <xdr:sp macro="" textlink="">
      <xdr:nvSpPr>
        <xdr:cNvPr id="47" name="Arrow: Up 46">
          <a:extLst>
            <a:ext uri="{FF2B5EF4-FFF2-40B4-BE49-F238E27FC236}">
              <a16:creationId xmlns:a16="http://schemas.microsoft.com/office/drawing/2014/main" id="{D0C121AD-2428-5A7C-975C-A72899749076}"/>
            </a:ext>
          </a:extLst>
        </xdr:cNvPr>
        <xdr:cNvSpPr>
          <a:spLocks/>
        </xdr:cNvSpPr>
      </xdr:nvSpPr>
      <xdr:spPr>
        <a:xfrm>
          <a:off x="4660900" y="89185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48</xdr:row>
      <xdr:rowOff>28575</xdr:rowOff>
    </xdr:from>
    <xdr:to>
      <xdr:col>3</xdr:col>
      <xdr:colOff>127000</xdr:colOff>
      <xdr:row>48</xdr:row>
      <xdr:rowOff>155575</xdr:rowOff>
    </xdr:to>
    <xdr:sp macro="" textlink="">
      <xdr:nvSpPr>
        <xdr:cNvPr id="48" name="Arrow: Down 47">
          <a:extLst>
            <a:ext uri="{FF2B5EF4-FFF2-40B4-BE49-F238E27FC236}">
              <a16:creationId xmlns:a16="http://schemas.microsoft.com/office/drawing/2014/main" id="{1C9EFB2A-7FFC-4B14-78D2-E071868B6E5B}"/>
            </a:ext>
          </a:extLst>
        </xdr:cNvPr>
        <xdr:cNvSpPr>
          <a:spLocks/>
        </xdr:cNvSpPr>
      </xdr:nvSpPr>
      <xdr:spPr>
        <a:xfrm>
          <a:off x="4660900" y="910272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49</xdr:row>
      <xdr:rowOff>28575</xdr:rowOff>
    </xdr:from>
    <xdr:to>
      <xdr:col>3</xdr:col>
      <xdr:colOff>127000</xdr:colOff>
      <xdr:row>49</xdr:row>
      <xdr:rowOff>155575</xdr:rowOff>
    </xdr:to>
    <xdr:sp macro="" textlink="">
      <xdr:nvSpPr>
        <xdr:cNvPr id="49" name="Arrow: Up 48">
          <a:extLst>
            <a:ext uri="{FF2B5EF4-FFF2-40B4-BE49-F238E27FC236}">
              <a16:creationId xmlns:a16="http://schemas.microsoft.com/office/drawing/2014/main" id="{3873F885-8C26-A3AF-70ED-6C6F4B0EBCF0}"/>
            </a:ext>
          </a:extLst>
        </xdr:cNvPr>
        <xdr:cNvSpPr>
          <a:spLocks/>
        </xdr:cNvSpPr>
      </xdr:nvSpPr>
      <xdr:spPr>
        <a:xfrm>
          <a:off x="4660900" y="92868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50</xdr:row>
      <xdr:rowOff>28575</xdr:rowOff>
    </xdr:from>
    <xdr:to>
      <xdr:col>3</xdr:col>
      <xdr:colOff>127000</xdr:colOff>
      <xdr:row>50</xdr:row>
      <xdr:rowOff>155575</xdr:rowOff>
    </xdr:to>
    <xdr:sp macro="" textlink="">
      <xdr:nvSpPr>
        <xdr:cNvPr id="50" name="Arrow: Up 49">
          <a:extLst>
            <a:ext uri="{FF2B5EF4-FFF2-40B4-BE49-F238E27FC236}">
              <a16:creationId xmlns:a16="http://schemas.microsoft.com/office/drawing/2014/main" id="{810E6169-1C53-CA2C-ACF6-B29A68F97565}"/>
            </a:ext>
          </a:extLst>
        </xdr:cNvPr>
        <xdr:cNvSpPr>
          <a:spLocks/>
        </xdr:cNvSpPr>
      </xdr:nvSpPr>
      <xdr:spPr>
        <a:xfrm>
          <a:off x="4660900" y="94710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51</xdr:row>
      <xdr:rowOff>28575</xdr:rowOff>
    </xdr:from>
    <xdr:to>
      <xdr:col>3</xdr:col>
      <xdr:colOff>127000</xdr:colOff>
      <xdr:row>51</xdr:row>
      <xdr:rowOff>155575</xdr:rowOff>
    </xdr:to>
    <xdr:sp macro="" textlink="">
      <xdr:nvSpPr>
        <xdr:cNvPr id="51" name="Arrow: Down 50">
          <a:extLst>
            <a:ext uri="{FF2B5EF4-FFF2-40B4-BE49-F238E27FC236}">
              <a16:creationId xmlns:a16="http://schemas.microsoft.com/office/drawing/2014/main" id="{DCE6E4F2-2AD1-2E48-93A5-94168E4F0349}"/>
            </a:ext>
          </a:extLst>
        </xdr:cNvPr>
        <xdr:cNvSpPr>
          <a:spLocks/>
        </xdr:cNvSpPr>
      </xdr:nvSpPr>
      <xdr:spPr>
        <a:xfrm>
          <a:off x="4660900" y="965517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52</xdr:row>
      <xdr:rowOff>28575</xdr:rowOff>
    </xdr:from>
    <xdr:to>
      <xdr:col>3</xdr:col>
      <xdr:colOff>127000</xdr:colOff>
      <xdr:row>52</xdr:row>
      <xdr:rowOff>155575</xdr:rowOff>
    </xdr:to>
    <xdr:sp macro="" textlink="">
      <xdr:nvSpPr>
        <xdr:cNvPr id="52" name="Arrow: Up 51">
          <a:extLst>
            <a:ext uri="{FF2B5EF4-FFF2-40B4-BE49-F238E27FC236}">
              <a16:creationId xmlns:a16="http://schemas.microsoft.com/office/drawing/2014/main" id="{88E8FB1B-1BB3-6EED-6FE8-E712A923D3A7}"/>
            </a:ext>
          </a:extLst>
        </xdr:cNvPr>
        <xdr:cNvSpPr>
          <a:spLocks/>
        </xdr:cNvSpPr>
      </xdr:nvSpPr>
      <xdr:spPr>
        <a:xfrm>
          <a:off x="4660900" y="98393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53</xdr:row>
      <xdr:rowOff>28575</xdr:rowOff>
    </xdr:from>
    <xdr:to>
      <xdr:col>3</xdr:col>
      <xdr:colOff>127000</xdr:colOff>
      <xdr:row>53</xdr:row>
      <xdr:rowOff>155575</xdr:rowOff>
    </xdr:to>
    <xdr:sp macro="" textlink="">
      <xdr:nvSpPr>
        <xdr:cNvPr id="53" name="Arrow: Up 52">
          <a:extLst>
            <a:ext uri="{FF2B5EF4-FFF2-40B4-BE49-F238E27FC236}">
              <a16:creationId xmlns:a16="http://schemas.microsoft.com/office/drawing/2014/main" id="{71CA54E1-5FBE-E2B1-7205-9332346E9FA3}"/>
            </a:ext>
          </a:extLst>
        </xdr:cNvPr>
        <xdr:cNvSpPr>
          <a:spLocks/>
        </xdr:cNvSpPr>
      </xdr:nvSpPr>
      <xdr:spPr>
        <a:xfrm>
          <a:off x="4660900" y="100234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54</xdr:row>
      <xdr:rowOff>28575</xdr:rowOff>
    </xdr:from>
    <xdr:to>
      <xdr:col>3</xdr:col>
      <xdr:colOff>127000</xdr:colOff>
      <xdr:row>54</xdr:row>
      <xdr:rowOff>155575</xdr:rowOff>
    </xdr:to>
    <xdr:sp macro="" textlink="">
      <xdr:nvSpPr>
        <xdr:cNvPr id="54" name="Arrow: Up 53">
          <a:extLst>
            <a:ext uri="{FF2B5EF4-FFF2-40B4-BE49-F238E27FC236}">
              <a16:creationId xmlns:a16="http://schemas.microsoft.com/office/drawing/2014/main" id="{BE614F97-FB56-A169-305E-A96525CBF18B}"/>
            </a:ext>
          </a:extLst>
        </xdr:cNvPr>
        <xdr:cNvSpPr>
          <a:spLocks/>
        </xdr:cNvSpPr>
      </xdr:nvSpPr>
      <xdr:spPr>
        <a:xfrm>
          <a:off x="4660900" y="102076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55</xdr:row>
      <xdr:rowOff>28575</xdr:rowOff>
    </xdr:from>
    <xdr:to>
      <xdr:col>3</xdr:col>
      <xdr:colOff>127000</xdr:colOff>
      <xdr:row>55</xdr:row>
      <xdr:rowOff>155575</xdr:rowOff>
    </xdr:to>
    <xdr:sp macro="" textlink="">
      <xdr:nvSpPr>
        <xdr:cNvPr id="55" name="Arrow: Up 54">
          <a:extLst>
            <a:ext uri="{FF2B5EF4-FFF2-40B4-BE49-F238E27FC236}">
              <a16:creationId xmlns:a16="http://schemas.microsoft.com/office/drawing/2014/main" id="{0030377C-22FB-2FC4-BED8-A2E3EBB5AA29}"/>
            </a:ext>
          </a:extLst>
        </xdr:cNvPr>
        <xdr:cNvSpPr>
          <a:spLocks/>
        </xdr:cNvSpPr>
      </xdr:nvSpPr>
      <xdr:spPr>
        <a:xfrm>
          <a:off x="4660900" y="103917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56</xdr:row>
      <xdr:rowOff>28575</xdr:rowOff>
    </xdr:from>
    <xdr:to>
      <xdr:col>3</xdr:col>
      <xdr:colOff>127000</xdr:colOff>
      <xdr:row>56</xdr:row>
      <xdr:rowOff>155575</xdr:rowOff>
    </xdr:to>
    <xdr:sp macro="" textlink="">
      <xdr:nvSpPr>
        <xdr:cNvPr id="56" name="Arrow: Down 55">
          <a:extLst>
            <a:ext uri="{FF2B5EF4-FFF2-40B4-BE49-F238E27FC236}">
              <a16:creationId xmlns:a16="http://schemas.microsoft.com/office/drawing/2014/main" id="{98CEDA2F-412F-7D0E-E13E-EE5AA980A054}"/>
            </a:ext>
          </a:extLst>
        </xdr:cNvPr>
        <xdr:cNvSpPr>
          <a:spLocks/>
        </xdr:cNvSpPr>
      </xdr:nvSpPr>
      <xdr:spPr>
        <a:xfrm>
          <a:off x="4660900" y="1057592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57</xdr:row>
      <xdr:rowOff>28575</xdr:rowOff>
    </xdr:from>
    <xdr:to>
      <xdr:col>3</xdr:col>
      <xdr:colOff>127000</xdr:colOff>
      <xdr:row>57</xdr:row>
      <xdr:rowOff>155575</xdr:rowOff>
    </xdr:to>
    <xdr:sp macro="" textlink="">
      <xdr:nvSpPr>
        <xdr:cNvPr id="57" name="Arrow: Down 56">
          <a:extLst>
            <a:ext uri="{FF2B5EF4-FFF2-40B4-BE49-F238E27FC236}">
              <a16:creationId xmlns:a16="http://schemas.microsoft.com/office/drawing/2014/main" id="{FF53AA3B-F9DE-7F90-3CFB-19AC60FCC6A1}"/>
            </a:ext>
          </a:extLst>
        </xdr:cNvPr>
        <xdr:cNvSpPr>
          <a:spLocks/>
        </xdr:cNvSpPr>
      </xdr:nvSpPr>
      <xdr:spPr>
        <a:xfrm>
          <a:off x="4660900" y="1076007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58</xdr:row>
      <xdr:rowOff>28575</xdr:rowOff>
    </xdr:from>
    <xdr:to>
      <xdr:col>3</xdr:col>
      <xdr:colOff>127000</xdr:colOff>
      <xdr:row>58</xdr:row>
      <xdr:rowOff>155575</xdr:rowOff>
    </xdr:to>
    <xdr:sp macro="" textlink="">
      <xdr:nvSpPr>
        <xdr:cNvPr id="58" name="Arrow: Up 57">
          <a:extLst>
            <a:ext uri="{FF2B5EF4-FFF2-40B4-BE49-F238E27FC236}">
              <a16:creationId xmlns:a16="http://schemas.microsoft.com/office/drawing/2014/main" id="{3504C6B0-9B70-43B0-06B8-EF35D271BFC3}"/>
            </a:ext>
          </a:extLst>
        </xdr:cNvPr>
        <xdr:cNvSpPr>
          <a:spLocks/>
        </xdr:cNvSpPr>
      </xdr:nvSpPr>
      <xdr:spPr>
        <a:xfrm>
          <a:off x="4660900" y="109442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59</xdr:row>
      <xdr:rowOff>28575</xdr:rowOff>
    </xdr:from>
    <xdr:to>
      <xdr:col>3</xdr:col>
      <xdr:colOff>127000</xdr:colOff>
      <xdr:row>59</xdr:row>
      <xdr:rowOff>155575</xdr:rowOff>
    </xdr:to>
    <xdr:sp macro="" textlink="">
      <xdr:nvSpPr>
        <xdr:cNvPr id="59" name="Arrow: Up 58">
          <a:extLst>
            <a:ext uri="{FF2B5EF4-FFF2-40B4-BE49-F238E27FC236}">
              <a16:creationId xmlns:a16="http://schemas.microsoft.com/office/drawing/2014/main" id="{8555E54D-270A-6049-3BA2-ECA2859C30E4}"/>
            </a:ext>
          </a:extLst>
        </xdr:cNvPr>
        <xdr:cNvSpPr>
          <a:spLocks/>
        </xdr:cNvSpPr>
      </xdr:nvSpPr>
      <xdr:spPr>
        <a:xfrm>
          <a:off x="4660900" y="111283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60</xdr:row>
      <xdr:rowOff>28575</xdr:rowOff>
    </xdr:from>
    <xdr:to>
      <xdr:col>3</xdr:col>
      <xdr:colOff>127000</xdr:colOff>
      <xdr:row>60</xdr:row>
      <xdr:rowOff>155575</xdr:rowOff>
    </xdr:to>
    <xdr:sp macro="" textlink="">
      <xdr:nvSpPr>
        <xdr:cNvPr id="60" name="Arrow: Up 59">
          <a:extLst>
            <a:ext uri="{FF2B5EF4-FFF2-40B4-BE49-F238E27FC236}">
              <a16:creationId xmlns:a16="http://schemas.microsoft.com/office/drawing/2014/main" id="{B76BC289-C985-A10E-6B92-D189615B0EC8}"/>
            </a:ext>
          </a:extLst>
        </xdr:cNvPr>
        <xdr:cNvSpPr>
          <a:spLocks/>
        </xdr:cNvSpPr>
      </xdr:nvSpPr>
      <xdr:spPr>
        <a:xfrm>
          <a:off x="4660900" y="113125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61</xdr:row>
      <xdr:rowOff>28575</xdr:rowOff>
    </xdr:from>
    <xdr:to>
      <xdr:col>3</xdr:col>
      <xdr:colOff>127000</xdr:colOff>
      <xdr:row>61</xdr:row>
      <xdr:rowOff>155575</xdr:rowOff>
    </xdr:to>
    <xdr:sp macro="" textlink="">
      <xdr:nvSpPr>
        <xdr:cNvPr id="61" name="Arrow: Up 60">
          <a:extLst>
            <a:ext uri="{FF2B5EF4-FFF2-40B4-BE49-F238E27FC236}">
              <a16:creationId xmlns:a16="http://schemas.microsoft.com/office/drawing/2014/main" id="{425499A3-9B0C-3C8A-AD2C-8E8B513AFDA0}"/>
            </a:ext>
          </a:extLst>
        </xdr:cNvPr>
        <xdr:cNvSpPr>
          <a:spLocks/>
        </xdr:cNvSpPr>
      </xdr:nvSpPr>
      <xdr:spPr>
        <a:xfrm>
          <a:off x="4660900" y="114966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62</xdr:row>
      <xdr:rowOff>28575</xdr:rowOff>
    </xdr:from>
    <xdr:to>
      <xdr:col>3</xdr:col>
      <xdr:colOff>127000</xdr:colOff>
      <xdr:row>62</xdr:row>
      <xdr:rowOff>155575</xdr:rowOff>
    </xdr:to>
    <xdr:sp macro="" textlink="">
      <xdr:nvSpPr>
        <xdr:cNvPr id="62" name="Arrow: Up 61">
          <a:extLst>
            <a:ext uri="{FF2B5EF4-FFF2-40B4-BE49-F238E27FC236}">
              <a16:creationId xmlns:a16="http://schemas.microsoft.com/office/drawing/2014/main" id="{FE7D2E36-772E-C904-E81C-D4DD5CF8F2B4}"/>
            </a:ext>
          </a:extLst>
        </xdr:cNvPr>
        <xdr:cNvSpPr>
          <a:spLocks/>
        </xdr:cNvSpPr>
      </xdr:nvSpPr>
      <xdr:spPr>
        <a:xfrm>
          <a:off x="4660900" y="116808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63</xdr:row>
      <xdr:rowOff>28575</xdr:rowOff>
    </xdr:from>
    <xdr:to>
      <xdr:col>3</xdr:col>
      <xdr:colOff>127000</xdr:colOff>
      <xdr:row>63</xdr:row>
      <xdr:rowOff>155575</xdr:rowOff>
    </xdr:to>
    <xdr:sp macro="" textlink="">
      <xdr:nvSpPr>
        <xdr:cNvPr id="63" name="Arrow: Down 62">
          <a:extLst>
            <a:ext uri="{FF2B5EF4-FFF2-40B4-BE49-F238E27FC236}">
              <a16:creationId xmlns:a16="http://schemas.microsoft.com/office/drawing/2014/main" id="{C6D25C3D-E09F-A301-7F79-E266E62AB2FB}"/>
            </a:ext>
          </a:extLst>
        </xdr:cNvPr>
        <xdr:cNvSpPr>
          <a:spLocks/>
        </xdr:cNvSpPr>
      </xdr:nvSpPr>
      <xdr:spPr>
        <a:xfrm>
          <a:off x="4660900" y="1186497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64</xdr:row>
      <xdr:rowOff>28575</xdr:rowOff>
    </xdr:from>
    <xdr:to>
      <xdr:col>3</xdr:col>
      <xdr:colOff>127000</xdr:colOff>
      <xdr:row>64</xdr:row>
      <xdr:rowOff>155575</xdr:rowOff>
    </xdr:to>
    <xdr:sp macro="" textlink="">
      <xdr:nvSpPr>
        <xdr:cNvPr id="64" name="Arrow: Up 63">
          <a:extLst>
            <a:ext uri="{FF2B5EF4-FFF2-40B4-BE49-F238E27FC236}">
              <a16:creationId xmlns:a16="http://schemas.microsoft.com/office/drawing/2014/main" id="{F9F88F94-E51E-3788-26CF-4A7DFC16A724}"/>
            </a:ext>
          </a:extLst>
        </xdr:cNvPr>
        <xdr:cNvSpPr>
          <a:spLocks/>
        </xdr:cNvSpPr>
      </xdr:nvSpPr>
      <xdr:spPr>
        <a:xfrm>
          <a:off x="4660900" y="120491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65</xdr:row>
      <xdr:rowOff>28575</xdr:rowOff>
    </xdr:from>
    <xdr:to>
      <xdr:col>3</xdr:col>
      <xdr:colOff>127000</xdr:colOff>
      <xdr:row>65</xdr:row>
      <xdr:rowOff>155575</xdr:rowOff>
    </xdr:to>
    <xdr:sp macro="" textlink="">
      <xdr:nvSpPr>
        <xdr:cNvPr id="65" name="Arrow: Down 64">
          <a:extLst>
            <a:ext uri="{FF2B5EF4-FFF2-40B4-BE49-F238E27FC236}">
              <a16:creationId xmlns:a16="http://schemas.microsoft.com/office/drawing/2014/main" id="{1A24E152-4B95-8832-2D7F-3B737DDD449E}"/>
            </a:ext>
          </a:extLst>
        </xdr:cNvPr>
        <xdr:cNvSpPr>
          <a:spLocks/>
        </xdr:cNvSpPr>
      </xdr:nvSpPr>
      <xdr:spPr>
        <a:xfrm>
          <a:off x="4660900" y="1223327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66</xdr:row>
      <xdr:rowOff>28575</xdr:rowOff>
    </xdr:from>
    <xdr:to>
      <xdr:col>3</xdr:col>
      <xdr:colOff>127000</xdr:colOff>
      <xdr:row>66</xdr:row>
      <xdr:rowOff>155575</xdr:rowOff>
    </xdr:to>
    <xdr:sp macro="" textlink="">
      <xdr:nvSpPr>
        <xdr:cNvPr id="66" name="Arrow: Up 65">
          <a:extLst>
            <a:ext uri="{FF2B5EF4-FFF2-40B4-BE49-F238E27FC236}">
              <a16:creationId xmlns:a16="http://schemas.microsoft.com/office/drawing/2014/main" id="{E86FBD12-31EE-EE24-865C-EFE8EFDC03BD}"/>
            </a:ext>
          </a:extLst>
        </xdr:cNvPr>
        <xdr:cNvSpPr>
          <a:spLocks/>
        </xdr:cNvSpPr>
      </xdr:nvSpPr>
      <xdr:spPr>
        <a:xfrm>
          <a:off x="4660900" y="124174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67</xdr:row>
      <xdr:rowOff>28575</xdr:rowOff>
    </xdr:from>
    <xdr:to>
      <xdr:col>3</xdr:col>
      <xdr:colOff>127000</xdr:colOff>
      <xdr:row>67</xdr:row>
      <xdr:rowOff>155575</xdr:rowOff>
    </xdr:to>
    <xdr:sp macro="" textlink="">
      <xdr:nvSpPr>
        <xdr:cNvPr id="67" name="Arrow: Up 66">
          <a:extLst>
            <a:ext uri="{FF2B5EF4-FFF2-40B4-BE49-F238E27FC236}">
              <a16:creationId xmlns:a16="http://schemas.microsoft.com/office/drawing/2014/main" id="{857D31AC-42E0-C482-5BEF-B571B442EB8E}"/>
            </a:ext>
          </a:extLst>
        </xdr:cNvPr>
        <xdr:cNvSpPr>
          <a:spLocks/>
        </xdr:cNvSpPr>
      </xdr:nvSpPr>
      <xdr:spPr>
        <a:xfrm>
          <a:off x="4660900" y="126015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68</xdr:row>
      <xdr:rowOff>28575</xdr:rowOff>
    </xdr:from>
    <xdr:to>
      <xdr:col>3</xdr:col>
      <xdr:colOff>127000</xdr:colOff>
      <xdr:row>68</xdr:row>
      <xdr:rowOff>155575</xdr:rowOff>
    </xdr:to>
    <xdr:sp macro="" textlink="">
      <xdr:nvSpPr>
        <xdr:cNvPr id="68" name="Arrow: Down 67">
          <a:extLst>
            <a:ext uri="{FF2B5EF4-FFF2-40B4-BE49-F238E27FC236}">
              <a16:creationId xmlns:a16="http://schemas.microsoft.com/office/drawing/2014/main" id="{8BAED177-F0B1-3946-8A4F-875F138BC3D8}"/>
            </a:ext>
          </a:extLst>
        </xdr:cNvPr>
        <xdr:cNvSpPr>
          <a:spLocks/>
        </xdr:cNvSpPr>
      </xdr:nvSpPr>
      <xdr:spPr>
        <a:xfrm>
          <a:off x="4660900" y="1278572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69</xdr:row>
      <xdr:rowOff>28575</xdr:rowOff>
    </xdr:from>
    <xdr:to>
      <xdr:col>3</xdr:col>
      <xdr:colOff>127000</xdr:colOff>
      <xdr:row>69</xdr:row>
      <xdr:rowOff>155575</xdr:rowOff>
    </xdr:to>
    <xdr:sp macro="" textlink="">
      <xdr:nvSpPr>
        <xdr:cNvPr id="69" name="Arrow: Up 68">
          <a:extLst>
            <a:ext uri="{FF2B5EF4-FFF2-40B4-BE49-F238E27FC236}">
              <a16:creationId xmlns:a16="http://schemas.microsoft.com/office/drawing/2014/main" id="{0F8593F1-7DEA-FF72-2C3E-E66C625A8911}"/>
            </a:ext>
          </a:extLst>
        </xdr:cNvPr>
        <xdr:cNvSpPr>
          <a:spLocks/>
        </xdr:cNvSpPr>
      </xdr:nvSpPr>
      <xdr:spPr>
        <a:xfrm>
          <a:off x="4660900" y="129698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70</xdr:row>
      <xdr:rowOff>28575</xdr:rowOff>
    </xdr:from>
    <xdr:to>
      <xdr:col>3</xdr:col>
      <xdr:colOff>127000</xdr:colOff>
      <xdr:row>70</xdr:row>
      <xdr:rowOff>155575</xdr:rowOff>
    </xdr:to>
    <xdr:sp macro="" textlink="">
      <xdr:nvSpPr>
        <xdr:cNvPr id="70" name="Arrow: Up 69">
          <a:extLst>
            <a:ext uri="{FF2B5EF4-FFF2-40B4-BE49-F238E27FC236}">
              <a16:creationId xmlns:a16="http://schemas.microsoft.com/office/drawing/2014/main" id="{A46CA7B1-FBD3-FB92-91AD-F822A43CCAFA}"/>
            </a:ext>
          </a:extLst>
        </xdr:cNvPr>
        <xdr:cNvSpPr>
          <a:spLocks/>
        </xdr:cNvSpPr>
      </xdr:nvSpPr>
      <xdr:spPr>
        <a:xfrm>
          <a:off x="4660900" y="131540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71</xdr:row>
      <xdr:rowOff>28575</xdr:rowOff>
    </xdr:from>
    <xdr:to>
      <xdr:col>3</xdr:col>
      <xdr:colOff>127000</xdr:colOff>
      <xdr:row>71</xdr:row>
      <xdr:rowOff>155575</xdr:rowOff>
    </xdr:to>
    <xdr:sp macro="" textlink="">
      <xdr:nvSpPr>
        <xdr:cNvPr id="71" name="Arrow: Down 70">
          <a:extLst>
            <a:ext uri="{FF2B5EF4-FFF2-40B4-BE49-F238E27FC236}">
              <a16:creationId xmlns:a16="http://schemas.microsoft.com/office/drawing/2014/main" id="{678F87CC-41E4-69E0-9C91-E28DAFE47F76}"/>
            </a:ext>
          </a:extLst>
        </xdr:cNvPr>
        <xdr:cNvSpPr>
          <a:spLocks/>
        </xdr:cNvSpPr>
      </xdr:nvSpPr>
      <xdr:spPr>
        <a:xfrm>
          <a:off x="4660900" y="1333817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72</xdr:row>
      <xdr:rowOff>28575</xdr:rowOff>
    </xdr:from>
    <xdr:to>
      <xdr:col>3</xdr:col>
      <xdr:colOff>127000</xdr:colOff>
      <xdr:row>72</xdr:row>
      <xdr:rowOff>155575</xdr:rowOff>
    </xdr:to>
    <xdr:sp macro="" textlink="">
      <xdr:nvSpPr>
        <xdr:cNvPr id="72" name="Arrow: Down 71">
          <a:extLst>
            <a:ext uri="{FF2B5EF4-FFF2-40B4-BE49-F238E27FC236}">
              <a16:creationId xmlns:a16="http://schemas.microsoft.com/office/drawing/2014/main" id="{5FA2441B-F9FD-D4C2-F36D-B672C556543E}"/>
            </a:ext>
          </a:extLst>
        </xdr:cNvPr>
        <xdr:cNvSpPr>
          <a:spLocks/>
        </xdr:cNvSpPr>
      </xdr:nvSpPr>
      <xdr:spPr>
        <a:xfrm>
          <a:off x="4660900" y="1352232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73</xdr:row>
      <xdr:rowOff>28575</xdr:rowOff>
    </xdr:from>
    <xdr:to>
      <xdr:col>3</xdr:col>
      <xdr:colOff>127000</xdr:colOff>
      <xdr:row>73</xdr:row>
      <xdr:rowOff>155575</xdr:rowOff>
    </xdr:to>
    <xdr:sp macro="" textlink="">
      <xdr:nvSpPr>
        <xdr:cNvPr id="73" name="Arrow: Up 72">
          <a:extLst>
            <a:ext uri="{FF2B5EF4-FFF2-40B4-BE49-F238E27FC236}">
              <a16:creationId xmlns:a16="http://schemas.microsoft.com/office/drawing/2014/main" id="{385FE1E1-D081-07FB-897D-993EF50B169C}"/>
            </a:ext>
          </a:extLst>
        </xdr:cNvPr>
        <xdr:cNvSpPr>
          <a:spLocks/>
        </xdr:cNvSpPr>
      </xdr:nvSpPr>
      <xdr:spPr>
        <a:xfrm>
          <a:off x="4660900" y="137064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74</xdr:row>
      <xdr:rowOff>28575</xdr:rowOff>
    </xdr:from>
    <xdr:to>
      <xdr:col>3</xdr:col>
      <xdr:colOff>127000</xdr:colOff>
      <xdr:row>74</xdr:row>
      <xdr:rowOff>155575</xdr:rowOff>
    </xdr:to>
    <xdr:sp macro="" textlink="">
      <xdr:nvSpPr>
        <xdr:cNvPr id="74" name="Arrow: Up 73">
          <a:extLst>
            <a:ext uri="{FF2B5EF4-FFF2-40B4-BE49-F238E27FC236}">
              <a16:creationId xmlns:a16="http://schemas.microsoft.com/office/drawing/2014/main" id="{2A892ABA-E85F-0341-DD34-EA973902D929}"/>
            </a:ext>
          </a:extLst>
        </xdr:cNvPr>
        <xdr:cNvSpPr>
          <a:spLocks/>
        </xdr:cNvSpPr>
      </xdr:nvSpPr>
      <xdr:spPr>
        <a:xfrm>
          <a:off x="4660900" y="138906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75</xdr:row>
      <xdr:rowOff>28575</xdr:rowOff>
    </xdr:from>
    <xdr:to>
      <xdr:col>3</xdr:col>
      <xdr:colOff>127000</xdr:colOff>
      <xdr:row>75</xdr:row>
      <xdr:rowOff>155575</xdr:rowOff>
    </xdr:to>
    <xdr:sp macro="" textlink="">
      <xdr:nvSpPr>
        <xdr:cNvPr id="75" name="Arrow: Up 74">
          <a:extLst>
            <a:ext uri="{FF2B5EF4-FFF2-40B4-BE49-F238E27FC236}">
              <a16:creationId xmlns:a16="http://schemas.microsoft.com/office/drawing/2014/main" id="{6DC89E0F-33E7-016E-0E4C-8A9568431592}"/>
            </a:ext>
          </a:extLst>
        </xdr:cNvPr>
        <xdr:cNvSpPr>
          <a:spLocks/>
        </xdr:cNvSpPr>
      </xdr:nvSpPr>
      <xdr:spPr>
        <a:xfrm>
          <a:off x="4660900" y="140747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76</xdr:row>
      <xdr:rowOff>28575</xdr:rowOff>
    </xdr:from>
    <xdr:to>
      <xdr:col>3</xdr:col>
      <xdr:colOff>127000</xdr:colOff>
      <xdr:row>76</xdr:row>
      <xdr:rowOff>155575</xdr:rowOff>
    </xdr:to>
    <xdr:sp macro="" textlink="">
      <xdr:nvSpPr>
        <xdr:cNvPr id="76" name="Arrow: Up 75">
          <a:extLst>
            <a:ext uri="{FF2B5EF4-FFF2-40B4-BE49-F238E27FC236}">
              <a16:creationId xmlns:a16="http://schemas.microsoft.com/office/drawing/2014/main" id="{BAACED8A-A8F5-9B3F-3875-188DF5275FE2}"/>
            </a:ext>
          </a:extLst>
        </xdr:cNvPr>
        <xdr:cNvSpPr>
          <a:spLocks/>
        </xdr:cNvSpPr>
      </xdr:nvSpPr>
      <xdr:spPr>
        <a:xfrm>
          <a:off x="4660900" y="142589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77</xdr:row>
      <xdr:rowOff>28575</xdr:rowOff>
    </xdr:from>
    <xdr:to>
      <xdr:col>3</xdr:col>
      <xdr:colOff>127000</xdr:colOff>
      <xdr:row>77</xdr:row>
      <xdr:rowOff>155575</xdr:rowOff>
    </xdr:to>
    <xdr:sp macro="" textlink="">
      <xdr:nvSpPr>
        <xdr:cNvPr id="77" name="Arrow: Up 76">
          <a:extLst>
            <a:ext uri="{FF2B5EF4-FFF2-40B4-BE49-F238E27FC236}">
              <a16:creationId xmlns:a16="http://schemas.microsoft.com/office/drawing/2014/main" id="{E2710213-3B94-598F-538A-4525F998FC05}"/>
            </a:ext>
          </a:extLst>
        </xdr:cNvPr>
        <xdr:cNvSpPr>
          <a:spLocks/>
        </xdr:cNvSpPr>
      </xdr:nvSpPr>
      <xdr:spPr>
        <a:xfrm>
          <a:off x="4660900" y="144430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78</xdr:row>
      <xdr:rowOff>28575</xdr:rowOff>
    </xdr:from>
    <xdr:to>
      <xdr:col>3</xdr:col>
      <xdr:colOff>127000</xdr:colOff>
      <xdr:row>78</xdr:row>
      <xdr:rowOff>155575</xdr:rowOff>
    </xdr:to>
    <xdr:sp macro="" textlink="">
      <xdr:nvSpPr>
        <xdr:cNvPr id="78" name="Arrow: Up 77">
          <a:extLst>
            <a:ext uri="{FF2B5EF4-FFF2-40B4-BE49-F238E27FC236}">
              <a16:creationId xmlns:a16="http://schemas.microsoft.com/office/drawing/2014/main" id="{3A0D9D09-27D0-6F1C-939D-1420915AA20E}"/>
            </a:ext>
          </a:extLst>
        </xdr:cNvPr>
        <xdr:cNvSpPr>
          <a:spLocks/>
        </xdr:cNvSpPr>
      </xdr:nvSpPr>
      <xdr:spPr>
        <a:xfrm>
          <a:off x="4660900" y="146272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79</xdr:row>
      <xdr:rowOff>28575</xdr:rowOff>
    </xdr:from>
    <xdr:to>
      <xdr:col>3</xdr:col>
      <xdr:colOff>127000</xdr:colOff>
      <xdr:row>79</xdr:row>
      <xdr:rowOff>155575</xdr:rowOff>
    </xdr:to>
    <xdr:sp macro="" textlink="">
      <xdr:nvSpPr>
        <xdr:cNvPr id="79" name="Arrow: Up 78">
          <a:extLst>
            <a:ext uri="{FF2B5EF4-FFF2-40B4-BE49-F238E27FC236}">
              <a16:creationId xmlns:a16="http://schemas.microsoft.com/office/drawing/2014/main" id="{4CB450A9-D8AE-1144-90A2-F2516B162FAC}"/>
            </a:ext>
          </a:extLst>
        </xdr:cNvPr>
        <xdr:cNvSpPr>
          <a:spLocks/>
        </xdr:cNvSpPr>
      </xdr:nvSpPr>
      <xdr:spPr>
        <a:xfrm>
          <a:off x="4660900" y="148113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80</xdr:row>
      <xdr:rowOff>28575</xdr:rowOff>
    </xdr:from>
    <xdr:to>
      <xdr:col>3</xdr:col>
      <xdr:colOff>127000</xdr:colOff>
      <xdr:row>80</xdr:row>
      <xdr:rowOff>155575</xdr:rowOff>
    </xdr:to>
    <xdr:sp macro="" textlink="">
      <xdr:nvSpPr>
        <xdr:cNvPr id="80" name="Arrow: Up 79">
          <a:extLst>
            <a:ext uri="{FF2B5EF4-FFF2-40B4-BE49-F238E27FC236}">
              <a16:creationId xmlns:a16="http://schemas.microsoft.com/office/drawing/2014/main" id="{091A8562-B413-C5A5-309C-22462D7FB90A}"/>
            </a:ext>
          </a:extLst>
        </xdr:cNvPr>
        <xdr:cNvSpPr>
          <a:spLocks/>
        </xdr:cNvSpPr>
      </xdr:nvSpPr>
      <xdr:spPr>
        <a:xfrm>
          <a:off x="4660900" y="149955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81</xdr:row>
      <xdr:rowOff>28575</xdr:rowOff>
    </xdr:from>
    <xdr:to>
      <xdr:col>3</xdr:col>
      <xdr:colOff>127000</xdr:colOff>
      <xdr:row>81</xdr:row>
      <xdr:rowOff>155575</xdr:rowOff>
    </xdr:to>
    <xdr:sp macro="" textlink="">
      <xdr:nvSpPr>
        <xdr:cNvPr id="81" name="Arrow: Down 80">
          <a:extLst>
            <a:ext uri="{FF2B5EF4-FFF2-40B4-BE49-F238E27FC236}">
              <a16:creationId xmlns:a16="http://schemas.microsoft.com/office/drawing/2014/main" id="{9B05437F-0BB0-E6A5-73C0-2DF37FDD86E6}"/>
            </a:ext>
          </a:extLst>
        </xdr:cNvPr>
        <xdr:cNvSpPr>
          <a:spLocks/>
        </xdr:cNvSpPr>
      </xdr:nvSpPr>
      <xdr:spPr>
        <a:xfrm>
          <a:off x="4660900" y="1517967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82</xdr:row>
      <xdr:rowOff>28575</xdr:rowOff>
    </xdr:from>
    <xdr:to>
      <xdr:col>3</xdr:col>
      <xdr:colOff>127000</xdr:colOff>
      <xdr:row>82</xdr:row>
      <xdr:rowOff>155575</xdr:rowOff>
    </xdr:to>
    <xdr:sp macro="" textlink="">
      <xdr:nvSpPr>
        <xdr:cNvPr id="82" name="Arrow: Up 81">
          <a:extLst>
            <a:ext uri="{FF2B5EF4-FFF2-40B4-BE49-F238E27FC236}">
              <a16:creationId xmlns:a16="http://schemas.microsoft.com/office/drawing/2014/main" id="{782CDA33-1E8C-C3AE-B6D9-BB48F70F5A9E}"/>
            </a:ext>
          </a:extLst>
        </xdr:cNvPr>
        <xdr:cNvSpPr>
          <a:spLocks/>
        </xdr:cNvSpPr>
      </xdr:nvSpPr>
      <xdr:spPr>
        <a:xfrm>
          <a:off x="4660900" y="153638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83</xdr:row>
      <xdr:rowOff>28575</xdr:rowOff>
    </xdr:from>
    <xdr:to>
      <xdr:col>3</xdr:col>
      <xdr:colOff>127000</xdr:colOff>
      <xdr:row>83</xdr:row>
      <xdr:rowOff>155575</xdr:rowOff>
    </xdr:to>
    <xdr:sp macro="" textlink="">
      <xdr:nvSpPr>
        <xdr:cNvPr id="83" name="Arrow: Up 82">
          <a:extLst>
            <a:ext uri="{FF2B5EF4-FFF2-40B4-BE49-F238E27FC236}">
              <a16:creationId xmlns:a16="http://schemas.microsoft.com/office/drawing/2014/main" id="{DF17D3C0-11F9-6148-9E81-E343F65DF86E}"/>
            </a:ext>
          </a:extLst>
        </xdr:cNvPr>
        <xdr:cNvSpPr>
          <a:spLocks/>
        </xdr:cNvSpPr>
      </xdr:nvSpPr>
      <xdr:spPr>
        <a:xfrm>
          <a:off x="4660900" y="155479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84</xdr:row>
      <xdr:rowOff>28575</xdr:rowOff>
    </xdr:from>
    <xdr:to>
      <xdr:col>3</xdr:col>
      <xdr:colOff>127000</xdr:colOff>
      <xdr:row>84</xdr:row>
      <xdr:rowOff>155575</xdr:rowOff>
    </xdr:to>
    <xdr:sp macro="" textlink="">
      <xdr:nvSpPr>
        <xdr:cNvPr id="84" name="Arrow: Up 83">
          <a:extLst>
            <a:ext uri="{FF2B5EF4-FFF2-40B4-BE49-F238E27FC236}">
              <a16:creationId xmlns:a16="http://schemas.microsoft.com/office/drawing/2014/main" id="{F3FD8682-3A9B-2CC6-0E54-DD92F49F1D2F}"/>
            </a:ext>
          </a:extLst>
        </xdr:cNvPr>
        <xdr:cNvSpPr>
          <a:spLocks/>
        </xdr:cNvSpPr>
      </xdr:nvSpPr>
      <xdr:spPr>
        <a:xfrm>
          <a:off x="4660900" y="157321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85</xdr:row>
      <xdr:rowOff>28575</xdr:rowOff>
    </xdr:from>
    <xdr:to>
      <xdr:col>3</xdr:col>
      <xdr:colOff>127000</xdr:colOff>
      <xdr:row>85</xdr:row>
      <xdr:rowOff>155575</xdr:rowOff>
    </xdr:to>
    <xdr:sp macro="" textlink="">
      <xdr:nvSpPr>
        <xdr:cNvPr id="85" name="Arrow: Up 84">
          <a:extLst>
            <a:ext uri="{FF2B5EF4-FFF2-40B4-BE49-F238E27FC236}">
              <a16:creationId xmlns:a16="http://schemas.microsoft.com/office/drawing/2014/main" id="{41A7D8FD-4C93-EDB4-4F75-CB601EA79D39}"/>
            </a:ext>
          </a:extLst>
        </xdr:cNvPr>
        <xdr:cNvSpPr>
          <a:spLocks/>
        </xdr:cNvSpPr>
      </xdr:nvSpPr>
      <xdr:spPr>
        <a:xfrm>
          <a:off x="4660900" y="159162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86</xdr:row>
      <xdr:rowOff>28575</xdr:rowOff>
    </xdr:from>
    <xdr:to>
      <xdr:col>3</xdr:col>
      <xdr:colOff>127000</xdr:colOff>
      <xdr:row>86</xdr:row>
      <xdr:rowOff>155575</xdr:rowOff>
    </xdr:to>
    <xdr:sp macro="" textlink="">
      <xdr:nvSpPr>
        <xdr:cNvPr id="86" name="Arrow: Up 85">
          <a:extLst>
            <a:ext uri="{FF2B5EF4-FFF2-40B4-BE49-F238E27FC236}">
              <a16:creationId xmlns:a16="http://schemas.microsoft.com/office/drawing/2014/main" id="{8D510784-D6D8-FDE4-F9BB-8C5A0DBEFE74}"/>
            </a:ext>
          </a:extLst>
        </xdr:cNvPr>
        <xdr:cNvSpPr>
          <a:spLocks/>
        </xdr:cNvSpPr>
      </xdr:nvSpPr>
      <xdr:spPr>
        <a:xfrm>
          <a:off x="4660900" y="161004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87</xdr:row>
      <xdr:rowOff>28575</xdr:rowOff>
    </xdr:from>
    <xdr:to>
      <xdr:col>3</xdr:col>
      <xdr:colOff>127000</xdr:colOff>
      <xdr:row>87</xdr:row>
      <xdr:rowOff>155575</xdr:rowOff>
    </xdr:to>
    <xdr:sp macro="" textlink="">
      <xdr:nvSpPr>
        <xdr:cNvPr id="87" name="Arrow: Down 86">
          <a:extLst>
            <a:ext uri="{FF2B5EF4-FFF2-40B4-BE49-F238E27FC236}">
              <a16:creationId xmlns:a16="http://schemas.microsoft.com/office/drawing/2014/main" id="{DAAD959C-E1F3-1312-BA1F-11383E1D8487}"/>
            </a:ext>
          </a:extLst>
        </xdr:cNvPr>
        <xdr:cNvSpPr>
          <a:spLocks/>
        </xdr:cNvSpPr>
      </xdr:nvSpPr>
      <xdr:spPr>
        <a:xfrm>
          <a:off x="4660900" y="1628457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88</xdr:row>
      <xdr:rowOff>28575</xdr:rowOff>
    </xdr:from>
    <xdr:to>
      <xdr:col>3</xdr:col>
      <xdr:colOff>127000</xdr:colOff>
      <xdr:row>88</xdr:row>
      <xdr:rowOff>155575</xdr:rowOff>
    </xdr:to>
    <xdr:sp macro="" textlink="">
      <xdr:nvSpPr>
        <xdr:cNvPr id="88" name="Arrow: Down 87">
          <a:extLst>
            <a:ext uri="{FF2B5EF4-FFF2-40B4-BE49-F238E27FC236}">
              <a16:creationId xmlns:a16="http://schemas.microsoft.com/office/drawing/2014/main" id="{57815EA2-0FCD-B1FA-A1ED-FE34FE90E59F}"/>
            </a:ext>
          </a:extLst>
        </xdr:cNvPr>
        <xdr:cNvSpPr>
          <a:spLocks/>
        </xdr:cNvSpPr>
      </xdr:nvSpPr>
      <xdr:spPr>
        <a:xfrm>
          <a:off x="4660900" y="1646872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89</xdr:row>
      <xdr:rowOff>28575</xdr:rowOff>
    </xdr:from>
    <xdr:to>
      <xdr:col>3</xdr:col>
      <xdr:colOff>127000</xdr:colOff>
      <xdr:row>89</xdr:row>
      <xdr:rowOff>155575</xdr:rowOff>
    </xdr:to>
    <xdr:sp macro="" textlink="">
      <xdr:nvSpPr>
        <xdr:cNvPr id="89" name="Arrow: Up 88">
          <a:extLst>
            <a:ext uri="{FF2B5EF4-FFF2-40B4-BE49-F238E27FC236}">
              <a16:creationId xmlns:a16="http://schemas.microsoft.com/office/drawing/2014/main" id="{352CDECE-E32D-088F-1D14-B3DAC5EFF848}"/>
            </a:ext>
          </a:extLst>
        </xdr:cNvPr>
        <xdr:cNvSpPr>
          <a:spLocks/>
        </xdr:cNvSpPr>
      </xdr:nvSpPr>
      <xdr:spPr>
        <a:xfrm>
          <a:off x="4660900" y="166528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90</xdr:row>
      <xdr:rowOff>28575</xdr:rowOff>
    </xdr:from>
    <xdr:to>
      <xdr:col>3</xdr:col>
      <xdr:colOff>127000</xdr:colOff>
      <xdr:row>90</xdr:row>
      <xdr:rowOff>155575</xdr:rowOff>
    </xdr:to>
    <xdr:sp macro="" textlink="">
      <xdr:nvSpPr>
        <xdr:cNvPr id="90" name="Arrow: Up 89">
          <a:extLst>
            <a:ext uri="{FF2B5EF4-FFF2-40B4-BE49-F238E27FC236}">
              <a16:creationId xmlns:a16="http://schemas.microsoft.com/office/drawing/2014/main" id="{E5443F3C-ADEC-7A80-2D71-4C3CCA4641B0}"/>
            </a:ext>
          </a:extLst>
        </xdr:cNvPr>
        <xdr:cNvSpPr>
          <a:spLocks/>
        </xdr:cNvSpPr>
      </xdr:nvSpPr>
      <xdr:spPr>
        <a:xfrm>
          <a:off x="4660900" y="168370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91</xdr:row>
      <xdr:rowOff>28575</xdr:rowOff>
    </xdr:from>
    <xdr:to>
      <xdr:col>3</xdr:col>
      <xdr:colOff>127000</xdr:colOff>
      <xdr:row>91</xdr:row>
      <xdr:rowOff>155575</xdr:rowOff>
    </xdr:to>
    <xdr:sp macro="" textlink="">
      <xdr:nvSpPr>
        <xdr:cNvPr id="91" name="Arrow: Up 90">
          <a:extLst>
            <a:ext uri="{FF2B5EF4-FFF2-40B4-BE49-F238E27FC236}">
              <a16:creationId xmlns:a16="http://schemas.microsoft.com/office/drawing/2014/main" id="{08C88399-310A-5F27-9459-0A91F33EB681}"/>
            </a:ext>
          </a:extLst>
        </xdr:cNvPr>
        <xdr:cNvSpPr>
          <a:spLocks/>
        </xdr:cNvSpPr>
      </xdr:nvSpPr>
      <xdr:spPr>
        <a:xfrm>
          <a:off x="4660900" y="170211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92</xdr:row>
      <xdr:rowOff>28575</xdr:rowOff>
    </xdr:from>
    <xdr:to>
      <xdr:col>3</xdr:col>
      <xdr:colOff>127000</xdr:colOff>
      <xdr:row>92</xdr:row>
      <xdr:rowOff>155575</xdr:rowOff>
    </xdr:to>
    <xdr:sp macro="" textlink="">
      <xdr:nvSpPr>
        <xdr:cNvPr id="92" name="Arrow: Up 91">
          <a:extLst>
            <a:ext uri="{FF2B5EF4-FFF2-40B4-BE49-F238E27FC236}">
              <a16:creationId xmlns:a16="http://schemas.microsoft.com/office/drawing/2014/main" id="{2AE56791-BE38-1F86-B1A1-EB9CA3B0657C}"/>
            </a:ext>
          </a:extLst>
        </xdr:cNvPr>
        <xdr:cNvSpPr>
          <a:spLocks/>
        </xdr:cNvSpPr>
      </xdr:nvSpPr>
      <xdr:spPr>
        <a:xfrm>
          <a:off x="4660900" y="172053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93</xdr:row>
      <xdr:rowOff>28575</xdr:rowOff>
    </xdr:from>
    <xdr:to>
      <xdr:col>3</xdr:col>
      <xdr:colOff>127000</xdr:colOff>
      <xdr:row>93</xdr:row>
      <xdr:rowOff>155575</xdr:rowOff>
    </xdr:to>
    <xdr:sp macro="" textlink="">
      <xdr:nvSpPr>
        <xdr:cNvPr id="93" name="Arrow: Down 92">
          <a:extLst>
            <a:ext uri="{FF2B5EF4-FFF2-40B4-BE49-F238E27FC236}">
              <a16:creationId xmlns:a16="http://schemas.microsoft.com/office/drawing/2014/main" id="{50B3BCDE-E316-2147-37ED-09E6EE71D50E}"/>
            </a:ext>
          </a:extLst>
        </xdr:cNvPr>
        <xdr:cNvSpPr>
          <a:spLocks/>
        </xdr:cNvSpPr>
      </xdr:nvSpPr>
      <xdr:spPr>
        <a:xfrm>
          <a:off x="4660900" y="1738947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94</xdr:row>
      <xdr:rowOff>28575</xdr:rowOff>
    </xdr:from>
    <xdr:to>
      <xdr:col>3</xdr:col>
      <xdr:colOff>127000</xdr:colOff>
      <xdr:row>94</xdr:row>
      <xdr:rowOff>155575</xdr:rowOff>
    </xdr:to>
    <xdr:sp macro="" textlink="">
      <xdr:nvSpPr>
        <xdr:cNvPr id="94" name="Arrow: Up 93">
          <a:extLst>
            <a:ext uri="{FF2B5EF4-FFF2-40B4-BE49-F238E27FC236}">
              <a16:creationId xmlns:a16="http://schemas.microsoft.com/office/drawing/2014/main" id="{467CBCF2-3582-8A72-FEBC-E7101E9BE5C1}"/>
            </a:ext>
          </a:extLst>
        </xdr:cNvPr>
        <xdr:cNvSpPr>
          <a:spLocks/>
        </xdr:cNvSpPr>
      </xdr:nvSpPr>
      <xdr:spPr>
        <a:xfrm>
          <a:off x="4660900" y="175736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95</xdr:row>
      <xdr:rowOff>28575</xdr:rowOff>
    </xdr:from>
    <xdr:to>
      <xdr:col>3</xdr:col>
      <xdr:colOff>127000</xdr:colOff>
      <xdr:row>95</xdr:row>
      <xdr:rowOff>155575</xdr:rowOff>
    </xdr:to>
    <xdr:sp macro="" textlink="">
      <xdr:nvSpPr>
        <xdr:cNvPr id="95" name="Arrow: Down 94">
          <a:extLst>
            <a:ext uri="{FF2B5EF4-FFF2-40B4-BE49-F238E27FC236}">
              <a16:creationId xmlns:a16="http://schemas.microsoft.com/office/drawing/2014/main" id="{4EA018F0-ACF4-3A92-71B5-9F0E0A9663D6}"/>
            </a:ext>
          </a:extLst>
        </xdr:cNvPr>
        <xdr:cNvSpPr>
          <a:spLocks/>
        </xdr:cNvSpPr>
      </xdr:nvSpPr>
      <xdr:spPr>
        <a:xfrm>
          <a:off x="4660900" y="1775777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96</xdr:row>
      <xdr:rowOff>28575</xdr:rowOff>
    </xdr:from>
    <xdr:to>
      <xdr:col>3</xdr:col>
      <xdr:colOff>127000</xdr:colOff>
      <xdr:row>96</xdr:row>
      <xdr:rowOff>155575</xdr:rowOff>
    </xdr:to>
    <xdr:sp macro="" textlink="">
      <xdr:nvSpPr>
        <xdr:cNvPr id="96" name="Arrow: Up 95">
          <a:extLst>
            <a:ext uri="{FF2B5EF4-FFF2-40B4-BE49-F238E27FC236}">
              <a16:creationId xmlns:a16="http://schemas.microsoft.com/office/drawing/2014/main" id="{7E03BF78-9B7E-11C9-3DBA-0AACE1AC6E41}"/>
            </a:ext>
          </a:extLst>
        </xdr:cNvPr>
        <xdr:cNvSpPr>
          <a:spLocks/>
        </xdr:cNvSpPr>
      </xdr:nvSpPr>
      <xdr:spPr>
        <a:xfrm>
          <a:off x="4660900" y="179419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97</xdr:row>
      <xdr:rowOff>28575</xdr:rowOff>
    </xdr:from>
    <xdr:to>
      <xdr:col>3</xdr:col>
      <xdr:colOff>127000</xdr:colOff>
      <xdr:row>97</xdr:row>
      <xdr:rowOff>155575</xdr:rowOff>
    </xdr:to>
    <xdr:sp macro="" textlink="">
      <xdr:nvSpPr>
        <xdr:cNvPr id="97" name="Arrow: Down 96">
          <a:extLst>
            <a:ext uri="{FF2B5EF4-FFF2-40B4-BE49-F238E27FC236}">
              <a16:creationId xmlns:a16="http://schemas.microsoft.com/office/drawing/2014/main" id="{13F7DB05-CB40-2210-1020-E777E23BAA2D}"/>
            </a:ext>
          </a:extLst>
        </xdr:cNvPr>
        <xdr:cNvSpPr>
          <a:spLocks/>
        </xdr:cNvSpPr>
      </xdr:nvSpPr>
      <xdr:spPr>
        <a:xfrm>
          <a:off x="4660900" y="1812607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98</xdr:row>
      <xdr:rowOff>28575</xdr:rowOff>
    </xdr:from>
    <xdr:to>
      <xdr:col>3</xdr:col>
      <xdr:colOff>127000</xdr:colOff>
      <xdr:row>98</xdr:row>
      <xdr:rowOff>155575</xdr:rowOff>
    </xdr:to>
    <xdr:sp macro="" textlink="">
      <xdr:nvSpPr>
        <xdr:cNvPr id="98" name="Arrow: Up 97">
          <a:extLst>
            <a:ext uri="{FF2B5EF4-FFF2-40B4-BE49-F238E27FC236}">
              <a16:creationId xmlns:a16="http://schemas.microsoft.com/office/drawing/2014/main" id="{57F6F1C7-FEAE-705F-965A-30E5124D1062}"/>
            </a:ext>
          </a:extLst>
        </xdr:cNvPr>
        <xdr:cNvSpPr>
          <a:spLocks/>
        </xdr:cNvSpPr>
      </xdr:nvSpPr>
      <xdr:spPr>
        <a:xfrm>
          <a:off x="4660900" y="183102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99</xdr:row>
      <xdr:rowOff>28575</xdr:rowOff>
    </xdr:from>
    <xdr:to>
      <xdr:col>3</xdr:col>
      <xdr:colOff>127000</xdr:colOff>
      <xdr:row>99</xdr:row>
      <xdr:rowOff>155575</xdr:rowOff>
    </xdr:to>
    <xdr:sp macro="" textlink="">
      <xdr:nvSpPr>
        <xdr:cNvPr id="99" name="Arrow: Up 98">
          <a:extLst>
            <a:ext uri="{FF2B5EF4-FFF2-40B4-BE49-F238E27FC236}">
              <a16:creationId xmlns:a16="http://schemas.microsoft.com/office/drawing/2014/main" id="{506DD210-23C8-9C9B-3783-7B0AC7B2BD97}"/>
            </a:ext>
          </a:extLst>
        </xdr:cNvPr>
        <xdr:cNvSpPr>
          <a:spLocks/>
        </xdr:cNvSpPr>
      </xdr:nvSpPr>
      <xdr:spPr>
        <a:xfrm>
          <a:off x="4660900" y="1849437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100</xdr:row>
      <xdr:rowOff>28575</xdr:rowOff>
    </xdr:from>
    <xdr:to>
      <xdr:col>3</xdr:col>
      <xdr:colOff>127000</xdr:colOff>
      <xdr:row>100</xdr:row>
      <xdr:rowOff>155575</xdr:rowOff>
    </xdr:to>
    <xdr:sp macro="" textlink="">
      <xdr:nvSpPr>
        <xdr:cNvPr id="100" name="Arrow: Up 99">
          <a:extLst>
            <a:ext uri="{FF2B5EF4-FFF2-40B4-BE49-F238E27FC236}">
              <a16:creationId xmlns:a16="http://schemas.microsoft.com/office/drawing/2014/main" id="{81E38034-423E-5E7E-0847-634FE50F3609}"/>
            </a:ext>
          </a:extLst>
        </xdr:cNvPr>
        <xdr:cNvSpPr>
          <a:spLocks/>
        </xdr:cNvSpPr>
      </xdr:nvSpPr>
      <xdr:spPr>
        <a:xfrm>
          <a:off x="4660900" y="18678525"/>
          <a:ext cx="63500" cy="127000"/>
        </a:xfrm>
        <a:prstGeom prst="upArrow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101</xdr:row>
      <xdr:rowOff>28575</xdr:rowOff>
    </xdr:from>
    <xdr:to>
      <xdr:col>3</xdr:col>
      <xdr:colOff>127000</xdr:colOff>
      <xdr:row>101</xdr:row>
      <xdr:rowOff>155575</xdr:rowOff>
    </xdr:to>
    <xdr:sp macro="" textlink="">
      <xdr:nvSpPr>
        <xdr:cNvPr id="101" name="Arrow: Down 100">
          <a:extLst>
            <a:ext uri="{FF2B5EF4-FFF2-40B4-BE49-F238E27FC236}">
              <a16:creationId xmlns:a16="http://schemas.microsoft.com/office/drawing/2014/main" id="{1703E3F1-804B-D1B0-AD72-E2EECBBC11CD}"/>
            </a:ext>
          </a:extLst>
        </xdr:cNvPr>
        <xdr:cNvSpPr>
          <a:spLocks/>
        </xdr:cNvSpPr>
      </xdr:nvSpPr>
      <xdr:spPr>
        <a:xfrm>
          <a:off x="4660900" y="18862675"/>
          <a:ext cx="63500" cy="1270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01AD5E62-3494-4BFE-BFCB-6FA3A9216DE1}" autoFormatId="16" applyNumberFormats="0" applyBorderFormats="0" applyFontFormats="0" applyPatternFormats="0" applyAlignmentFormats="0" applyWidthHeightFormats="0">
  <queryTableRefresh nextId="18" unboundColumnsLeft="3">
    <queryTableFields count="10">
      <queryTableField id="16" dataBound="0" tableColumnId="6"/>
      <queryTableField id="15" dataBound="0" tableColumnId="8"/>
      <queryTableField id="14" dataBound="0" tableColumnId="10"/>
      <queryTableField id="1" name="Symbol" tableColumnId="1"/>
      <queryTableField id="4" name="Change %" tableColumnId="4"/>
      <queryTableField id="3" name="Change" tableColumnId="3"/>
      <queryTableField id="17" dataBound="0" tableColumnId="11"/>
      <queryTableField id="2" name="Price" tableColumnId="2"/>
      <queryTableField id="5" name="Volume" tableColumnId="5"/>
      <queryTableField id="7" name="Market Cap" tableColumnId="7"/>
    </queryTableFields>
    <queryTableDeletedFields count="1">
      <deletedField name="52 Wk Change %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3" xr16:uid="{C3CADC6F-413B-4E47-A16B-BEDFDF377D9F}" autoFormatId="16" applyNumberFormats="0" applyBorderFormats="0" applyFontFormats="0" applyPatternFormats="0" applyAlignmentFormats="0" applyWidthHeightFormats="0">
  <queryTableRefresh nextId="26" unboundColumnsLeft="3">
    <queryTableFields count="11">
      <queryTableField id="14" dataBound="0" tableColumnId="12"/>
      <queryTableField id="13" dataBound="0" tableColumnId="13"/>
      <queryTableField id="12" dataBound="0" tableColumnId="14"/>
      <queryTableField id="1" name="Symbol" tableColumnId="1"/>
      <queryTableField id="15" dataBound="0" tableColumnId="15"/>
      <queryTableField id="4" name="Change %" tableColumnId="4"/>
      <queryTableField id="3" name="Change" tableColumnId="3"/>
      <queryTableField id="25" dataBound="0" tableColumnId="21"/>
      <queryTableField id="2" name="Price" tableColumnId="2"/>
      <queryTableField id="5" name="Volume" tableColumnId="5"/>
      <queryTableField id="7" name="Market Cap" tableColumnId="7"/>
    </queryTableFields>
    <queryTableDeletedFields count="5">
      <deletedField name="Avg Vol (3M)"/>
      <deletedField name="P/E Ratio (TTM)"/>
      <deletedField name="Day Chart"/>
      <deletedField name="52 Wk Range"/>
      <deletedField name="52 Wk Change %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AD6815AB-7B13-4B51-963F-B4B5E5A34DEF}" autoFormatId="16" applyNumberFormats="0" applyBorderFormats="0" applyFontFormats="0" applyPatternFormats="0" applyAlignmentFormats="0" applyWidthHeightFormats="0">
  <queryTableRefresh nextId="16" unboundColumnsLeft="1">
    <queryTableFields count="8">
      <queryTableField id="13" dataBound="0" tableColumnId="11"/>
      <queryTableField id="1" name="Symbol" tableColumnId="1"/>
      <queryTableField id="2" name="Name" tableColumnId="2"/>
      <queryTableField id="5" name="% Change" tableColumnId="5"/>
      <queryTableField id="4" name="Change" tableColumnId="4"/>
      <queryTableField id="14" name="Price" tableColumnId="12"/>
      <queryTableField id="6" name="Volume" tableColumnId="6"/>
      <queryTableField id="8" name="Market Cap" tableColumnId="8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9">
  <rv s="0">
    <v>https://www.bing.com/financeapi/forcetrigger?t=a6qja2&amp;q=DOW+JONES+INDU+AVERAGE+NDX&amp;form=skydnc</v>
    <v>Learn more on Bing</v>
  </rv>
  <rv s="1">
    <v>en-US</v>
    <v>a6qja2</v>
    <v>268435456</v>
    <v>1</v>
    <v>Powered by Refinitiv</v>
    <v>0</v>
    <v>DOW JONES INDU AVERAGE NDX</v>
    <v>2</v>
    <v>3</v>
    <v>Finance</v>
    <v>4</v>
    <v>42899.75</v>
    <v>32327.200000000001</v>
    <v>409.74</v>
    <v>9.6509999999999999E-3</v>
    <v>US</v>
    <v>42899.75</v>
    <v>Index</v>
    <v>0</v>
    <v>42507.53</v>
    <v>DOW JONES INDU AVERAGE NDX</v>
    <v>42507.53</v>
    <v>42454.12</v>
    <v>42863.86</v>
    <v>DJI</v>
    <v>DOW JONES INDU AVERAGE NDX</v>
  </rv>
  <rv s="2">
    <v>1</v>
  </rv>
  <rv s="0">
    <v>https://www.bing.com/financeapi/forcetrigger?t=a33k6h&amp;q=S%26P+500+INDEX&amp;form=skydnc</v>
    <v>Learn more on Bing</v>
  </rv>
  <rv s="1">
    <v>en-US</v>
    <v>a33k6h</v>
    <v>268435456</v>
    <v>1</v>
    <v>Powered by Refinitiv</v>
    <v>0</v>
    <v>S&amp;P 500 INDEX</v>
    <v>2</v>
    <v>3</v>
    <v>Finance</v>
    <v>4</v>
    <v>5822.13</v>
    <v>4103.78</v>
    <v>34.979999999999997</v>
    <v>6.0519999999999992E-3</v>
    <v>US</v>
    <v>5822.13</v>
    <v>Index</v>
    <v>3</v>
    <v>5775.09</v>
    <v>S&amp;P 500 INDEX</v>
    <v>5775.09</v>
    <v>5780.05</v>
    <v>5815.03</v>
    <v>INX</v>
    <v>S&amp;P 500 INDEX</v>
  </rv>
  <rv s="2">
    <v>4</v>
  </rv>
  <rv s="0">
    <v>https://www.bing.com/financeapi/forcetrigger?t=a3yy77&amp;q=NASDAQ+100+Index&amp;form=skydnc</v>
    <v>Learn more on Bing</v>
  </rv>
  <rv s="1">
    <v>en-US</v>
    <v>a3yy77</v>
    <v>268435456</v>
    <v>1</v>
    <v>Powered by Refinitiv</v>
    <v>0</v>
    <v>NASDAQ 100 Index</v>
    <v>2</v>
    <v>3</v>
    <v>Finance</v>
    <v>4</v>
    <v>20690.966</v>
    <v>14058.333000000001</v>
    <v>30.213000000000001</v>
    <v>1.493E-3</v>
    <v>US</v>
    <v>20313.197</v>
    <v>Index</v>
    <v>6</v>
    <v>20142.174999999999</v>
    <v>NASDAQ 100 Index</v>
    <v>20154.834999999999</v>
    <v>20241.760999999999</v>
    <v>20271.973999999998</v>
    <v>NDX</v>
    <v>NASDAQ 100 Index</v>
  </rv>
  <rv s="2">
    <v>7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ountry/region" t="s"/>
    <k n="High"/>
    <k n="Instrument type" t="s"/>
    <k n="LearnMoreOnLink" t="r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6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Ticker symbol</v>
      <v t="s">_SubLabel</v>
      <v t="s">Change</v>
      <v t="s">Change (%)</v>
      <v t="s">Country/region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LearnMoreOnLink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</spb>
    <spb s="3">
      <v>1</v>
      <v>1</v>
      <v>2</v>
      <v>1</v>
      <v>1</v>
      <v>1</v>
      <v>3</v>
      <v>1</v>
      <v>1</v>
      <v>1</v>
      <v>4</v>
    </spb>
    <spb s="4">
      <v>from previous close</v>
      <v>from previous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`%EntityServiceId" t="i"/>
  </s>
  <s>
    <k n="Change" t="s"/>
    <k n="Change (%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2" formatCode="0.00"/>
    </x:dxf>
    <x:dxf>
      <x:numFmt numFmtId="0" formatCode="General"/>
    </x:dxf>
    <x:dxf>
      <x:numFmt numFmtId="14" formatCode="0.00%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>
      <rpv i="1">1</rpv>
    </rSty>
    <rSty dxfid="2"/>
    <rSty dxfid="0">
      <rpv i="0">0.00</rpv>
    </rSty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6004434-2545-49B5-8889-952840E35B69}" name="T_Gainers" displayName="T_Gainers" ref="A2:J102" tableType="queryTable" totalsRowShown="0" headerRowDxfId="43" dataDxfId="44">
  <tableColumns count="10">
    <tableColumn id="6" xr3:uid="{8C5F6F45-5ABD-4C67-9EAF-C56CC6E11F4D}" uniqueName="6" name="No." queryTableFieldId="16" dataDxfId="9"/>
    <tableColumn id="8" xr3:uid="{5D607384-7F62-40FE-80BF-DB0A27AB5884}" uniqueName="8" name="Ticker" queryTableFieldId="15" dataDxfId="8">
      <calculatedColumnFormula>LEFT(T_Gainers[[#This Row],[Symbol]], FIND(" ", T_Gainers[[#This Row],[Symbol]]) - 1)</calculatedColumnFormula>
    </tableColumn>
    <tableColumn id="10" xr3:uid="{B6D35152-9DAB-4BB0-8487-DA8978F523B1}" uniqueName="10" name="Name" queryTableFieldId="14" dataDxfId="7">
      <calculatedColumnFormula>RIGHT(T_Gainers[[#This Row],[Symbol]],LEN(T_Gainers[[#This Row],[Symbol]])-FIND(" ",T_Gainers[[#This Row],[Symbol]]))</calculatedColumnFormula>
    </tableColumn>
    <tableColumn id="1" xr3:uid="{2D73F1E2-F2E7-4DB3-A85D-081023856817}" uniqueName="1" name="Symbol" queryTableFieldId="1" dataDxfId="6"/>
    <tableColumn id="4" xr3:uid="{461521B0-68F2-4904-9B34-91189604B329}" uniqueName="4" name="Change %" queryTableFieldId="4" dataDxfId="5" dataCellStyle="Percent"/>
    <tableColumn id="3" xr3:uid="{7F894106-9CB9-4DC9-98B9-70099154B560}" uniqueName="3" name="Change" queryTableFieldId="3" dataDxfId="4" dataCellStyle="Currency"/>
    <tableColumn id="11" xr3:uid="{36B56267-C7A4-4436-BA1E-5A3F7523A078}" uniqueName="11" name="Cost" queryTableFieldId="17" dataDxfId="3" dataCellStyle="Currency">
      <calculatedColumnFormula>LEFT(H3, FIND(" ", H3)-1)</calculatedColumnFormula>
    </tableColumn>
    <tableColumn id="2" xr3:uid="{FF4FDB02-7A1C-4FCD-A52E-9CEA709526B9}" uniqueName="2" name="Price" queryTableFieldId="2" dataDxfId="2"/>
    <tableColumn id="5" xr3:uid="{94D49C9E-BBB5-4DC4-9689-7F9CCAE8DECF}" uniqueName="5" name="Volume" queryTableFieldId="5" dataDxfId="1"/>
    <tableColumn id="7" xr3:uid="{9D879EF5-4BC2-462E-AFCD-2A71B89E6800}" uniqueName="7" name="Market Cap" queryTableFieldId="7" dataDxfId="0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67C2B6-0344-4686-B1F5-ECB308BFFE65}" name="fundscheck" displayName="fundscheck" ref="A1:H4" totalsRowShown="0">
  <autoFilter ref="A1:H4" xr:uid="{A667C2B6-0344-4686-B1F5-ECB308BFFE65}"/>
  <tableColumns count="8">
    <tableColumn id="1" xr3:uid="{28ED02D8-6448-4647-AB4D-E74ABFE8A784}" name="Symbol"/>
    <tableColumn id="2" xr3:uid="{7EFF0B13-7D82-4F66-83D5-4B3A10EA291B}" name="Ticker">
      <calculatedColumnFormula array="1">_FV(A2,"Ticker symbol",TRUE)</calculatedColumnFormula>
    </tableColumn>
    <tableColumn id="3" xr3:uid="{516F1416-65E5-4B2B-BDE5-5908C24E32E3}" name="Name">
      <calculatedColumnFormula array="1">_FV(A2,"Name")</calculatedColumnFormula>
    </tableColumn>
    <tableColumn id="4" xr3:uid="{34AC17EA-EBB6-4DEE-9356-8C907AC34787}" name="Change" dataDxfId="38">
      <calculatedColumnFormula array="1">_FV(A2,"Change")</calculatedColumnFormula>
    </tableColumn>
    <tableColumn id="5" xr3:uid="{C7ECACBF-CA08-47F4-B862-8C527971C895}" name="Change %" dataDxfId="37">
      <calculatedColumnFormula array="1">_FV(A2,"Change (%)",TRUE)</calculatedColumnFormula>
    </tableColumn>
    <tableColumn id="6" xr3:uid="{088EAEFF-F68B-4CD3-8E1A-684598D60A43}" name="Price" dataDxfId="36">
      <calculatedColumnFormula array="1">_FV(A2,"Price")</calculatedColumnFormula>
    </tableColumn>
    <tableColumn id="7" xr3:uid="{4F9323F5-37EB-4C01-ABC0-533C9F43E1B6}" name="Abbreviation"/>
    <tableColumn id="8" xr3:uid="{57971192-3351-412A-9D75-9F0E8031B77F}" name="Sha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572933-AB69-43AE-893F-5AD93EFE88B0}" name="T_Losers" displayName="T_Losers" ref="A2:K22" tableType="queryTable" totalsRowShown="0" headerRowDxfId="40" dataDxfId="39">
  <tableColumns count="11">
    <tableColumn id="12" xr3:uid="{6468E9C9-06C9-402D-8F76-EFC00201666D}" uniqueName="12" name="No." queryTableFieldId="14" dataDxfId="28"/>
    <tableColumn id="13" xr3:uid="{3B8B8613-CA5F-41BB-B38D-E1171C242618}" uniqueName="13" name="Ticker" queryTableFieldId="13" dataDxfId="27">
      <calculatedColumnFormula>LEFT(T_Losers[[#This Row],[Symbol]], FIND(" ", T_Losers[[#This Row],[Symbol]]) - 1)</calculatedColumnFormula>
    </tableColumn>
    <tableColumn id="14" xr3:uid="{6C6497A0-56D6-4CA6-8059-3E7E07086C08}" uniqueName="14" name="Name" queryTableFieldId="12" dataDxfId="26">
      <calculatedColumnFormula>RIGHT(T_Losers[[#This Row],[Symbol]],LEN(T_Losers[[#This Row],[Symbol]])-FIND(" ",T_Losers[[#This Row],[Symbol]]))</calculatedColumnFormula>
    </tableColumn>
    <tableColumn id="1" xr3:uid="{833F5508-2EEA-4777-A3DB-E859CFEDCAEC}" uniqueName="1" name="Symbol" queryTableFieldId="1" dataDxfId="25"/>
    <tableColumn id="15" xr3:uid="{4484BB04-1309-4B8A-AF6D-C9FB596634C6}" uniqueName="15" name="Change %" queryTableFieldId="15" dataDxfId="24" dataCellStyle="Percent"/>
    <tableColumn id="4" xr3:uid="{67C4943A-74AF-48B6-8015-713D9F9DC202}" uniqueName="4" name="Change %2" queryTableFieldId="4" dataDxfId="23" dataCellStyle="Percent"/>
    <tableColumn id="3" xr3:uid="{21E62D8A-4224-47F7-A9C2-E58D2D6C53E4}" uniqueName="3" name="Change" queryTableFieldId="3" dataDxfId="22" dataCellStyle="Percent"/>
    <tableColumn id="21" xr3:uid="{FAA61896-5B46-410B-8ACF-0B969EFB3615}" uniqueName="21" name="Cost" queryTableFieldId="25" dataDxfId="21">
      <calculatedColumnFormula>LEFT(I3, FIND(" ", I3)-1)</calculatedColumnFormula>
    </tableColumn>
    <tableColumn id="2" xr3:uid="{911AFD56-A228-440B-9120-C0B97D811B23}" uniqueName="2" name="Price" queryTableFieldId="2" dataDxfId="20"/>
    <tableColumn id="5" xr3:uid="{6769EC24-B74E-4CEA-AD32-1A82F7DC9A2A}" uniqueName="5" name="Volume" queryTableFieldId="5" dataDxfId="19"/>
    <tableColumn id="7" xr3:uid="{3D697673-DC9E-4ADF-A58D-995BF65F0943}" uniqueName="7" name="Market Cap" queryTableFieldId="7" dataDxfId="18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EF80A7-3DA8-45EF-B822-F1DC33848A32}" name="T_Activity" displayName="T_Activity" ref="A2:H102" tableType="queryTable" totalsRowShown="0" headerRowDxfId="41" dataDxfId="42">
  <tableColumns count="8">
    <tableColumn id="11" xr3:uid="{A9D6A173-41F5-4323-A3ED-01A3F99772F8}" uniqueName="11" name="No." queryTableFieldId="13" dataDxfId="17"/>
    <tableColumn id="1" xr3:uid="{8F380F7D-31DA-4A19-9EB6-6CE6AEFDFDD3}" uniqueName="1" name="Symbol" queryTableFieldId="1" dataDxfId="16"/>
    <tableColumn id="2" xr3:uid="{3870FDB8-5F5C-4C7E-AE89-D455C66E000F}" uniqueName="2" name="Name" queryTableFieldId="2" dataDxfId="15"/>
    <tableColumn id="5" xr3:uid="{E463EB8B-87C9-4AAF-9FA1-C53536EAFB37}" uniqueName="5" name="% Change" queryTableFieldId="5" dataDxfId="14" dataCellStyle="Percent"/>
    <tableColumn id="4" xr3:uid="{D1C123B4-4CDA-4DB2-9BA0-1E492D52E4D3}" uniqueName="4" name="Change" queryTableFieldId="4" dataDxfId="13"/>
    <tableColumn id="12" xr3:uid="{A4B2010E-7DEA-45E1-B8DA-BA288B90A356}" uniqueName="12" name="Price" queryTableFieldId="14" dataDxfId="12" dataCellStyle="Currency"/>
    <tableColumn id="6" xr3:uid="{81F01FC1-D44C-4013-909B-6E37E3439A66}" uniqueName="6" name="Volume" queryTableFieldId="6" dataDxfId="11"/>
    <tableColumn id="8" xr3:uid="{12912944-0C37-44D6-98F1-762119AFDEE1}" uniqueName="8" name="Market Cap" queryTableFieldId="8" dataDxfId="1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8B86165-7AF8-4F92-9D92-2EDD9A249C03}">
  <we:reference id="wa104379220" version="8.0.0.0" store="en-US" storeType="OMEX"/>
  <we:alternateReferences>
    <we:reference id="WA104379220" version="8.0.0.0" store="WA104379220" storeType="OMEX"/>
  </we:alternateReferences>
  <we:properties>
    <we:property name="Office.AutoShowTaskpaneWithDocument" value="true"/>
    <we:property name="lastCryptoCompare" value="0"/>
    <we:property name="lastIexCall" value="1728843556296"/>
    <we:property name="lastInfo" value="{&quot;VOO&quot;:{&quot;time&quot;:1728762392151,&quot;updateTime&quot;:1728676980000,&quot;price&quot;:&quot;532.71&quot;,&quot;name&quot;:&quot;Vanguard S&amp;P 500 ETF&quot;,&quot;prevClose&quot;:529.5854458693707}}"/>
    <we:property name="lastMutualFundsCall" value="0"/>
    <we:property name="stocks" value="{&quot;__GSPC&quot;:[&quot;__GSPC&quot;,532.71,0.005900000000000016,1728676980000]}"/>
    <we:property name="stocksChange" value="{}"/>
    <we:property name="stocksOrder" value="[&quot;__GSPC&quot;]"/>
    <we:property name="stocksSources" value="{&quot;__GSPC&quot;:0}"/>
    <we:property name="updateIntervalIndex" value="2"/>
  </we:properties>
  <we:bindings>
    <we:binding id="__GSPC" type="text" appref="{6043F7FF-91AA-4861-A4A8-AA61D5D64B6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223E-97A6-4704-BAE0-5342177047A1}">
  <sheetPr codeName="Sheet7"/>
  <dimension ref="A2:O27"/>
  <sheetViews>
    <sheetView zoomScale="56" workbookViewId="0">
      <selection activeCell="S13" sqref="S13"/>
    </sheetView>
  </sheetViews>
  <sheetFormatPr defaultRowHeight="14.5" x14ac:dyDescent="0.35"/>
  <cols>
    <col min="2" max="2" width="11.453125" customWidth="1"/>
    <col min="3" max="3" width="8.7265625" customWidth="1"/>
    <col min="4" max="4" width="11.36328125" customWidth="1"/>
    <col min="5" max="5" width="10.54296875" customWidth="1"/>
    <col min="7" max="7" width="11.6328125" customWidth="1"/>
    <col min="9" max="9" width="13.26953125" customWidth="1"/>
    <col min="10" max="10" width="9.54296875" bestFit="1" customWidth="1"/>
    <col min="12" max="12" width="30.453125" customWidth="1"/>
    <col min="14" max="14" width="12" customWidth="1"/>
  </cols>
  <sheetData>
    <row r="2" spans="1:15" ht="37" x14ac:dyDescent="0.7">
      <c r="B2" s="35" t="str">
        <f>INDEX(fundscheck[Abbreviation],1)</f>
        <v>DOW 30</v>
      </c>
      <c r="E2" s="42" t="str">
        <f ca="1">IF(ROUND(INDEX(fundscheck[Change],1),4) &gt; 0, "+" &amp; TEXT(ROUND(INDEX(fundscheck[Change],1),4), "0.00"), TEXT(ROUND(INDEX(fundscheck[Change],1),4), "0.0000"))</f>
        <v>+409.74</v>
      </c>
      <c r="G2" s="35" t="str">
        <f>INDEX(fundscheck[Abbreviation],2)</f>
        <v>S&amp;P 500</v>
      </c>
      <c r="J2" s="40" t="str">
        <f ca="1">IF(ROUND(INDEX(fundscheck[Change],2),4) &gt; 0, "+" &amp; TEXT(ROUND(INDEX(fundscheck[Change],2),4), "0.00"), TEXT(ROUND(INDEX(fundscheck[Change],1),4), "0.0000"))</f>
        <v>+34.98</v>
      </c>
      <c r="L2" s="35" t="str">
        <f>INDEX(fundscheck[Abbreviation],3)</f>
        <v>NASDAQ 100</v>
      </c>
      <c r="N2" s="40" t="str">
        <f ca="1">IF(ROUND(INDEX(fundscheck[Change],3),4) &gt; 0, "+" &amp; TEXT(ROUND(INDEX(fundscheck[Change],3),4), "0.00"), TEXT(ROUND(INDEX(fundscheck[Change],1),4), "0.0000"))</f>
        <v>+30.21</v>
      </c>
    </row>
    <row r="3" spans="1:15" ht="18.5" x14ac:dyDescent="0.35">
      <c r="B3" s="36">
        <f ca="1">INDEX(fundscheck[Price],1)</f>
        <v>42863.86</v>
      </c>
      <c r="C3" s="37"/>
      <c r="D3" s="38"/>
      <c r="E3" s="39" t="str">
        <f ca="1">ROUND(INDEX(fundscheck[],1,5)*100,2)&amp;"%"</f>
        <v>0.97%</v>
      </c>
      <c r="G3" s="36">
        <f ca="1">INDEX(fundscheck[Price],2)</f>
        <v>5815.03</v>
      </c>
      <c r="H3" s="38"/>
      <c r="I3" s="38"/>
      <c r="J3" s="39" t="str">
        <f ca="1">ROUND(INDEX(fundscheck[],2,5)*100,2)&amp;"%"</f>
        <v>0.61%</v>
      </c>
      <c r="L3" s="36">
        <f ca="1">INDEX(fundscheck[Price],3)</f>
        <v>20271.973999999998</v>
      </c>
      <c r="M3" s="38"/>
      <c r="N3" s="41" t="str">
        <f ca="1">ROUND(INDEX(fundscheck[],3,5)*100,2)&amp;"%"</f>
        <v>0.15%</v>
      </c>
    </row>
    <row r="6" spans="1:15" ht="17.5" x14ac:dyDescent="0.35">
      <c r="B6" s="28" t="s">
        <v>854</v>
      </c>
      <c r="G6" s="28" t="s">
        <v>855</v>
      </c>
      <c r="L6" s="28" t="s">
        <v>856</v>
      </c>
    </row>
    <row r="7" spans="1:15" ht="15.5" x14ac:dyDescent="0.35">
      <c r="C7" s="19" t="s">
        <v>3</v>
      </c>
      <c r="D7" s="19" t="s">
        <v>4</v>
      </c>
      <c r="E7" s="19" t="s">
        <v>2</v>
      </c>
      <c r="H7" s="19" t="s">
        <v>3</v>
      </c>
      <c r="I7" s="19" t="s">
        <v>4</v>
      </c>
      <c r="J7" s="19" t="s">
        <v>2</v>
      </c>
      <c r="M7" s="19" t="s">
        <v>3</v>
      </c>
      <c r="N7" s="19" t="s">
        <v>4</v>
      </c>
      <c r="O7" s="19" t="s">
        <v>2</v>
      </c>
    </row>
    <row r="8" spans="1:15" x14ac:dyDescent="0.35">
      <c r="A8" s="43">
        <v>1</v>
      </c>
      <c r="B8" s="17" t="str">
        <f>INDEX(T_Gainers[Ticker],1,1)</f>
        <v>GMVHF</v>
      </c>
      <c r="C8" s="29" t="str">
        <f>INDEX(T_Gainers[Cost],1,1)</f>
        <v>9.80</v>
      </c>
      <c r="D8" s="25">
        <f>INDEX(T_Gainers[Change %],1,1)</f>
        <v>0.1951</v>
      </c>
      <c r="E8" s="26">
        <f>INDEX(T_Gainers[Change],1,1)</f>
        <v>1.6</v>
      </c>
      <c r="G8" s="17" t="str">
        <f>INDEX(T_Losers[Ticker],1,1)</f>
        <v>FLUT</v>
      </c>
      <c r="H8" s="30" t="str">
        <f>INDEX(T_Losers[Cost],1,1)</f>
        <v>219.50</v>
      </c>
      <c r="I8" s="31" cm="1">
        <f t="array" ref="I8">INDEX(T_Losers[Change %],A8,1)</f>
        <v>-8.7800000000000003E-2</v>
      </c>
      <c r="J8" s="32" cm="1">
        <f t="array" ref="J8">INDEX(T_Losers[Change],A8,1)</f>
        <v>-21.14</v>
      </c>
      <c r="L8" s="17" t="str" cm="1">
        <f t="array" ref="L8">INDEX(T_Activity[Symbol],A8,1)</f>
        <v>NVDA</v>
      </c>
      <c r="M8" s="17" cm="1">
        <f t="array" ref="M8">INDEX(T_Activity[Price],A8,1)</f>
        <v>134.80000000000001</v>
      </c>
      <c r="N8" s="21" cm="1">
        <f t="array" ref="N8">INDEX(T_Activity[% Change],A8,1)</f>
        <v>-1E-4</v>
      </c>
      <c r="O8" s="24" cm="1">
        <f t="array" ref="O8">INDEX(T_Activity[Change],A8,1)</f>
        <v>-0.01</v>
      </c>
    </row>
    <row r="9" spans="1:15" x14ac:dyDescent="0.35">
      <c r="A9" s="43">
        <f>A8+1</f>
        <v>2</v>
      </c>
      <c r="B9" s="17" t="str">
        <f>INDEX(T_Gainers[Ticker],2,1)</f>
        <v>MSTR</v>
      </c>
      <c r="C9" s="29" t="str">
        <f>INDEX(T_Gainers[Cost],2,1)</f>
        <v>212.59</v>
      </c>
      <c r="D9" s="25">
        <f>INDEX(T_Gainers[Change %],2,1)</f>
        <v>0.1595</v>
      </c>
      <c r="E9" s="26">
        <f>INDEX(T_Gainers[Change],2,1)</f>
        <v>29.25</v>
      </c>
      <c r="G9" s="17" t="str">
        <f>INDEX(T_Losers[Ticker],2,1)</f>
        <v>TSLA</v>
      </c>
      <c r="H9" s="30" t="str">
        <f>INDEX(T_Losers[Cost],2,1)</f>
        <v>217.80</v>
      </c>
      <c r="I9" s="31" cm="1">
        <f t="array" ref="I9">INDEX(T_Losers[Change %],A9,1)</f>
        <v>-8.7800000000000003E-2</v>
      </c>
      <c r="J9" s="32" cm="1">
        <f t="array" ref="J9">INDEX(T_Losers[Change],A9,1)</f>
        <v>-20.97</v>
      </c>
      <c r="L9" s="17" t="str" cm="1">
        <f t="array" ref="L9">INDEX(T_Activity[Symbol],A9,1)</f>
        <v>TSLA</v>
      </c>
      <c r="M9" s="17" cm="1">
        <f t="array" ref="M9">INDEX(T_Activity[Price],A9,1)</f>
        <v>217.8</v>
      </c>
      <c r="N9" s="21" cm="1">
        <f t="array" ref="N9">INDEX(T_Activity[% Change],A9,1)</f>
        <v>-8.7800000000000003E-2</v>
      </c>
      <c r="O9" s="24" cm="1">
        <f t="array" ref="O9">INDEX(T_Activity[Change],A9,1)</f>
        <v>-20.97</v>
      </c>
    </row>
    <row r="10" spans="1:15" x14ac:dyDescent="0.35">
      <c r="A10" s="43">
        <f t="shared" ref="A10:A27" si="0">A9+1</f>
        <v>3</v>
      </c>
      <c r="B10" s="17" t="str">
        <f>INDEX(T_Gainers[Ticker],3,1)</f>
        <v>AFRM</v>
      </c>
      <c r="C10" s="29" t="str">
        <f>INDEX(T_Gainers[Cost],3,1)</f>
        <v>47.08</v>
      </c>
      <c r="D10" s="25">
        <f>INDEX(T_Gainers[Change %],3,1)</f>
        <v>0.1207</v>
      </c>
      <c r="E10" s="26">
        <f>INDEX(T_Gainers[Change],3,1)</f>
        <v>5.07</v>
      </c>
      <c r="G10" s="17" t="str">
        <f>INDEX(T_Losers[Ticker],3,1)</f>
        <v>GMVHY</v>
      </c>
      <c r="H10" s="30" t="str">
        <f>INDEX(T_Losers[Cost],3,1)</f>
        <v>9.26</v>
      </c>
      <c r="I10" s="31" cm="1">
        <f t="array" ref="I10">INDEX(T_Losers[Change %],A10,1)</f>
        <v>-6.8400000000000002E-2</v>
      </c>
      <c r="J10" s="32" cm="1">
        <f t="array" ref="J10">INDEX(T_Losers[Change],A10,1)</f>
        <v>-0.68</v>
      </c>
      <c r="L10" s="17" t="str" cm="1">
        <f t="array" ref="L10">INDEX(T_Activity[Symbol],A10,1)</f>
        <v>PLTR</v>
      </c>
      <c r="M10" s="17" cm="1">
        <f t="array" ref="M10">INDEX(T_Activity[Price],A10,1)</f>
        <v>43.51</v>
      </c>
      <c r="N10" s="21" cm="1">
        <f t="array" ref="N10">INDEX(T_Activity[% Change],A10,1)</f>
        <v>-2.0000000000000001E-4</v>
      </c>
      <c r="O10" s="24" cm="1">
        <f t="array" ref="O10">INDEX(T_Activity[Change],A10,1)</f>
        <v>-0.01</v>
      </c>
    </row>
    <row r="11" spans="1:15" x14ac:dyDescent="0.35">
      <c r="A11" s="43">
        <f t="shared" si="0"/>
        <v>4</v>
      </c>
      <c r="B11" s="17" t="str">
        <f>INDEX(T_Gainers[Ticker],4,1)</f>
        <v>UBER</v>
      </c>
      <c r="C11" s="29" t="str">
        <f>INDEX(T_Gainers[Cost],4,1)</f>
        <v>86.34</v>
      </c>
      <c r="D11" s="25">
        <f>INDEX(T_Gainers[Change %],4,1)</f>
        <v>0.1081</v>
      </c>
      <c r="E11" s="26">
        <f>INDEX(T_Gainers[Change],4,1)</f>
        <v>8.42</v>
      </c>
      <c r="G11" s="17" t="str">
        <f>INDEX(T_Losers[Ticker],4,1)</f>
        <v>AOS</v>
      </c>
      <c r="H11" s="30" t="str">
        <f>INDEX(T_Losers[Cost],4,1)</f>
        <v>80.87</v>
      </c>
      <c r="I11" s="31" cm="1">
        <f t="array" ref="I11">INDEX(T_Losers[Change %],A11,1)</f>
        <v>-6.25E-2</v>
      </c>
      <c r="J11" s="32" cm="1">
        <f t="array" ref="J11">INDEX(T_Losers[Change],A11,1)</f>
        <v>-5.39</v>
      </c>
      <c r="L11" s="17" t="str" cm="1">
        <f t="array" ref="L11">INDEX(T_Activity[Symbol],A11,1)</f>
        <v>UBER</v>
      </c>
      <c r="M11" s="17" cm="1">
        <f t="array" ref="M11">INDEX(T_Activity[Price],A11,1)</f>
        <v>86.34</v>
      </c>
      <c r="N11" s="21" cm="1">
        <f t="array" ref="N11">INDEX(T_Activity[% Change],A11,1)</f>
        <v>0.1081</v>
      </c>
      <c r="O11" s="24" cm="1">
        <f t="array" ref="O11">INDEX(T_Activity[Change],A11,1)</f>
        <v>8.42</v>
      </c>
    </row>
    <row r="12" spans="1:15" x14ac:dyDescent="0.35">
      <c r="A12" s="43">
        <f t="shared" si="0"/>
        <v>5</v>
      </c>
      <c r="B12" s="17" t="str">
        <f>INDEX(T_Gainers[Ticker],5,1)</f>
        <v>CLSK</v>
      </c>
      <c r="C12" s="29" t="str">
        <f>INDEX(T_Gainers[Cost],5,1)</f>
        <v>9.59</v>
      </c>
      <c r="D12" s="25">
        <f>INDEX(T_Gainers[Change %],5,1)</f>
        <v>0.1074</v>
      </c>
      <c r="E12" s="26">
        <f>INDEX(T_Gainers[Change],5,1)</f>
        <v>0.93</v>
      </c>
      <c r="G12" s="17" t="str">
        <f>INDEX(T_Losers[Ticker],5,1)</f>
        <v>CELH</v>
      </c>
      <c r="H12" s="30" t="str">
        <f>INDEX(T_Losers[Cost],5,1)</f>
        <v>32.80</v>
      </c>
      <c r="I12" s="31" cm="1">
        <f t="array" ref="I12">INDEX(T_Losers[Change %],A12,1)</f>
        <v>-6.0400000000000002E-2</v>
      </c>
      <c r="J12" s="32" cm="1">
        <f t="array" ref="J12">INDEX(T_Losers[Change],A12,1)</f>
        <v>-2.11</v>
      </c>
      <c r="L12" s="17" t="str" cm="1">
        <f t="array" ref="L12">INDEX(T_Activity[Symbol],A12,1)</f>
        <v>BAC</v>
      </c>
      <c r="M12" s="17" cm="1">
        <f t="array" ref="M12">INDEX(T_Activity[Price],A12,1)</f>
        <v>41.95</v>
      </c>
      <c r="N12" s="21" cm="1">
        <f t="array" ref="N12">INDEX(T_Activity[% Change],A12,1)</f>
        <v>4.9500000000000002E-2</v>
      </c>
      <c r="O12" s="24" cm="1">
        <f t="array" ref="O12">INDEX(T_Activity[Change],A12,1)</f>
        <v>1.98</v>
      </c>
    </row>
    <row r="13" spans="1:15" x14ac:dyDescent="0.35">
      <c r="A13" s="43">
        <f t="shared" si="0"/>
        <v>6</v>
      </c>
      <c r="B13" s="17" t="str">
        <f>INDEX(T_Gainers[Ticker],6,1)</f>
        <v>CORZ</v>
      </c>
      <c r="C13" s="29" t="str">
        <f>INDEX(T_Gainers[Cost],6,1)</f>
        <v>13.22</v>
      </c>
      <c r="D13" s="25">
        <f>INDEX(T_Gainers[Change %],6,1)</f>
        <v>0.10440000000000001</v>
      </c>
      <c r="E13" s="26">
        <f>INDEX(T_Gainers[Change],6,1)</f>
        <v>1.25</v>
      </c>
      <c r="G13" s="17" t="str">
        <f>INDEX(T_Losers[Ticker],6,1)</f>
        <v>TLN</v>
      </c>
      <c r="H13" s="30" t="str">
        <f>INDEX(T_Losers[Cost],6,1)</f>
        <v>159.19</v>
      </c>
      <c r="I13" s="31" cm="1">
        <f t="array" ref="I13">INDEX(T_Losers[Change %],A13,1)</f>
        <v>-5.1799999999999999E-2</v>
      </c>
      <c r="J13" s="32" cm="1">
        <f t="array" ref="J13">INDEX(T_Losers[Change],A13,1)</f>
        <v>-8.6999999999999993</v>
      </c>
      <c r="L13" s="17" t="str" cm="1">
        <f t="array" ref="L13">INDEX(T_Activity[Symbol],A13,1)</f>
        <v>DJT</v>
      </c>
      <c r="M13" s="17" cm="1">
        <f t="array" ref="M13">INDEX(T_Activity[Price],A13,1)</f>
        <v>25.28</v>
      </c>
      <c r="N13" s="21" cm="1">
        <f t="array" ref="N13">INDEX(T_Activity[% Change],A13,1)</f>
        <v>4.8099999999999997E-2</v>
      </c>
      <c r="O13" s="24" cm="1">
        <f t="array" ref="O13">INDEX(T_Activity[Change],A13,1)</f>
        <v>1.1599999999999999</v>
      </c>
    </row>
    <row r="14" spans="1:15" x14ac:dyDescent="0.35">
      <c r="A14" s="43">
        <f t="shared" si="0"/>
        <v>7</v>
      </c>
      <c r="B14" s="17" t="str">
        <f>INDEX(T_Gainers[Ticker],7,1)</f>
        <v>DJTWW</v>
      </c>
      <c r="C14" s="29" t="str">
        <f>INDEX(T_Gainers[Cost],7,1)</f>
        <v>17.77</v>
      </c>
      <c r="D14" s="25">
        <f>INDEX(T_Gainers[Change %],7,1)</f>
        <v>9.9900000000000003E-2</v>
      </c>
      <c r="E14" s="26">
        <f>INDEX(T_Gainers[Change],7,1)</f>
        <v>1.61</v>
      </c>
      <c r="G14" s="17" t="str">
        <f>INDEX(T_Losers[Ticker],7,1)</f>
        <v>ROCK</v>
      </c>
      <c r="H14" s="30" t="str">
        <f>INDEX(T_Losers[Cost],7,1)</f>
        <v>67.13</v>
      </c>
      <c r="I14" s="31" cm="1">
        <f t="array" ref="I14">INDEX(T_Losers[Change %],A14,1)</f>
        <v>-4.3200000000000002E-2</v>
      </c>
      <c r="J14" s="32" cm="1">
        <f t="array" ref="J14">INDEX(T_Losers[Change],A14,1)</f>
        <v>-3.03</v>
      </c>
      <c r="L14" s="17" t="str" cm="1">
        <f t="array" ref="L14">INDEX(T_Activity[Symbol],A14,1)</f>
        <v>INTC</v>
      </c>
      <c r="M14" s="17" cm="1">
        <f t="array" ref="M14">INDEX(T_Activity[Price],A14,1)</f>
        <v>23.56</v>
      </c>
      <c r="N14" s="21" cm="1">
        <f t="array" ref="N14">INDEX(T_Activity[% Change],A14,1)</f>
        <v>1.46E-2</v>
      </c>
      <c r="O14" s="24" cm="1">
        <f t="array" ref="O14">INDEX(T_Activity[Change],A14,1)</f>
        <v>0.34</v>
      </c>
    </row>
    <row r="15" spans="1:15" x14ac:dyDescent="0.35">
      <c r="A15" s="43">
        <f t="shared" si="0"/>
        <v>8</v>
      </c>
      <c r="B15" s="17" t="str">
        <f>INDEX(T_Gainers[Ticker],8,1)</f>
        <v>FAST</v>
      </c>
      <c r="C15" s="29" t="str">
        <f>INDEX(T_Gainers[Cost],8,1)</f>
        <v>76.82</v>
      </c>
      <c r="D15" s="25">
        <f>INDEX(T_Gainers[Change %],8,1)</f>
        <v>9.7600000000000006E-2</v>
      </c>
      <c r="E15" s="26">
        <f>INDEX(T_Gainers[Change],8,1)</f>
        <v>6.83</v>
      </c>
      <c r="G15" s="17" t="str">
        <f>INDEX(T_Losers[Ticker],8,1)</f>
        <v>TD</v>
      </c>
      <c r="H15" s="30" t="str">
        <f>INDEX(T_Losers[Cost],8,1)</f>
        <v>57.01</v>
      </c>
      <c r="I15" s="31" cm="1">
        <f t="array" ref="I15">INDEX(T_Losers[Change %],A15,1)</f>
        <v>-4.0899999999999999E-2</v>
      </c>
      <c r="J15" s="32" cm="1">
        <f t="array" ref="J15">INDEX(T_Losers[Change],A15,1)</f>
        <v>-2.4300000000000002</v>
      </c>
      <c r="L15" s="17" t="str" cm="1">
        <f t="array" ref="L15">INDEX(T_Activity[Symbol],A15,1)</f>
        <v>NIO</v>
      </c>
      <c r="M15" s="17" cm="1">
        <f t="array" ref="M15">INDEX(T_Activity[Price],A15,1)</f>
        <v>6.24</v>
      </c>
      <c r="N15" s="21" cm="1">
        <f t="array" ref="N15">INDEX(T_Activity[% Change],A15,1)</f>
        <v>3.2000000000000002E-3</v>
      </c>
      <c r="O15" s="24" cm="1">
        <f t="array" ref="O15">INDEX(T_Activity[Change],A15,1)</f>
        <v>0.02</v>
      </c>
    </row>
    <row r="16" spans="1:15" x14ac:dyDescent="0.35">
      <c r="A16" s="43">
        <f t="shared" si="0"/>
        <v>9</v>
      </c>
      <c r="B16" s="17" t="str">
        <f>INDEX(T_Gainers[Ticker],9,1)</f>
        <v>LYFT</v>
      </c>
      <c r="C16" s="29" t="str">
        <f>INDEX(T_Gainers[Cost],9,1)</f>
        <v>13.60</v>
      </c>
      <c r="D16" s="25">
        <f>INDEX(T_Gainers[Change %],9,1)</f>
        <v>9.5899999999999999E-2</v>
      </c>
      <c r="E16" s="26">
        <f>INDEX(T_Gainers[Change],9,1)</f>
        <v>1.19</v>
      </c>
      <c r="G16" s="17" t="str">
        <f>INDEX(T_Losers[Ticker],9,1)</f>
        <v>SQM</v>
      </c>
      <c r="H16" s="30" t="str">
        <f>INDEX(T_Losers[Cost],9,1)</f>
        <v>42.43</v>
      </c>
      <c r="I16" s="31" cm="1">
        <f t="array" ref="I16">INDEX(T_Losers[Change %],A16,1)</f>
        <v>-3.4099999999999998E-2</v>
      </c>
      <c r="J16" s="32" cm="1">
        <f t="array" ref="J16">INDEX(T_Losers[Change],A16,1)</f>
        <v>-1.5</v>
      </c>
      <c r="L16" s="17" t="str" cm="1">
        <f t="array" ref="L16">INDEX(T_Activity[Symbol],A16,1)</f>
        <v>SOFI</v>
      </c>
      <c r="M16" s="17" cm="1">
        <f t="array" ref="M16">INDEX(T_Activity[Price],A16,1)</f>
        <v>9.01</v>
      </c>
      <c r="N16" s="21" cm="1">
        <f t="array" ref="N16">INDEX(T_Activity[% Change],A16,1)</f>
        <v>4.3999999999999997E-2</v>
      </c>
      <c r="O16" s="24" cm="1">
        <f t="array" ref="O16">INDEX(T_Activity[Change],A16,1)</f>
        <v>0.38</v>
      </c>
    </row>
    <row r="17" spans="1:15" x14ac:dyDescent="0.35">
      <c r="A17" s="43">
        <f t="shared" si="0"/>
        <v>10</v>
      </c>
      <c r="B17" s="17" t="str">
        <f>INDEX(T_Gainers[Ticker],10,1)</f>
        <v>ENVX</v>
      </c>
      <c r="C17" s="29" t="str">
        <f>INDEX(T_Gainers[Cost],10,1)</f>
        <v>12.79</v>
      </c>
      <c r="D17" s="25">
        <f>INDEX(T_Gainers[Change %],10,1)</f>
        <v>9.3600000000000003E-2</v>
      </c>
      <c r="E17" s="26">
        <f>INDEX(T_Gainers[Change],10,1)</f>
        <v>1.1000000000000001</v>
      </c>
      <c r="G17" s="17" t="str">
        <f>INDEX(T_Losers[Ticker],10,1)</f>
        <v>ALGN</v>
      </c>
      <c r="H17" s="30" t="str">
        <f>INDEX(T_Losers[Cost],10,1)</f>
        <v>222.04</v>
      </c>
      <c r="I17" s="31" cm="1">
        <f t="array" ref="I17">INDEX(T_Losers[Change %],A17,1)</f>
        <v>-3.3099999999999997E-2</v>
      </c>
      <c r="J17" s="32" cm="1">
        <f t="array" ref="J17">INDEX(T_Losers[Change],A17,1)</f>
        <v>-7.61</v>
      </c>
      <c r="L17" s="17" t="str" cm="1">
        <f t="array" ref="L17">INDEX(T_Activity[Symbol],A17,1)</f>
        <v>AMD</v>
      </c>
      <c r="M17" s="17" cm="1">
        <f t="array" ref="M17">INDEX(T_Activity[Price],A17,1)</f>
        <v>167.89</v>
      </c>
      <c r="N17" s="21" cm="1">
        <f t="array" ref="N17">INDEX(T_Activity[% Change],A17,1)</f>
        <v>2.2599999999999999E-2</v>
      </c>
      <c r="O17" s="24" cm="1">
        <f t="array" ref="O17">INDEX(T_Activity[Change],A17,1)</f>
        <v>3.71</v>
      </c>
    </row>
    <row r="18" spans="1:15" x14ac:dyDescent="0.35">
      <c r="A18" s="43">
        <f t="shared" si="0"/>
        <v>11</v>
      </c>
      <c r="B18" s="17" t="str">
        <f>INDEX(T_Gainers[Ticker],11,1)</f>
        <v>UPST</v>
      </c>
      <c r="C18" s="29" t="str">
        <f>INDEX(T_Gainers[Cost],11,1)</f>
        <v>47.02</v>
      </c>
      <c r="D18" s="25">
        <f>INDEX(T_Gainers[Change %],11,1)</f>
        <v>8.8900000000000007E-2</v>
      </c>
      <c r="E18" s="26">
        <f>INDEX(T_Gainers[Change],11,1)</f>
        <v>3.84</v>
      </c>
      <c r="G18" s="17" t="str">
        <f>INDEX(T_Losers[Ticker],11,1)</f>
        <v>ERJ</v>
      </c>
      <c r="H18" s="30" t="str">
        <f>INDEX(T_Losers[Cost],11,1)</f>
        <v>32.50</v>
      </c>
      <c r="I18" s="31" cm="1">
        <f t="array" ref="I18">INDEX(T_Losers[Change %],A18,1)</f>
        <v>-3.2500000000000001E-2</v>
      </c>
      <c r="J18" s="32" cm="1">
        <f t="array" ref="J18">INDEX(T_Losers[Change],A18,1)</f>
        <v>-1.0900000000000001</v>
      </c>
      <c r="L18" s="17" t="str" cm="1">
        <f t="array" ref="L18">INDEX(T_Activity[Symbol],A18,1)</f>
        <v>SMCI</v>
      </c>
      <c r="M18" s="17" cm="1">
        <f t="array" ref="M18">INDEX(T_Activity[Price],A18,1)</f>
        <v>47.8</v>
      </c>
      <c r="N18" s="21" cm="1">
        <f t="array" ref="N18">INDEX(T_Activity[% Change],A18,1)</f>
        <v>2.86E-2</v>
      </c>
      <c r="O18" s="24" cm="1">
        <f t="array" ref="O18">INDEX(T_Activity[Change],A18,1)</f>
        <v>1.33</v>
      </c>
    </row>
    <row r="19" spans="1:15" x14ac:dyDescent="0.35">
      <c r="A19" s="43">
        <f t="shared" si="0"/>
        <v>12</v>
      </c>
      <c r="B19" s="17" t="str">
        <f>INDEX(T_Gainers[Ticker],12,1)</f>
        <v>SYM</v>
      </c>
      <c r="C19" s="29" t="str">
        <f>INDEX(T_Gainers[Cost],12,1)</f>
        <v>29.93</v>
      </c>
      <c r="D19" s="25">
        <f>INDEX(T_Gainers[Change %],12,1)</f>
        <v>8.7999999999999995E-2</v>
      </c>
      <c r="E19" s="26">
        <f>INDEX(T_Gainers[Change],12,1)</f>
        <v>2.42</v>
      </c>
      <c r="G19" s="17" t="str">
        <f>INDEX(T_Losers[Ticker],12,1)</f>
        <v>CSAN</v>
      </c>
      <c r="H19" s="30" t="str">
        <f>INDEX(T_Losers[Cost],12,1)</f>
        <v>8.62</v>
      </c>
      <c r="I19" s="31" cm="1">
        <f t="array" ref="I19">INDEX(T_Losers[Change %],A19,1)</f>
        <v>-3.15E-2</v>
      </c>
      <c r="J19" s="32" cm="1">
        <f t="array" ref="J19">INDEX(T_Losers[Change],A19,1)</f>
        <v>-0.28000000000000003</v>
      </c>
      <c r="L19" s="17" t="str" cm="1">
        <f t="array" ref="L19">INDEX(T_Activity[Symbol],A19,1)</f>
        <v>ALTM</v>
      </c>
      <c r="M19" s="17" cm="1">
        <f t="array" ref="M19">INDEX(T_Activity[Price],A19,1)</f>
        <v>5.56</v>
      </c>
      <c r="N19" s="21" cm="1">
        <f t="array" ref="N19">INDEX(T_Activity[% Change],A19,1)</f>
        <v>5.4000000000000003E-3</v>
      </c>
      <c r="O19" s="24" cm="1">
        <f t="array" ref="O19">INDEX(T_Activity[Change],A19,1)</f>
        <v>0.03</v>
      </c>
    </row>
    <row r="20" spans="1:15" x14ac:dyDescent="0.35">
      <c r="A20" s="43">
        <f t="shared" si="0"/>
        <v>13</v>
      </c>
      <c r="B20" s="17" t="str">
        <f>INDEX(T_Gainers[Ticker],13,1)</f>
        <v>DNLI</v>
      </c>
      <c r="C20" s="29" t="str">
        <f>INDEX(T_Gainers[Cost],13,1)</f>
        <v>28.00</v>
      </c>
      <c r="D20" s="25">
        <f>INDEX(T_Gainers[Change %],13,1)</f>
        <v>8.7800000000000003E-2</v>
      </c>
      <c r="E20" s="26">
        <f>INDEX(T_Gainers[Change],13,1)</f>
        <v>2.2599999999999998</v>
      </c>
      <c r="G20" s="17" t="str">
        <f>INDEX(T_Losers[Ticker],13,1)</f>
        <v>ALVO</v>
      </c>
      <c r="H20" s="30" t="str">
        <f>INDEX(T_Losers[Cost],13,1)</f>
        <v>12.45</v>
      </c>
      <c r="I20" s="31" cm="1">
        <f t="array" ref="I20">INDEX(T_Losers[Change %],A20,1)</f>
        <v>-3.1099999999999999E-2</v>
      </c>
      <c r="J20" s="32" cm="1">
        <f t="array" ref="J20">INDEX(T_Losers[Change],A20,1)</f>
        <v>-0.4</v>
      </c>
      <c r="L20" s="17" t="str" cm="1">
        <f t="array" ref="L20">INDEX(T_Activity[Symbol],A20,1)</f>
        <v>WFC</v>
      </c>
      <c r="M20" s="17" cm="1">
        <f t="array" ref="M20">INDEX(T_Activity[Price],A20,1)</f>
        <v>60.99</v>
      </c>
      <c r="N20" s="21" cm="1">
        <f t="array" ref="N20">INDEX(T_Activity[% Change],A20,1)</f>
        <v>5.6099999999999997E-2</v>
      </c>
      <c r="O20" s="24" cm="1">
        <f t="array" ref="O20">INDEX(T_Activity[Change],A20,1)</f>
        <v>3.24</v>
      </c>
    </row>
    <row r="21" spans="1:15" x14ac:dyDescent="0.35">
      <c r="A21" s="43">
        <f t="shared" si="0"/>
        <v>14</v>
      </c>
      <c r="B21" s="17" t="str">
        <f>INDEX(T_Gainers[Ticker],14,1)</f>
        <v>IONQ</v>
      </c>
      <c r="C21" s="29" t="str">
        <f>INDEX(T_Gainers[Cost],14,1)</f>
        <v>10.66</v>
      </c>
      <c r="D21" s="25">
        <f>INDEX(T_Gainers[Change %],14,1)</f>
        <v>8.6599999999999996E-2</v>
      </c>
      <c r="E21" s="26">
        <f>INDEX(T_Gainers[Change],14,1)</f>
        <v>0.85</v>
      </c>
      <c r="G21" s="17" t="str">
        <f>INDEX(T_Losers[Ticker],14,1)</f>
        <v>TAL</v>
      </c>
      <c r="H21" s="30" t="str">
        <f>INDEX(T_Losers[Cost],14,1)</f>
        <v>11.22</v>
      </c>
      <c r="I21" s="31" cm="1">
        <f t="array" ref="I21">INDEX(T_Losers[Change %],A21,1)</f>
        <v>-3.1099999999999999E-2</v>
      </c>
      <c r="J21" s="32" cm="1">
        <f t="array" ref="J21">INDEX(T_Losers[Change],A21,1)</f>
        <v>-0.36</v>
      </c>
      <c r="L21" s="17" t="str" cm="1">
        <f t="array" ref="L21">INDEX(T_Activity[Symbol],A21,1)</f>
        <v>MARA</v>
      </c>
      <c r="M21" s="17" cm="1">
        <f t="array" ref="M21">INDEX(T_Activity[Price],A21,1)</f>
        <v>16.079999999999998</v>
      </c>
      <c r="N21" s="21" cm="1">
        <f t="array" ref="N21">INDEX(T_Activity[% Change],A21,1)</f>
        <v>5.5800000000000002E-2</v>
      </c>
      <c r="O21" s="24" cm="1">
        <f t="array" ref="O21">INDEX(T_Activity[Change],A21,1)</f>
        <v>0.85</v>
      </c>
    </row>
    <row r="22" spans="1:15" x14ac:dyDescent="0.35">
      <c r="A22" s="43">
        <f t="shared" si="0"/>
        <v>15</v>
      </c>
      <c r="B22" s="17" t="str">
        <f>INDEX(T_Gainers[Ticker],15,1)</f>
        <v>RIOT</v>
      </c>
      <c r="C22" s="29" t="str">
        <f>INDEX(T_Gainers[Cost],15,1)</f>
        <v>8.41</v>
      </c>
      <c r="D22" s="25">
        <f>INDEX(T_Gainers[Change %],15,1)</f>
        <v>8.6599999999999996E-2</v>
      </c>
      <c r="E22" s="26">
        <f>INDEX(T_Gainers[Change],15,1)</f>
        <v>0.67</v>
      </c>
      <c r="G22" s="17" t="str">
        <f>INDEX(T_Losers[Ticker],15,1)</f>
        <v>VIV</v>
      </c>
      <c r="H22" s="30" t="str">
        <f>INDEX(T_Losers[Cost],15,1)</f>
        <v>9.37</v>
      </c>
      <c r="I22" s="31" cm="1">
        <f t="array" ref="I22">INDEX(T_Losers[Change %],A22,1)</f>
        <v>-0.03</v>
      </c>
      <c r="J22" s="32" cm="1">
        <f t="array" ref="J22">INDEX(T_Losers[Change],A22,1)</f>
        <v>-0.28999999999999998</v>
      </c>
      <c r="L22" s="17" t="str" cm="1">
        <f t="array" ref="L22">INDEX(T_Activity[Symbol],A22,1)</f>
        <v>LYFT</v>
      </c>
      <c r="M22" s="17" cm="1">
        <f t="array" ref="M22">INDEX(T_Activity[Price],A22,1)</f>
        <v>13.6</v>
      </c>
      <c r="N22" s="21" cm="1">
        <f t="array" ref="N22">INDEX(T_Activity[% Change],A22,1)</f>
        <v>9.5899999999999999E-2</v>
      </c>
      <c r="O22" s="24" cm="1">
        <f t="array" ref="O22">INDEX(T_Activity[Change],A22,1)</f>
        <v>1.19</v>
      </c>
    </row>
    <row r="23" spans="1:15" x14ac:dyDescent="0.35">
      <c r="A23" s="43">
        <f t="shared" si="0"/>
        <v>16</v>
      </c>
      <c r="B23" s="17" t="str">
        <f>INDEX(T_Gainers[Ticker],16,1)</f>
        <v>EVGO</v>
      </c>
      <c r="C23" s="29" t="str">
        <f>INDEX(T_Gainers[Cost],16,1)</f>
        <v>7.23</v>
      </c>
      <c r="D23" s="25">
        <f>INDEX(T_Gainers[Change %],16,1)</f>
        <v>8.0699999999999994E-2</v>
      </c>
      <c r="E23" s="26">
        <f>INDEX(T_Gainers[Change],16,1)</f>
        <v>0.54</v>
      </c>
      <c r="G23" s="17" t="str">
        <f>INDEX(T_Losers[Ticker],16,1)</f>
        <v>NVAX</v>
      </c>
      <c r="H23" s="30" t="str">
        <f>INDEX(T_Losers[Cost],16,1)</f>
        <v>12.53</v>
      </c>
      <c r="I23" s="31" cm="1">
        <f t="array" ref="I23">INDEX(T_Losers[Change %],A23,1)</f>
        <v>-2.9100000000000001E-2</v>
      </c>
      <c r="J23" s="32" cm="1">
        <f t="array" ref="J23">INDEX(T_Losers[Change],A23,1)</f>
        <v>-0.38</v>
      </c>
      <c r="L23" s="17" t="str" cm="1">
        <f t="array" ref="L23">INDEX(T_Activity[Symbol],A23,1)</f>
        <v>F</v>
      </c>
      <c r="M23" s="17" cm="1">
        <f t="array" ref="M23">INDEX(T_Activity[Price],A23,1)</f>
        <v>10.72</v>
      </c>
      <c r="N23" s="21" cm="1">
        <f t="array" ref="N23">INDEX(T_Activity[% Change],A23,1)</f>
        <v>3.7000000000000002E-3</v>
      </c>
      <c r="O23" s="24" cm="1">
        <f t="array" ref="O23">INDEX(T_Activity[Change],A23,1)</f>
        <v>0.04</v>
      </c>
    </row>
    <row r="24" spans="1:15" x14ac:dyDescent="0.35">
      <c r="A24" s="43">
        <f t="shared" si="0"/>
        <v>17</v>
      </c>
      <c r="B24" s="17" t="str">
        <f>INDEX(T_Gainers[Ticker],17,1)</f>
        <v>SLNO</v>
      </c>
      <c r="C24" s="29" t="str">
        <f>INDEX(T_Gainers[Cost],17,1)</f>
        <v>54.75</v>
      </c>
      <c r="D24" s="25">
        <f>INDEX(T_Gainers[Change %],17,1)</f>
        <v>7.7799999999999994E-2</v>
      </c>
      <c r="E24" s="26">
        <f>INDEX(T_Gainers[Change],17,1)</f>
        <v>3.95</v>
      </c>
      <c r="G24" s="17" t="str">
        <f>INDEX(T_Losers[Ticker],17,1)</f>
        <v>ZK</v>
      </c>
      <c r="H24" s="30" t="str">
        <f>INDEX(T_Losers[Cost],17,1)</f>
        <v>23.85</v>
      </c>
      <c r="I24" s="31" cm="1">
        <f t="array" ref="I24">INDEX(T_Losers[Change %],A24,1)</f>
        <v>-2.8899999999999999E-2</v>
      </c>
      <c r="J24" s="32" cm="1">
        <f t="array" ref="J24">INDEX(T_Losers[Change],A24,1)</f>
        <v>-0.71</v>
      </c>
      <c r="L24" s="17" t="str" cm="1">
        <f t="array" ref="L24">INDEX(T_Activity[Symbol],A24,1)</f>
        <v>AAPL</v>
      </c>
      <c r="M24" s="17" cm="1">
        <f t="array" ref="M24">INDEX(T_Activity[Price],A24,1)</f>
        <v>227.55</v>
      </c>
      <c r="N24" s="21" cm="1">
        <f t="array" ref="N24">INDEX(T_Activity[% Change],A24,1)</f>
        <v>-6.4999999999999997E-3</v>
      </c>
      <c r="O24" s="24" cm="1">
        <f t="array" ref="O24">INDEX(T_Activity[Change],A24,1)</f>
        <v>-1.49</v>
      </c>
    </row>
    <row r="25" spans="1:15" x14ac:dyDescent="0.35">
      <c r="A25" s="43">
        <f t="shared" si="0"/>
        <v>18</v>
      </c>
      <c r="B25" s="17" t="str">
        <f>INDEX(T_Gainers[Ticker],18,1)</f>
        <v>PAY</v>
      </c>
      <c r="C25" s="29" t="str">
        <f>INDEX(T_Gainers[Cost],18,1)</f>
        <v>22.78</v>
      </c>
      <c r="D25" s="25">
        <f>INDEX(T_Gainers[Change %],18,1)</f>
        <v>7.7100000000000002E-2</v>
      </c>
      <c r="E25" s="26">
        <f>INDEX(T_Gainers[Change],18,1)</f>
        <v>1.63</v>
      </c>
      <c r="G25" s="17" t="str">
        <f>INDEX(T_Losers[Ticker],18,1)</f>
        <v>SBLK</v>
      </c>
      <c r="H25" s="30" t="str">
        <f>INDEX(T_Losers[Cost],18,1)</f>
        <v>21.05</v>
      </c>
      <c r="I25" s="31" cm="1">
        <f t="array" ref="I25">INDEX(T_Losers[Change %],A25,1)</f>
        <v>-2.8199999999999999E-2</v>
      </c>
      <c r="J25" s="32" cm="1">
        <f t="array" ref="J25">INDEX(T_Losers[Change],A25,1)</f>
        <v>-0.61</v>
      </c>
      <c r="L25" s="17" t="str" cm="1">
        <f t="array" ref="L25">INDEX(T_Activity[Symbol],A25,1)</f>
        <v>MSTR</v>
      </c>
      <c r="M25" s="17" cm="1">
        <f t="array" ref="M25">INDEX(T_Activity[Price],A25,1)</f>
        <v>212.59</v>
      </c>
      <c r="N25" s="21" cm="1">
        <f t="array" ref="N25">INDEX(T_Activity[% Change],A25,1)</f>
        <v>0.1595</v>
      </c>
      <c r="O25" s="24" cm="1">
        <f t="array" ref="O25">INDEX(T_Activity[Change],A25,1)</f>
        <v>29.25</v>
      </c>
    </row>
    <row r="26" spans="1:15" x14ac:dyDescent="0.35">
      <c r="A26" s="43">
        <f t="shared" si="0"/>
        <v>19</v>
      </c>
      <c r="B26" s="17" t="str">
        <f>INDEX(T_Gainers[Ticker],19,1)</f>
        <v>NYCB</v>
      </c>
      <c r="C26" s="29" t="str">
        <f>INDEX(T_Gainers[Cost],19,1)</f>
        <v>11.78</v>
      </c>
      <c r="D26" s="25">
        <f>INDEX(T_Gainers[Change %],19,1)</f>
        <v>7.5800000000000006E-2</v>
      </c>
      <c r="E26" s="26">
        <f>INDEX(T_Gainers[Change],19,1)</f>
        <v>0.83</v>
      </c>
      <c r="G26" s="17" t="str">
        <f>INDEX(T_Losers[Ticker],19,1)</f>
        <v>INTR</v>
      </c>
      <c r="H26" s="30" t="str">
        <f>INDEX(T_Losers[Cost],19,1)</f>
        <v>6.28</v>
      </c>
      <c r="I26" s="31" cm="1">
        <f t="array" ref="I26">INDEX(T_Losers[Change %],A26,1)</f>
        <v>-2.7900000000000001E-2</v>
      </c>
      <c r="J26" s="32" cm="1">
        <f t="array" ref="J26">INDEX(T_Losers[Change],A26,1)</f>
        <v>-0.18</v>
      </c>
      <c r="L26" s="17" t="str" cm="1">
        <f t="array" ref="L26">INDEX(T_Activity[Symbol],A26,1)</f>
        <v>PFE</v>
      </c>
      <c r="M26" s="17" cm="1">
        <f t="array" ref="M26">INDEX(T_Activity[Price],A26,1)</f>
        <v>29.16</v>
      </c>
      <c r="N26" s="21" cm="1">
        <f t="array" ref="N26">INDEX(T_Activity[% Change],A26,1)</f>
        <v>-6.1000000000000004E-3</v>
      </c>
      <c r="O26" s="24" cm="1">
        <f t="array" ref="O26">INDEX(T_Activity[Change],A26,1)</f>
        <v>-0.18</v>
      </c>
    </row>
    <row r="27" spans="1:15" x14ac:dyDescent="0.35">
      <c r="A27" s="43">
        <f t="shared" si="0"/>
        <v>20</v>
      </c>
      <c r="B27" s="17" t="str">
        <f>INDEX(T_Gainers[Ticker],20,1)</f>
        <v>COIN</v>
      </c>
      <c r="C27" s="29" t="str">
        <f>INDEX(T_Gainers[Cost],20,1)</f>
        <v>176.38</v>
      </c>
      <c r="D27" s="25">
        <f>INDEX(T_Gainers[Change %],20,1)</f>
        <v>7.3700000000000002E-2</v>
      </c>
      <c r="E27" s="26">
        <f>INDEX(T_Gainers[Change],20,1)</f>
        <v>12.11</v>
      </c>
      <c r="G27" s="17" t="str">
        <f>INDEX(T_Losers[Ticker],20,1)</f>
        <v>APPN</v>
      </c>
      <c r="H27" s="30" t="str">
        <f>INDEX(T_Losers[Cost],20,1)</f>
        <v>31.31</v>
      </c>
      <c r="I27" s="31" cm="1">
        <f t="array" ref="I27">INDEX(T_Losers[Change %],A27,1)</f>
        <v>-2.5499999999999998E-2</v>
      </c>
      <c r="J27" s="32" cm="1">
        <f t="array" ref="J27">INDEX(T_Losers[Change],A27,1)</f>
        <v>-0.82</v>
      </c>
      <c r="L27" s="17" t="str" cm="1">
        <f t="array" ref="L27">INDEX(T_Activity[Symbol],A27,1)</f>
        <v>CCL</v>
      </c>
      <c r="M27" s="17" cm="1">
        <f t="array" ref="M27">INDEX(T_Activity[Price],A27,1)</f>
        <v>20.43</v>
      </c>
      <c r="N27" s="21" cm="1">
        <f t="array" ref="N27">INDEX(T_Activity[% Change],A27,1)</f>
        <v>2E-3</v>
      </c>
      <c r="O27" s="24" cm="1">
        <f t="array" ref="O27">INDEX(T_Activity[Change],A27,1)</f>
        <v>0.04</v>
      </c>
    </row>
  </sheetData>
  <conditionalFormatting sqref="N8">
    <cfRule type="cellIs" priority="10" operator="between">
      <formula>$N$8</formula>
      <formula>$O$27</formula>
    </cfRule>
  </conditionalFormatting>
  <conditionalFormatting sqref="N8:N27">
    <cfRule type="cellIs" dxfId="35" priority="6" operator="greaterThan">
      <formula>0</formula>
    </cfRule>
  </conditionalFormatting>
  <conditionalFormatting sqref="O8:O27">
    <cfRule type="cellIs" dxfId="33" priority="7" operator="greaterThan">
      <formula>0</formula>
    </cfRule>
  </conditionalFormatting>
  <conditionalFormatting sqref="E3">
    <cfRule type="cellIs" dxfId="30" priority="2" operator="greaterThan">
      <formula>0</formula>
    </cfRule>
  </conditionalFormatting>
  <conditionalFormatting sqref="J3">
    <cfRule type="cellIs" dxfId="29" priority="1" operator="greaterThan">
      <formula>0</formula>
    </cfRule>
  </conditionalFormatting>
  <hyperlinks>
    <hyperlink ref="B6" location="'Gainer Table'!A1" display="Top Gainers" xr:uid="{D9ECD604-8179-4751-A05A-27D253044406}"/>
    <hyperlink ref="G6" location="LOSERS!A1" display="Top Losers" xr:uid="{7FB45331-4DD4-4E4C-93AD-C7699909AF3E}"/>
    <hyperlink ref="L6" location="Activity!A1" display="Top Activity" xr:uid="{CD768357-A5DD-414C-A85E-AC35D1260439}"/>
  </hyperlink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9237756F-2667-4DFB-B93A-E59D4101795E}">
            <xm:f>NOT(ISERROR(SEARCH("-",N8)))</xm:f>
            <xm:f>"-"</xm:f>
            <x14:dxf>
              <font>
                <strike val="0"/>
                <color rgb="FFFF0000"/>
              </font>
            </x14:dxf>
          </x14:cfRule>
          <xm:sqref>N8:N27</xm:sqref>
        </x14:conditionalFormatting>
        <x14:conditionalFormatting xmlns:xm="http://schemas.microsoft.com/office/excel/2006/main">
          <x14:cfRule type="containsText" priority="8" operator="containsText" id="{95DF5E1F-CA43-4B4D-B5D7-BD87615D411B}">
            <xm:f>NOT(ISERROR(SEARCH("-",O8)))</xm:f>
            <xm:f>"-"</xm:f>
            <x14:dxf>
              <font>
                <strike val="0"/>
                <color rgb="FFFF0000"/>
              </font>
            </x14:dxf>
          </x14:cfRule>
          <xm:sqref>O8:O27</xm:sqref>
        </x14:conditionalFormatting>
        <x14:conditionalFormatting xmlns:xm="http://schemas.microsoft.com/office/excel/2006/main">
          <x14:cfRule type="containsText" priority="3" operator="containsText" id="{E326AC7F-AA81-4661-ADCD-2B1AE0D35BAA}">
            <xm:f>NOT(ISERROR(SEARCH("+",E2)))</xm:f>
            <xm:f>"+"</xm:f>
            <x14:dxf>
              <font>
                <strike val="0"/>
                <color rgb="FF00B050"/>
              </font>
            </x14:dxf>
          </x14:cfRule>
          <xm:sqref>E2:E3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BED0-BF14-4492-88ED-621D91E4EA1A}">
  <sheetPr codeName="Sheet2"/>
  <dimension ref="A1:M102"/>
  <sheetViews>
    <sheetView showGridLines="0" tabSelected="1" zoomScale="86" workbookViewId="0">
      <selection activeCell="C75" sqref="C75"/>
    </sheetView>
  </sheetViews>
  <sheetFormatPr defaultRowHeight="14.5" x14ac:dyDescent="0.35"/>
  <cols>
    <col min="1" max="1" width="4.81640625" bestFit="1" customWidth="1"/>
    <col min="2" max="2" width="7.90625" bestFit="1" customWidth="1"/>
    <col min="3" max="3" width="34.90625" bestFit="1" customWidth="1"/>
    <col min="4" max="4" width="46" hidden="1" customWidth="1"/>
    <col min="5" max="5" width="11.7265625" bestFit="1" customWidth="1"/>
    <col min="6" max="6" width="9.08984375" bestFit="1" customWidth="1"/>
    <col min="7" max="7" width="8.453125" bestFit="1" customWidth="1"/>
    <col min="8" max="8" width="24" hidden="1" customWidth="1"/>
    <col min="9" max="9" width="9.1796875" bestFit="1" customWidth="1"/>
    <col min="10" max="10" width="13.36328125" bestFit="1" customWidth="1"/>
    <col min="11" max="11" width="19.1796875" bestFit="1" customWidth="1"/>
    <col min="12" max="12" width="15.6328125" bestFit="1" customWidth="1"/>
    <col min="13" max="13" width="16.81640625" bestFit="1" customWidth="1"/>
    <col min="14" max="14" width="13.6328125" bestFit="1" customWidth="1"/>
    <col min="15" max="15" width="11.26953125" bestFit="1" customWidth="1"/>
  </cols>
  <sheetData>
    <row r="1" spans="1:13" ht="30" x14ac:dyDescent="0.6">
      <c r="A1" s="11" t="s">
        <v>409</v>
      </c>
    </row>
    <row r="2" spans="1:13" ht="17.5" x14ac:dyDescent="0.35">
      <c r="A2" s="9" t="s">
        <v>6</v>
      </c>
      <c r="B2" s="9" t="s">
        <v>0</v>
      </c>
      <c r="C2" s="9" t="s">
        <v>1</v>
      </c>
      <c r="D2" s="9" t="s">
        <v>7</v>
      </c>
      <c r="E2" s="10" t="s">
        <v>4</v>
      </c>
      <c r="F2" s="9" t="s">
        <v>2</v>
      </c>
      <c r="G2" s="9" t="s">
        <v>410</v>
      </c>
      <c r="H2" s="9" t="s">
        <v>3</v>
      </c>
      <c r="I2" s="9" t="s">
        <v>8</v>
      </c>
      <c r="J2" s="9" t="s">
        <v>5</v>
      </c>
      <c r="K2" s="44"/>
      <c r="L2" s="44"/>
      <c r="M2" s="44"/>
    </row>
    <row r="3" spans="1:13" x14ac:dyDescent="0.35">
      <c r="A3" s="3">
        <v>1</v>
      </c>
      <c r="B3" s="4" t="str">
        <f>LEFT(T_Gainers[[#This Row],[Symbol]], FIND(" ", T_Gainers[[#This Row],[Symbol]]) - 1)</f>
        <v>GMVHF</v>
      </c>
      <c r="C3" s="4" t="str">
        <f>RIGHT(T_Gainers[[#This Row],[Symbol]],LEN(T_Gainers[[#This Row],[Symbol]])-FIND(" ",T_Gainers[[#This Row],[Symbol]]))</f>
        <v xml:space="preserve"> Entain Plc</v>
      </c>
      <c r="D3" s="5" t="s">
        <v>9</v>
      </c>
      <c r="E3" s="13">
        <v>0.1951</v>
      </c>
      <c r="F3" s="14">
        <v>1.6</v>
      </c>
      <c r="G3" s="27" t="str">
        <f t="shared" ref="G3:G34" si="0">LEFT(H3, FIND(" ", H3)-1)</f>
        <v>9.80</v>
      </c>
      <c r="H3" s="12" t="s">
        <v>10</v>
      </c>
      <c r="I3" s="12" t="s">
        <v>11</v>
      </c>
      <c r="J3" s="12" t="s">
        <v>12</v>
      </c>
      <c r="K3" s="44"/>
      <c r="L3" s="44"/>
      <c r="M3" s="44"/>
    </row>
    <row r="4" spans="1:13" x14ac:dyDescent="0.35">
      <c r="A4" s="6">
        <f>A3+1</f>
        <v>2</v>
      </c>
      <c r="B4" s="7" t="str">
        <f>LEFT(T_Gainers[[#This Row],[Symbol]], FIND(" ", T_Gainers[[#This Row],[Symbol]]) - 1)</f>
        <v>MSTR</v>
      </c>
      <c r="C4" s="7" t="str">
        <f>RIGHT(T_Gainers[[#This Row],[Symbol]],LEN(T_Gainers[[#This Row],[Symbol]])-FIND(" ",T_Gainers[[#This Row],[Symbol]]))</f>
        <v xml:space="preserve"> MicroStrategy Incorporated</v>
      </c>
      <c r="D4" s="5" t="s">
        <v>13</v>
      </c>
      <c r="E4" s="2">
        <v>0.1595</v>
      </c>
      <c r="F4" s="14">
        <v>29.25</v>
      </c>
      <c r="G4" s="27" t="str">
        <f t="shared" si="0"/>
        <v>212.59</v>
      </c>
      <c r="H4" s="12" t="s">
        <v>14</v>
      </c>
      <c r="I4" s="12" t="s">
        <v>360</v>
      </c>
      <c r="J4" s="12" t="s">
        <v>15</v>
      </c>
      <c r="K4" s="44"/>
      <c r="L4" s="44"/>
      <c r="M4" s="44"/>
    </row>
    <row r="5" spans="1:13" x14ac:dyDescent="0.35">
      <c r="A5" s="6">
        <f t="shared" ref="A5:A68" si="1">A4+1</f>
        <v>3</v>
      </c>
      <c r="B5" s="7" t="str">
        <f>LEFT(T_Gainers[[#This Row],[Symbol]], FIND(" ", T_Gainers[[#This Row],[Symbol]]) - 1)</f>
        <v>AFRM</v>
      </c>
      <c r="C5" s="7" t="str">
        <f>RIGHT(T_Gainers[[#This Row],[Symbol]],LEN(T_Gainers[[#This Row],[Symbol]])-FIND(" ",T_Gainers[[#This Row],[Symbol]]))</f>
        <v xml:space="preserve"> Affirm Holdings, Inc.</v>
      </c>
      <c r="D5" s="5" t="s">
        <v>16</v>
      </c>
      <c r="E5" s="2">
        <v>0.1207</v>
      </c>
      <c r="F5" s="14">
        <v>5.07</v>
      </c>
      <c r="G5" s="27" t="str">
        <f t="shared" si="0"/>
        <v>47.08</v>
      </c>
      <c r="H5" s="12" t="s">
        <v>17</v>
      </c>
      <c r="I5" s="12" t="s">
        <v>361</v>
      </c>
      <c r="J5" s="12" t="s">
        <v>18</v>
      </c>
      <c r="K5" s="44"/>
      <c r="L5" s="44"/>
      <c r="M5" s="44"/>
    </row>
    <row r="6" spans="1:13" x14ac:dyDescent="0.35">
      <c r="A6" s="6">
        <f t="shared" si="1"/>
        <v>4</v>
      </c>
      <c r="B6" s="6" t="str">
        <f>LEFT(T_Gainers[[#This Row],[Symbol]], FIND(" ", T_Gainers[[#This Row],[Symbol]]) - 1)</f>
        <v>UBER</v>
      </c>
      <c r="C6" s="6" t="str">
        <f>RIGHT(T_Gainers[[#This Row],[Symbol]],LEN(T_Gainers[[#This Row],[Symbol]])-FIND(" ",T_Gainers[[#This Row],[Symbol]]))</f>
        <v xml:space="preserve"> Uber Technologies, Inc.</v>
      </c>
      <c r="D6" s="5" t="s">
        <v>19</v>
      </c>
      <c r="E6" s="2">
        <v>0.1081</v>
      </c>
      <c r="F6" s="14">
        <v>8.42</v>
      </c>
      <c r="G6" s="27" t="str">
        <f t="shared" si="0"/>
        <v>86.34</v>
      </c>
      <c r="H6" s="12" t="s">
        <v>20</v>
      </c>
      <c r="I6" s="12" t="s">
        <v>21</v>
      </c>
      <c r="J6" s="12" t="s">
        <v>22</v>
      </c>
    </row>
    <row r="7" spans="1:13" x14ac:dyDescent="0.35">
      <c r="A7" s="6">
        <f t="shared" si="1"/>
        <v>5</v>
      </c>
      <c r="B7" s="6" t="str">
        <f>LEFT(T_Gainers[[#This Row],[Symbol]], FIND(" ", T_Gainers[[#This Row],[Symbol]]) - 1)</f>
        <v>CLSK</v>
      </c>
      <c r="C7" s="6" t="str">
        <f>RIGHT(T_Gainers[[#This Row],[Symbol]],LEN(T_Gainers[[#This Row],[Symbol]])-FIND(" ",T_Gainers[[#This Row],[Symbol]]))</f>
        <v xml:space="preserve"> CleanSpark, Inc.</v>
      </c>
      <c r="D7" s="5" t="s">
        <v>23</v>
      </c>
      <c r="E7" s="2">
        <v>0.1074</v>
      </c>
      <c r="F7" s="14">
        <v>0.93</v>
      </c>
      <c r="G7" s="27" t="str">
        <f t="shared" si="0"/>
        <v>9.59</v>
      </c>
      <c r="H7" s="12" t="s">
        <v>24</v>
      </c>
      <c r="I7" s="12" t="s">
        <v>362</v>
      </c>
      <c r="J7" s="12" t="s">
        <v>25</v>
      </c>
    </row>
    <row r="8" spans="1:13" x14ac:dyDescent="0.35">
      <c r="A8" s="6">
        <f t="shared" si="1"/>
        <v>6</v>
      </c>
      <c r="B8" s="7" t="str">
        <f>LEFT(T_Gainers[[#This Row],[Symbol]], FIND(" ", T_Gainers[[#This Row],[Symbol]]) - 1)</f>
        <v>CORZ</v>
      </c>
      <c r="C8" s="6" t="str">
        <f>RIGHT(T_Gainers[[#This Row],[Symbol]],LEN(T_Gainers[[#This Row],[Symbol]])-FIND(" ",T_Gainers[[#This Row],[Symbol]]))</f>
        <v xml:space="preserve"> Core Scientific, Inc.</v>
      </c>
      <c r="D8" s="8" t="s">
        <v>26</v>
      </c>
      <c r="E8" s="2">
        <v>0.10440000000000001</v>
      </c>
      <c r="F8" s="14">
        <v>1.25</v>
      </c>
      <c r="G8" s="27" t="str">
        <f t="shared" si="0"/>
        <v>13.22</v>
      </c>
      <c r="H8" s="12" t="s">
        <v>27</v>
      </c>
      <c r="I8" s="12" t="s">
        <v>363</v>
      </c>
      <c r="J8" s="12" t="s">
        <v>28</v>
      </c>
    </row>
    <row r="9" spans="1:13" x14ac:dyDescent="0.35">
      <c r="A9" s="6">
        <f t="shared" si="1"/>
        <v>7</v>
      </c>
      <c r="B9" s="7" t="str">
        <f>LEFT(T_Gainers[[#This Row],[Symbol]], FIND(" ", T_Gainers[[#This Row],[Symbol]]) - 1)</f>
        <v>DJTWW</v>
      </c>
      <c r="C9" s="6" t="str">
        <f>RIGHT(T_Gainers[[#This Row],[Symbol]],LEN(T_Gainers[[#This Row],[Symbol]])-FIND(" ",T_Gainers[[#This Row],[Symbol]]))</f>
        <v xml:space="preserve"> Trump Media &amp; Technology Group Corp.</v>
      </c>
      <c r="D9" s="8" t="s">
        <v>29</v>
      </c>
      <c r="E9" s="2">
        <v>9.9900000000000003E-2</v>
      </c>
      <c r="F9" s="14">
        <v>1.61</v>
      </c>
      <c r="G9" s="27" t="str">
        <f t="shared" si="0"/>
        <v>17.77</v>
      </c>
      <c r="H9" s="12" t="s">
        <v>30</v>
      </c>
      <c r="I9" s="12" t="s">
        <v>31</v>
      </c>
      <c r="J9" s="12" t="s">
        <v>32</v>
      </c>
    </row>
    <row r="10" spans="1:13" x14ac:dyDescent="0.35">
      <c r="A10" s="6">
        <f t="shared" si="1"/>
        <v>8</v>
      </c>
      <c r="B10" s="7" t="str">
        <f>LEFT(T_Gainers[[#This Row],[Symbol]], FIND(" ", T_Gainers[[#This Row],[Symbol]]) - 1)</f>
        <v>FAST</v>
      </c>
      <c r="C10" s="6" t="str">
        <f>RIGHT(T_Gainers[[#This Row],[Symbol]],LEN(T_Gainers[[#This Row],[Symbol]])-FIND(" ",T_Gainers[[#This Row],[Symbol]]))</f>
        <v xml:space="preserve"> Fastenal Company</v>
      </c>
      <c r="D10" s="8" t="s">
        <v>33</v>
      </c>
      <c r="E10" s="2">
        <v>9.7600000000000006E-2</v>
      </c>
      <c r="F10" s="14">
        <v>6.83</v>
      </c>
      <c r="G10" s="27" t="str">
        <f t="shared" si="0"/>
        <v>76.82</v>
      </c>
      <c r="H10" s="12" t="s">
        <v>34</v>
      </c>
      <c r="I10" s="12" t="s">
        <v>364</v>
      </c>
      <c r="J10" s="12" t="s">
        <v>35</v>
      </c>
    </row>
    <row r="11" spans="1:13" x14ac:dyDescent="0.35">
      <c r="A11" s="6">
        <f t="shared" si="1"/>
        <v>9</v>
      </c>
      <c r="B11" s="7" t="str">
        <f>LEFT(T_Gainers[[#This Row],[Symbol]], FIND(" ", T_Gainers[[#This Row],[Symbol]]) - 1)</f>
        <v>LYFT</v>
      </c>
      <c r="C11" s="6" t="str">
        <f>RIGHT(T_Gainers[[#This Row],[Symbol]],LEN(T_Gainers[[#This Row],[Symbol]])-FIND(" ",T_Gainers[[#This Row],[Symbol]]))</f>
        <v xml:space="preserve"> Lyft, Inc.</v>
      </c>
      <c r="D11" s="8" t="s">
        <v>36</v>
      </c>
      <c r="E11" s="2">
        <v>9.5899999999999999E-2</v>
      </c>
      <c r="F11" s="14">
        <v>1.19</v>
      </c>
      <c r="G11" s="27" t="str">
        <f t="shared" si="0"/>
        <v>13.60</v>
      </c>
      <c r="H11" s="12" t="s">
        <v>37</v>
      </c>
      <c r="I11" s="12" t="s">
        <v>365</v>
      </c>
      <c r="J11" s="12" t="s">
        <v>38</v>
      </c>
    </row>
    <row r="12" spans="1:13" x14ac:dyDescent="0.35">
      <c r="A12" s="6">
        <f t="shared" si="1"/>
        <v>10</v>
      </c>
      <c r="B12" s="7" t="str">
        <f>LEFT(T_Gainers[[#This Row],[Symbol]], FIND(" ", T_Gainers[[#This Row],[Symbol]]) - 1)</f>
        <v>ENVX</v>
      </c>
      <c r="C12" s="6" t="str">
        <f>RIGHT(T_Gainers[[#This Row],[Symbol]],LEN(T_Gainers[[#This Row],[Symbol]])-FIND(" ",T_Gainers[[#This Row],[Symbol]]))</f>
        <v xml:space="preserve"> Enovix Corporation</v>
      </c>
      <c r="D12" s="8" t="s">
        <v>39</v>
      </c>
      <c r="E12" s="2">
        <v>9.3600000000000003E-2</v>
      </c>
      <c r="F12" s="14">
        <v>1.1000000000000001</v>
      </c>
      <c r="G12" s="27" t="str">
        <f t="shared" si="0"/>
        <v>12.79</v>
      </c>
      <c r="H12" s="12" t="s">
        <v>40</v>
      </c>
      <c r="I12" s="12" t="s">
        <v>366</v>
      </c>
      <c r="J12" s="12" t="s">
        <v>41</v>
      </c>
    </row>
    <row r="13" spans="1:13" x14ac:dyDescent="0.35">
      <c r="A13" s="6">
        <f t="shared" si="1"/>
        <v>11</v>
      </c>
      <c r="B13" s="7" t="str">
        <f>LEFT(T_Gainers[[#This Row],[Symbol]], FIND(" ", T_Gainers[[#This Row],[Symbol]]) - 1)</f>
        <v>UPST</v>
      </c>
      <c r="C13" s="6" t="str">
        <f>RIGHT(T_Gainers[[#This Row],[Symbol]],LEN(T_Gainers[[#This Row],[Symbol]])-FIND(" ",T_Gainers[[#This Row],[Symbol]]))</f>
        <v xml:space="preserve"> Upstart Holdings, Inc.</v>
      </c>
      <c r="D13" s="8" t="s">
        <v>42</v>
      </c>
      <c r="E13" s="2">
        <v>8.8900000000000007E-2</v>
      </c>
      <c r="F13" s="14">
        <v>3.84</v>
      </c>
      <c r="G13" s="27" t="str">
        <f t="shared" si="0"/>
        <v>47.02</v>
      </c>
      <c r="H13" s="12" t="s">
        <v>43</v>
      </c>
      <c r="I13" s="12" t="s">
        <v>367</v>
      </c>
      <c r="J13" s="12" t="s">
        <v>44</v>
      </c>
    </row>
    <row r="14" spans="1:13" x14ac:dyDescent="0.35">
      <c r="A14" s="6">
        <f t="shared" si="1"/>
        <v>12</v>
      </c>
      <c r="B14" s="7" t="str">
        <f>LEFT(T_Gainers[[#This Row],[Symbol]], FIND(" ", T_Gainers[[#This Row],[Symbol]]) - 1)</f>
        <v>SYM</v>
      </c>
      <c r="C14" s="6" t="str">
        <f>RIGHT(T_Gainers[[#This Row],[Symbol]],LEN(T_Gainers[[#This Row],[Symbol]])-FIND(" ",T_Gainers[[#This Row],[Symbol]]))</f>
        <v xml:space="preserve"> Symbotic Inc.</v>
      </c>
      <c r="D14" s="8" t="s">
        <v>45</v>
      </c>
      <c r="E14" s="2">
        <v>8.7999999999999995E-2</v>
      </c>
      <c r="F14" s="14">
        <v>2.42</v>
      </c>
      <c r="G14" s="27" t="str">
        <f t="shared" si="0"/>
        <v>29.93</v>
      </c>
      <c r="H14" s="12" t="s">
        <v>46</v>
      </c>
      <c r="I14" s="12" t="s">
        <v>368</v>
      </c>
      <c r="J14" s="12" t="s">
        <v>47</v>
      </c>
    </row>
    <row r="15" spans="1:13" x14ac:dyDescent="0.35">
      <c r="A15" s="6">
        <f t="shared" si="1"/>
        <v>13</v>
      </c>
      <c r="B15" s="7" t="str">
        <f>LEFT(T_Gainers[[#This Row],[Symbol]], FIND(" ", T_Gainers[[#This Row],[Symbol]]) - 1)</f>
        <v>DNLI</v>
      </c>
      <c r="C15" s="6" t="str">
        <f>RIGHT(T_Gainers[[#This Row],[Symbol]],LEN(T_Gainers[[#This Row],[Symbol]])-FIND(" ",T_Gainers[[#This Row],[Symbol]]))</f>
        <v xml:space="preserve"> Denali Therapeutics Inc.</v>
      </c>
      <c r="D15" s="8" t="s">
        <v>48</v>
      </c>
      <c r="E15" s="2">
        <v>8.7800000000000003E-2</v>
      </c>
      <c r="F15" s="14">
        <v>2.2599999999999998</v>
      </c>
      <c r="G15" s="27" t="str">
        <f t="shared" si="0"/>
        <v>28.00</v>
      </c>
      <c r="H15" s="12" t="s">
        <v>49</v>
      </c>
      <c r="I15" s="12" t="s">
        <v>369</v>
      </c>
      <c r="J15" s="12" t="s">
        <v>50</v>
      </c>
    </row>
    <row r="16" spans="1:13" x14ac:dyDescent="0.35">
      <c r="A16" s="6">
        <f t="shared" si="1"/>
        <v>14</v>
      </c>
      <c r="B16" s="7" t="str">
        <f>LEFT(T_Gainers[[#This Row],[Symbol]], FIND(" ", T_Gainers[[#This Row],[Symbol]]) - 1)</f>
        <v>IONQ</v>
      </c>
      <c r="C16" s="6" t="str">
        <f>RIGHT(T_Gainers[[#This Row],[Symbol]],LEN(T_Gainers[[#This Row],[Symbol]])-FIND(" ",T_Gainers[[#This Row],[Symbol]]))</f>
        <v xml:space="preserve"> IonQ, Inc.</v>
      </c>
      <c r="D16" s="8" t="s">
        <v>51</v>
      </c>
      <c r="E16" s="2">
        <v>8.6599999999999996E-2</v>
      </c>
      <c r="F16" s="14">
        <v>0.85</v>
      </c>
      <c r="G16" s="27" t="str">
        <f t="shared" si="0"/>
        <v>10.66</v>
      </c>
      <c r="H16" s="12" t="s">
        <v>52</v>
      </c>
      <c r="I16" s="12" t="s">
        <v>53</v>
      </c>
      <c r="J16" s="12" t="s">
        <v>54</v>
      </c>
    </row>
    <row r="17" spans="1:10" x14ac:dyDescent="0.35">
      <c r="A17" s="6">
        <f t="shared" si="1"/>
        <v>15</v>
      </c>
      <c r="B17" s="7" t="str">
        <f>LEFT(T_Gainers[[#This Row],[Symbol]], FIND(" ", T_Gainers[[#This Row],[Symbol]]) - 1)</f>
        <v>RIOT</v>
      </c>
      <c r="C17" s="7" t="str">
        <f>RIGHT(T_Gainers[[#This Row],[Symbol]],LEN(T_Gainers[[#This Row],[Symbol]])-FIND(" ",T_Gainers[[#This Row],[Symbol]]))</f>
        <v xml:space="preserve"> Riot Platforms, Inc.</v>
      </c>
      <c r="D17" s="5" t="s">
        <v>55</v>
      </c>
      <c r="E17" s="2">
        <v>8.6599999999999996E-2</v>
      </c>
      <c r="F17" s="14">
        <v>0.67</v>
      </c>
      <c r="G17" s="27" t="str">
        <f t="shared" si="0"/>
        <v>8.41</v>
      </c>
      <c r="H17" s="12" t="s">
        <v>56</v>
      </c>
      <c r="I17" s="12" t="s">
        <v>370</v>
      </c>
      <c r="J17" s="12" t="s">
        <v>57</v>
      </c>
    </row>
    <row r="18" spans="1:10" x14ac:dyDescent="0.35">
      <c r="A18" s="6">
        <f t="shared" si="1"/>
        <v>16</v>
      </c>
      <c r="B18" s="7" t="str">
        <f>LEFT(T_Gainers[[#This Row],[Symbol]], FIND(" ", T_Gainers[[#This Row],[Symbol]]) - 1)</f>
        <v>EVGO</v>
      </c>
      <c r="C18" s="7" t="str">
        <f>RIGHT(T_Gainers[[#This Row],[Symbol]],LEN(T_Gainers[[#This Row],[Symbol]])-FIND(" ",T_Gainers[[#This Row],[Symbol]]))</f>
        <v xml:space="preserve"> EVgo, Inc.</v>
      </c>
      <c r="D18" s="5" t="s">
        <v>58</v>
      </c>
      <c r="E18" s="2">
        <v>8.0699999999999994E-2</v>
      </c>
      <c r="F18" s="14">
        <v>0.54</v>
      </c>
      <c r="G18" s="27" t="str">
        <f t="shared" si="0"/>
        <v>7.23</v>
      </c>
      <c r="H18" s="12" t="s">
        <v>59</v>
      </c>
      <c r="I18" s="12" t="s">
        <v>371</v>
      </c>
      <c r="J18" s="12" t="s">
        <v>60</v>
      </c>
    </row>
    <row r="19" spans="1:10" x14ac:dyDescent="0.35">
      <c r="A19" s="6">
        <f t="shared" si="1"/>
        <v>17</v>
      </c>
      <c r="B19" s="7" t="str">
        <f>LEFT(T_Gainers[[#This Row],[Symbol]], FIND(" ", T_Gainers[[#This Row],[Symbol]]) - 1)</f>
        <v>SLNO</v>
      </c>
      <c r="C19" s="7" t="str">
        <f>RIGHT(T_Gainers[[#This Row],[Symbol]],LEN(T_Gainers[[#This Row],[Symbol]])-FIND(" ",T_Gainers[[#This Row],[Symbol]]))</f>
        <v xml:space="preserve"> Soleno Therapeutics, Inc.</v>
      </c>
      <c r="D19" s="5" t="s">
        <v>61</v>
      </c>
      <c r="E19" s="2">
        <v>7.7799999999999994E-2</v>
      </c>
      <c r="F19" s="14">
        <v>3.95</v>
      </c>
      <c r="G19" s="27" t="str">
        <f t="shared" si="0"/>
        <v>54.75</v>
      </c>
      <c r="H19" s="12" t="s">
        <v>62</v>
      </c>
      <c r="I19" s="12" t="s">
        <v>63</v>
      </c>
      <c r="J19" s="12" t="s">
        <v>64</v>
      </c>
    </row>
    <row r="20" spans="1:10" x14ac:dyDescent="0.35">
      <c r="A20" s="6">
        <f t="shared" si="1"/>
        <v>18</v>
      </c>
      <c r="B20" s="7" t="str">
        <f>LEFT(T_Gainers[[#This Row],[Symbol]], FIND(" ", T_Gainers[[#This Row],[Symbol]]) - 1)</f>
        <v>PAY</v>
      </c>
      <c r="C20" s="7" t="str">
        <f>RIGHT(T_Gainers[[#This Row],[Symbol]],LEN(T_Gainers[[#This Row],[Symbol]])-FIND(" ",T_Gainers[[#This Row],[Symbol]]))</f>
        <v xml:space="preserve"> Paymentus Holdings, Inc.</v>
      </c>
      <c r="D20" s="5" t="s">
        <v>65</v>
      </c>
      <c r="E20" s="2">
        <v>7.7100000000000002E-2</v>
      </c>
      <c r="F20" s="14">
        <v>1.63</v>
      </c>
      <c r="G20" s="27" t="str">
        <f t="shared" si="0"/>
        <v>22.78</v>
      </c>
      <c r="H20" s="12" t="s">
        <v>66</v>
      </c>
      <c r="I20" s="12" t="s">
        <v>67</v>
      </c>
      <c r="J20" s="12" t="s">
        <v>68</v>
      </c>
    </row>
    <row r="21" spans="1:10" x14ac:dyDescent="0.35">
      <c r="A21" s="6">
        <f t="shared" si="1"/>
        <v>19</v>
      </c>
      <c r="B21" s="7" t="str">
        <f>LEFT(T_Gainers[[#This Row],[Symbol]], FIND(" ", T_Gainers[[#This Row],[Symbol]]) - 1)</f>
        <v>NYCB</v>
      </c>
      <c r="C21" s="7" t="str">
        <f>RIGHT(T_Gainers[[#This Row],[Symbol]],LEN(T_Gainers[[#This Row],[Symbol]])-FIND(" ",T_Gainers[[#This Row],[Symbol]]))</f>
        <v xml:space="preserve"> New York Community Bancorp, Inc.</v>
      </c>
      <c r="D21" s="5" t="s">
        <v>69</v>
      </c>
      <c r="E21" s="2">
        <v>7.5800000000000006E-2</v>
      </c>
      <c r="F21" s="14">
        <v>0.83</v>
      </c>
      <c r="G21" s="27" t="str">
        <f t="shared" si="0"/>
        <v>11.78</v>
      </c>
      <c r="H21" s="12" t="s">
        <v>70</v>
      </c>
      <c r="I21" s="12" t="s">
        <v>71</v>
      </c>
      <c r="J21" s="12" t="s">
        <v>72</v>
      </c>
    </row>
    <row r="22" spans="1:10" x14ac:dyDescent="0.35">
      <c r="A22" s="6">
        <f t="shared" si="1"/>
        <v>20</v>
      </c>
      <c r="B22" s="7" t="str">
        <f>LEFT(T_Gainers[[#This Row],[Symbol]], FIND(" ", T_Gainers[[#This Row],[Symbol]]) - 1)</f>
        <v>COIN</v>
      </c>
      <c r="C22" s="7" t="str">
        <f>RIGHT(T_Gainers[[#This Row],[Symbol]],LEN(T_Gainers[[#This Row],[Symbol]])-FIND(" ",T_Gainers[[#This Row],[Symbol]]))</f>
        <v xml:space="preserve"> Coinbase Global, Inc.</v>
      </c>
      <c r="D22" s="5" t="s">
        <v>73</v>
      </c>
      <c r="E22" s="2">
        <v>7.3700000000000002E-2</v>
      </c>
      <c r="F22" s="14">
        <v>12.11</v>
      </c>
      <c r="G22" s="27" t="str">
        <f t="shared" si="0"/>
        <v>176.38</v>
      </c>
      <c r="H22" s="12" t="s">
        <v>74</v>
      </c>
      <c r="I22" s="12" t="s">
        <v>372</v>
      </c>
      <c r="J22" s="12" t="s">
        <v>75</v>
      </c>
    </row>
    <row r="23" spans="1:10" x14ac:dyDescent="0.35">
      <c r="A23" s="6">
        <f t="shared" si="1"/>
        <v>21</v>
      </c>
      <c r="B23" s="7" t="str">
        <f>LEFT(T_Gainers[[#This Row],[Symbol]], FIND(" ", T_Gainers[[#This Row],[Symbol]]) - 1)</f>
        <v>BEAM</v>
      </c>
      <c r="C23" s="7" t="str">
        <f>RIGHT(T_Gainers[[#This Row],[Symbol]],LEN(T_Gainers[[#This Row],[Symbol]])-FIND(" ",T_Gainers[[#This Row],[Symbol]]))</f>
        <v xml:space="preserve"> Beam Therapeutics Inc.</v>
      </c>
      <c r="D23" s="5" t="s">
        <v>76</v>
      </c>
      <c r="E23" s="2">
        <v>7.3400000000000007E-2</v>
      </c>
      <c r="F23" s="14">
        <v>1.69</v>
      </c>
      <c r="G23" s="27" t="str">
        <f t="shared" si="0"/>
        <v>24.72</v>
      </c>
      <c r="H23" s="12" t="s">
        <v>77</v>
      </c>
      <c r="I23" s="12" t="s">
        <v>373</v>
      </c>
      <c r="J23" s="12" t="s">
        <v>78</v>
      </c>
    </row>
    <row r="24" spans="1:10" x14ac:dyDescent="0.35">
      <c r="A24" s="6">
        <f t="shared" si="1"/>
        <v>22</v>
      </c>
      <c r="B24" s="7" t="str">
        <f>LEFT(T_Gainers[[#This Row],[Symbol]], FIND(" ", T_Gainers[[#This Row],[Symbol]]) - 1)</f>
        <v>SMMT</v>
      </c>
      <c r="C24" s="7" t="str">
        <f>RIGHT(T_Gainers[[#This Row],[Symbol]],LEN(T_Gainers[[#This Row],[Symbol]])-FIND(" ",T_Gainers[[#This Row],[Symbol]]))</f>
        <v xml:space="preserve"> Summit Therapeutics Inc.</v>
      </c>
      <c r="D24" s="5" t="s">
        <v>79</v>
      </c>
      <c r="E24" s="2">
        <v>7.1999999999999995E-2</v>
      </c>
      <c r="F24" s="14">
        <v>1.34</v>
      </c>
      <c r="G24" s="27" t="str">
        <f t="shared" si="0"/>
        <v>19.95</v>
      </c>
      <c r="H24" s="12" t="s">
        <v>80</v>
      </c>
      <c r="I24" s="12" t="s">
        <v>374</v>
      </c>
      <c r="J24" s="12" t="s">
        <v>81</v>
      </c>
    </row>
    <row r="25" spans="1:10" x14ac:dyDescent="0.35">
      <c r="A25" s="6">
        <f t="shared" si="1"/>
        <v>23</v>
      </c>
      <c r="B25" s="7" t="str">
        <f>LEFT(T_Gainers[[#This Row],[Symbol]], FIND(" ", T_Gainers[[#This Row],[Symbol]]) - 1)</f>
        <v>TWST</v>
      </c>
      <c r="C25" s="7" t="str">
        <f>RIGHT(T_Gainers[[#This Row],[Symbol]],LEN(T_Gainers[[#This Row],[Symbol]])-FIND(" ",T_Gainers[[#This Row],[Symbol]]))</f>
        <v xml:space="preserve"> Twist Bioscience Corporation</v>
      </c>
      <c r="D25" s="5" t="s">
        <v>82</v>
      </c>
      <c r="E25" s="2">
        <v>6.7699999999999996E-2</v>
      </c>
      <c r="F25" s="14">
        <v>2.82</v>
      </c>
      <c r="G25" s="27" t="str">
        <f t="shared" si="0"/>
        <v>44.47</v>
      </c>
      <c r="H25" s="12" t="s">
        <v>83</v>
      </c>
      <c r="I25" s="12" t="s">
        <v>375</v>
      </c>
      <c r="J25" s="12" t="s">
        <v>84</v>
      </c>
    </row>
    <row r="26" spans="1:10" x14ac:dyDescent="0.35">
      <c r="A26" s="6">
        <f t="shared" si="1"/>
        <v>24</v>
      </c>
      <c r="B26" s="7" t="str">
        <f>LEFT(T_Gainers[[#This Row],[Symbol]], FIND(" ", T_Gainers[[#This Row],[Symbol]]) - 1)</f>
        <v>GXO</v>
      </c>
      <c r="C26" s="7" t="str">
        <f>RIGHT(T_Gainers[[#This Row],[Symbol]],LEN(T_Gainers[[#This Row],[Symbol]])-FIND(" ",T_Gainers[[#This Row],[Symbol]]))</f>
        <v xml:space="preserve"> GXO Logistics, Inc.</v>
      </c>
      <c r="D26" s="5" t="s">
        <v>85</v>
      </c>
      <c r="E26" s="2">
        <v>6.7299999999999999E-2</v>
      </c>
      <c r="F26" s="14">
        <v>3.91</v>
      </c>
      <c r="G26" s="27" t="str">
        <f t="shared" si="0"/>
        <v>61.98</v>
      </c>
      <c r="H26" s="12" t="s">
        <v>86</v>
      </c>
      <c r="I26" s="12" t="s">
        <v>87</v>
      </c>
      <c r="J26" s="12" t="s">
        <v>88</v>
      </c>
    </row>
    <row r="27" spans="1:10" x14ac:dyDescent="0.35">
      <c r="A27" s="6">
        <f t="shared" si="1"/>
        <v>25</v>
      </c>
      <c r="B27" s="7" t="str">
        <f>LEFT(T_Gainers[[#This Row],[Symbol]], FIND(" ", T_Gainers[[#This Row],[Symbol]]) - 1)</f>
        <v>RXO</v>
      </c>
      <c r="C27" s="7" t="str">
        <f>RIGHT(T_Gainers[[#This Row],[Symbol]],LEN(T_Gainers[[#This Row],[Symbol]])-FIND(" ",T_Gainers[[#This Row],[Symbol]]))</f>
        <v xml:space="preserve"> RXO, Inc.</v>
      </c>
      <c r="D27" s="5" t="s">
        <v>89</v>
      </c>
      <c r="E27" s="2">
        <v>6.4899999999999999E-2</v>
      </c>
      <c r="F27" s="14">
        <v>1.82</v>
      </c>
      <c r="G27" s="27" t="str">
        <f t="shared" si="0"/>
        <v>29.88</v>
      </c>
      <c r="H27" s="12" t="s">
        <v>90</v>
      </c>
      <c r="I27" s="12" t="s">
        <v>91</v>
      </c>
      <c r="J27" s="12" t="s">
        <v>92</v>
      </c>
    </row>
    <row r="28" spans="1:10" x14ac:dyDescent="0.35">
      <c r="A28" s="6">
        <f t="shared" si="1"/>
        <v>26</v>
      </c>
      <c r="B28" s="7" t="str">
        <f>LEFT(T_Gainers[[#This Row],[Symbol]], FIND(" ", T_Gainers[[#This Row],[Symbol]]) - 1)</f>
        <v>POWL</v>
      </c>
      <c r="C28" s="7" t="str">
        <f>RIGHT(T_Gainers[[#This Row],[Symbol]],LEN(T_Gainers[[#This Row],[Symbol]])-FIND(" ",T_Gainers[[#This Row],[Symbol]]))</f>
        <v xml:space="preserve"> Powell Industries, Inc.</v>
      </c>
      <c r="D28" s="5" t="s">
        <v>93</v>
      </c>
      <c r="E28" s="2">
        <v>6.4500000000000002E-2</v>
      </c>
      <c r="F28" s="14">
        <v>15.94</v>
      </c>
      <c r="G28" s="27" t="str">
        <f t="shared" si="0"/>
        <v>262.97</v>
      </c>
      <c r="H28" s="12" t="s">
        <v>94</v>
      </c>
      <c r="I28" s="12" t="s">
        <v>376</v>
      </c>
      <c r="J28" s="12" t="s">
        <v>95</v>
      </c>
    </row>
    <row r="29" spans="1:10" x14ac:dyDescent="0.35">
      <c r="A29" s="6">
        <f t="shared" si="1"/>
        <v>27</v>
      </c>
      <c r="B29" s="7" t="str">
        <f>LEFT(T_Gainers[[#This Row],[Symbol]], FIND(" ", T_Gainers[[#This Row],[Symbol]]) - 1)</f>
        <v>EWTX</v>
      </c>
      <c r="C29" s="7" t="str">
        <f>RIGHT(T_Gainers[[#This Row],[Symbol]],LEN(T_Gainers[[#This Row],[Symbol]])-FIND(" ",T_Gainers[[#This Row],[Symbol]]))</f>
        <v xml:space="preserve"> Edgewise Therapeutics, Inc.</v>
      </c>
      <c r="D29" s="5" t="s">
        <v>96</v>
      </c>
      <c r="E29" s="2">
        <v>6.4399999999999999E-2</v>
      </c>
      <c r="F29" s="14">
        <v>1.93</v>
      </c>
      <c r="G29" s="27" t="str">
        <f t="shared" si="0"/>
        <v>31.92</v>
      </c>
      <c r="H29" s="12" t="s">
        <v>97</v>
      </c>
      <c r="I29" s="12" t="s">
        <v>377</v>
      </c>
      <c r="J29" s="12" t="s">
        <v>98</v>
      </c>
    </row>
    <row r="30" spans="1:10" x14ac:dyDescent="0.35">
      <c r="A30" s="6">
        <f t="shared" si="1"/>
        <v>28</v>
      </c>
      <c r="B30" s="7" t="str">
        <f>LEFT(T_Gainers[[#This Row],[Symbol]], FIND(" ", T_Gainers[[#This Row],[Symbol]]) - 1)</f>
        <v>ZIM</v>
      </c>
      <c r="C30" s="7" t="str">
        <f>RIGHT(T_Gainers[[#This Row],[Symbol]],LEN(T_Gainers[[#This Row],[Symbol]])-FIND(" ",T_Gainers[[#This Row],[Symbol]]))</f>
        <v xml:space="preserve"> ZIM Integrated Shipping Services Ltd.</v>
      </c>
      <c r="D30" s="5" t="s">
        <v>99</v>
      </c>
      <c r="E30" s="2">
        <v>6.3899999999999998E-2</v>
      </c>
      <c r="F30" s="14">
        <v>1.19</v>
      </c>
      <c r="G30" s="27" t="str">
        <f t="shared" si="0"/>
        <v>19.80</v>
      </c>
      <c r="H30" s="12" t="s">
        <v>100</v>
      </c>
      <c r="I30" s="12" t="s">
        <v>101</v>
      </c>
      <c r="J30" s="12" t="s">
        <v>102</v>
      </c>
    </row>
    <row r="31" spans="1:10" x14ac:dyDescent="0.35">
      <c r="A31" s="6">
        <f t="shared" si="1"/>
        <v>29</v>
      </c>
      <c r="B31" s="7" t="str">
        <f>LEFT(T_Gainers[[#This Row],[Symbol]], FIND(" ", T_Gainers[[#This Row],[Symbol]]) - 1)</f>
        <v>VERA</v>
      </c>
      <c r="C31" s="7" t="str">
        <f>RIGHT(T_Gainers[[#This Row],[Symbol]],LEN(T_Gainers[[#This Row],[Symbol]])-FIND(" ",T_Gainers[[#This Row],[Symbol]]))</f>
        <v xml:space="preserve"> Vera Therapeutics, Inc.</v>
      </c>
      <c r="D31" s="5" t="s">
        <v>103</v>
      </c>
      <c r="E31" s="2">
        <v>6.2700000000000006E-2</v>
      </c>
      <c r="F31" s="14">
        <v>2.52</v>
      </c>
      <c r="G31" s="27" t="str">
        <f t="shared" si="0"/>
        <v>42.72</v>
      </c>
      <c r="H31" s="12" t="s">
        <v>104</v>
      </c>
      <c r="I31" s="12" t="s">
        <v>378</v>
      </c>
      <c r="J31" s="12" t="s">
        <v>105</v>
      </c>
    </row>
    <row r="32" spans="1:10" x14ac:dyDescent="0.35">
      <c r="A32" s="6">
        <f t="shared" si="1"/>
        <v>30</v>
      </c>
      <c r="B32" s="7" t="str">
        <f>LEFT(T_Gainers[[#This Row],[Symbol]], FIND(" ", T_Gainers[[#This Row],[Symbol]]) - 1)</f>
        <v>CAMT</v>
      </c>
      <c r="C32" s="7" t="str">
        <f>RIGHT(T_Gainers[[#This Row],[Symbol]],LEN(T_Gainers[[#This Row],[Symbol]])-FIND(" ",T_Gainers[[#This Row],[Symbol]]))</f>
        <v xml:space="preserve"> Camtek Ltd.</v>
      </c>
      <c r="D32" s="5" t="s">
        <v>106</v>
      </c>
      <c r="E32" s="2">
        <v>6.2199999999999998E-2</v>
      </c>
      <c r="F32" s="14">
        <v>4.93</v>
      </c>
      <c r="G32" s="27" t="str">
        <f t="shared" si="0"/>
        <v>84.16</v>
      </c>
      <c r="H32" s="12" t="s">
        <v>107</v>
      </c>
      <c r="I32" s="12" t="s">
        <v>379</v>
      </c>
      <c r="J32" s="12" t="s">
        <v>108</v>
      </c>
    </row>
    <row r="33" spans="1:10" x14ac:dyDescent="0.35">
      <c r="A33" s="6">
        <f t="shared" si="1"/>
        <v>31</v>
      </c>
      <c r="B33" s="7" t="str">
        <f>LEFT(T_Gainers[[#This Row],[Symbol]], FIND(" ", T_Gainers[[#This Row],[Symbol]]) - 1)</f>
        <v>TEM</v>
      </c>
      <c r="C33" s="7" t="str">
        <f>RIGHT(T_Gainers[[#This Row],[Symbol]],LEN(T_Gainers[[#This Row],[Symbol]])-FIND(" ",T_Gainers[[#This Row],[Symbol]]))</f>
        <v xml:space="preserve"> Tempus AI, Inc</v>
      </c>
      <c r="D33" s="5" t="s">
        <v>109</v>
      </c>
      <c r="E33" s="2">
        <v>6.1800000000000001E-2</v>
      </c>
      <c r="F33" s="14">
        <v>2.84</v>
      </c>
      <c r="G33" s="27" t="str">
        <f t="shared" si="0"/>
        <v>48.82</v>
      </c>
      <c r="H33" s="12" t="s">
        <v>110</v>
      </c>
      <c r="I33" s="12" t="s">
        <v>380</v>
      </c>
      <c r="J33" s="12" t="s">
        <v>111</v>
      </c>
    </row>
    <row r="34" spans="1:10" x14ac:dyDescent="0.35">
      <c r="A34" s="6">
        <f t="shared" si="1"/>
        <v>32</v>
      </c>
      <c r="B34" s="7" t="str">
        <f>LEFT(T_Gainers[[#This Row],[Symbol]], FIND(" ", T_Gainers[[#This Row],[Symbol]]) - 1)</f>
        <v>AX</v>
      </c>
      <c r="C34" s="7" t="str">
        <f>RIGHT(T_Gainers[[#This Row],[Symbol]],LEN(T_Gainers[[#This Row],[Symbol]])-FIND(" ",T_Gainers[[#This Row],[Symbol]]))</f>
        <v xml:space="preserve"> Axos Financial, Inc.</v>
      </c>
      <c r="D34" s="5" t="s">
        <v>112</v>
      </c>
      <c r="E34" s="2">
        <v>6.1600000000000002E-2</v>
      </c>
      <c r="F34" s="14">
        <v>3.72</v>
      </c>
      <c r="G34" s="27" t="str">
        <f t="shared" si="0"/>
        <v>64.13</v>
      </c>
      <c r="H34" s="12" t="s">
        <v>113</v>
      </c>
      <c r="I34" s="12" t="s">
        <v>114</v>
      </c>
      <c r="J34" s="12" t="s">
        <v>115</v>
      </c>
    </row>
    <row r="35" spans="1:10" x14ac:dyDescent="0.35">
      <c r="A35" s="6">
        <f t="shared" si="1"/>
        <v>33</v>
      </c>
      <c r="B35" s="7" t="str">
        <f>LEFT(T_Gainers[[#This Row],[Symbol]], FIND(" ", T_Gainers[[#This Row],[Symbol]]) - 1)</f>
        <v>SITE</v>
      </c>
      <c r="C35" s="7" t="str">
        <f>RIGHT(T_Gainers[[#This Row],[Symbol]],LEN(T_Gainers[[#This Row],[Symbol]])-FIND(" ",T_Gainers[[#This Row],[Symbol]]))</f>
        <v xml:space="preserve"> SiteOne Landscape Supply, Inc.</v>
      </c>
      <c r="D35" s="5" t="s">
        <v>116</v>
      </c>
      <c r="E35" s="2">
        <v>6.0600000000000001E-2</v>
      </c>
      <c r="F35" s="14">
        <v>8.4700000000000006</v>
      </c>
      <c r="G35" s="27" t="str">
        <f t="shared" ref="G35:G66" si="2">LEFT(H35, FIND(" ", H35)-1)</f>
        <v>148.32</v>
      </c>
      <c r="H35" s="12" t="s">
        <v>117</v>
      </c>
      <c r="I35" s="12" t="s">
        <v>118</v>
      </c>
      <c r="J35" s="12" t="s">
        <v>119</v>
      </c>
    </row>
    <row r="36" spans="1:10" x14ac:dyDescent="0.35">
      <c r="A36" s="6">
        <f t="shared" si="1"/>
        <v>34</v>
      </c>
      <c r="B36" s="7" t="str">
        <f>LEFT(T_Gainers[[#This Row],[Symbol]], FIND(" ", T_Gainers[[#This Row],[Symbol]]) - 1)</f>
        <v>STR</v>
      </c>
      <c r="C36" s="7" t="str">
        <f>RIGHT(T_Gainers[[#This Row],[Symbol]],LEN(T_Gainers[[#This Row],[Symbol]])-FIND(" ",T_Gainers[[#This Row],[Symbol]]))</f>
        <v xml:space="preserve"> Sitio Royalties Corp.</v>
      </c>
      <c r="D36" s="5" t="s">
        <v>120</v>
      </c>
      <c r="E36" s="2">
        <v>5.9700000000000003E-2</v>
      </c>
      <c r="F36" s="14">
        <v>1.33</v>
      </c>
      <c r="G36" s="27" t="str">
        <f t="shared" si="2"/>
        <v>23.60</v>
      </c>
      <c r="H36" s="12" t="s">
        <v>121</v>
      </c>
      <c r="I36" s="12" t="s">
        <v>122</v>
      </c>
      <c r="J36" s="12" t="s">
        <v>123</v>
      </c>
    </row>
    <row r="37" spans="1:10" x14ac:dyDescent="0.35">
      <c r="A37" s="6">
        <f t="shared" si="1"/>
        <v>35</v>
      </c>
      <c r="B37" s="7" t="str">
        <f>LEFT(T_Gainers[[#This Row],[Symbol]], FIND(" ", T_Gainers[[#This Row],[Symbol]]) - 1)</f>
        <v>GWW</v>
      </c>
      <c r="C37" s="7" t="str">
        <f>RIGHT(T_Gainers[[#This Row],[Symbol]],LEN(T_Gainers[[#This Row],[Symbol]])-FIND(" ",T_Gainers[[#This Row],[Symbol]]))</f>
        <v xml:space="preserve"> W.W. Grainger, Inc.</v>
      </c>
      <c r="D37" s="5" t="s">
        <v>124</v>
      </c>
      <c r="E37" s="2">
        <v>5.8400000000000001E-2</v>
      </c>
      <c r="F37" s="14">
        <v>59.88</v>
      </c>
      <c r="G37" s="27" t="str">
        <f t="shared" si="2"/>
        <v>1,085.04</v>
      </c>
      <c r="H37" s="12" t="s">
        <v>125</v>
      </c>
      <c r="I37" s="12" t="s">
        <v>126</v>
      </c>
      <c r="J37" s="12" t="s">
        <v>127</v>
      </c>
    </row>
    <row r="38" spans="1:10" x14ac:dyDescent="0.35">
      <c r="A38" s="6">
        <f t="shared" si="1"/>
        <v>36</v>
      </c>
      <c r="B38" s="7" t="str">
        <f>LEFT(T_Gainers[[#This Row],[Symbol]], FIND(" ", T_Gainers[[#This Row],[Symbol]]) - 1)</f>
        <v>COHR</v>
      </c>
      <c r="C38" s="7" t="str">
        <f>RIGHT(T_Gainers[[#This Row],[Symbol]],LEN(T_Gainers[[#This Row],[Symbol]])-FIND(" ",T_Gainers[[#This Row],[Symbol]]))</f>
        <v xml:space="preserve"> Coherent Corp.</v>
      </c>
      <c r="D38" s="5" t="s">
        <v>128</v>
      </c>
      <c r="E38" s="2">
        <v>5.6399999999999999E-2</v>
      </c>
      <c r="F38" s="14">
        <v>5.59</v>
      </c>
      <c r="G38" s="27" t="str">
        <f t="shared" si="2"/>
        <v>104.62</v>
      </c>
      <c r="H38" s="12" t="s">
        <v>129</v>
      </c>
      <c r="I38" s="12" t="s">
        <v>130</v>
      </c>
      <c r="J38" s="12" t="s">
        <v>131</v>
      </c>
    </row>
    <row r="39" spans="1:10" x14ac:dyDescent="0.35">
      <c r="A39" s="6">
        <f t="shared" si="1"/>
        <v>37</v>
      </c>
      <c r="B39" s="7" t="str">
        <f>LEFT(T_Gainers[[#This Row],[Symbol]], FIND(" ", T_Gainers[[#This Row],[Symbol]]) - 1)</f>
        <v>ALKS</v>
      </c>
      <c r="C39" s="7" t="str">
        <f>RIGHT(T_Gainers[[#This Row],[Symbol]],LEN(T_Gainers[[#This Row],[Symbol]])-FIND(" ",T_Gainers[[#This Row],[Symbol]]))</f>
        <v xml:space="preserve"> Alkermes plc</v>
      </c>
      <c r="D39" s="5" t="s">
        <v>132</v>
      </c>
      <c r="E39" s="2">
        <v>5.6300000000000003E-2</v>
      </c>
      <c r="F39" s="14">
        <v>1.54</v>
      </c>
      <c r="G39" s="27" t="str">
        <f t="shared" si="2"/>
        <v>28.91</v>
      </c>
      <c r="H39" s="12" t="s">
        <v>133</v>
      </c>
      <c r="I39" s="12" t="s">
        <v>134</v>
      </c>
      <c r="J39" s="12" t="s">
        <v>135</v>
      </c>
    </row>
    <row r="40" spans="1:10" x14ac:dyDescent="0.35">
      <c r="A40" s="6">
        <f t="shared" si="1"/>
        <v>38</v>
      </c>
      <c r="B40" s="7" t="str">
        <f>LEFT(T_Gainers[[#This Row],[Symbol]], FIND(" ", T_Gainers[[#This Row],[Symbol]]) - 1)</f>
        <v>APGE</v>
      </c>
      <c r="C40" s="7" t="str">
        <f>RIGHT(T_Gainers[[#This Row],[Symbol]],LEN(T_Gainers[[#This Row],[Symbol]])-FIND(" ",T_Gainers[[#This Row],[Symbol]]))</f>
        <v xml:space="preserve"> Apogee Therapeutics, Inc.</v>
      </c>
      <c r="D40" s="5" t="s">
        <v>136</v>
      </c>
      <c r="E40" s="2">
        <v>5.62E-2</v>
      </c>
      <c r="F40" s="14">
        <v>3.03</v>
      </c>
      <c r="G40" s="27" t="str">
        <f t="shared" si="2"/>
        <v>56.94</v>
      </c>
      <c r="H40" s="12" t="s">
        <v>137</v>
      </c>
      <c r="I40" s="12" t="s">
        <v>381</v>
      </c>
      <c r="J40" s="12" t="s">
        <v>138</v>
      </c>
    </row>
    <row r="41" spans="1:10" x14ac:dyDescent="0.35">
      <c r="A41" s="6">
        <f t="shared" si="1"/>
        <v>39</v>
      </c>
      <c r="B41" s="7" t="str">
        <f>LEFT(T_Gainers[[#This Row],[Symbol]], FIND(" ", T_Gainers[[#This Row],[Symbol]]) - 1)</f>
        <v>WFC</v>
      </c>
      <c r="C41" s="7" t="str">
        <f>RIGHT(T_Gainers[[#This Row],[Symbol]],LEN(T_Gainers[[#This Row],[Symbol]])-FIND(" ",T_Gainers[[#This Row],[Symbol]]))</f>
        <v xml:space="preserve"> Wells Fargo &amp; Company</v>
      </c>
      <c r="D41" s="5" t="s">
        <v>139</v>
      </c>
      <c r="E41" s="2">
        <v>5.6099999999999997E-2</v>
      </c>
      <c r="F41" s="14">
        <v>3.24</v>
      </c>
      <c r="G41" s="27" t="str">
        <f t="shared" si="2"/>
        <v>60.99</v>
      </c>
      <c r="H41" s="12" t="s">
        <v>140</v>
      </c>
      <c r="I41" s="12" t="s">
        <v>141</v>
      </c>
      <c r="J41" s="12" t="s">
        <v>142</v>
      </c>
    </row>
    <row r="42" spans="1:10" x14ac:dyDescent="0.35">
      <c r="A42" s="6">
        <f t="shared" si="1"/>
        <v>40</v>
      </c>
      <c r="B42" s="7" t="str">
        <f>LEFT(T_Gainers[[#This Row],[Symbol]], FIND(" ", T_Gainers[[#This Row],[Symbol]]) - 1)</f>
        <v>TPL</v>
      </c>
      <c r="C42" s="7" t="str">
        <f>RIGHT(T_Gainers[[#This Row],[Symbol]],LEN(T_Gainers[[#This Row],[Symbol]])-FIND(" ",T_Gainers[[#This Row],[Symbol]]))</f>
        <v xml:space="preserve"> Texas Pacific Land Corporation</v>
      </c>
      <c r="D42" s="5" t="s">
        <v>143</v>
      </c>
      <c r="E42" s="2">
        <v>5.6099999999999997E-2</v>
      </c>
      <c r="F42" s="14">
        <v>56.22</v>
      </c>
      <c r="G42" s="27" t="str">
        <f t="shared" si="2"/>
        <v>1,058.42</v>
      </c>
      <c r="H42" s="12" t="s">
        <v>144</v>
      </c>
      <c r="I42" s="12" t="s">
        <v>145</v>
      </c>
      <c r="J42" s="12" t="s">
        <v>146</v>
      </c>
    </row>
    <row r="43" spans="1:10" x14ac:dyDescent="0.35">
      <c r="A43" s="6">
        <f t="shared" si="1"/>
        <v>41</v>
      </c>
      <c r="B43" s="7" t="str">
        <f>LEFT(T_Gainers[[#This Row],[Symbol]], FIND(" ", T_Gainers[[#This Row],[Symbol]]) - 1)</f>
        <v>MARA</v>
      </c>
      <c r="C43" s="7" t="str">
        <f>RIGHT(T_Gainers[[#This Row],[Symbol]],LEN(T_Gainers[[#This Row],[Symbol]])-FIND(" ",T_Gainers[[#This Row],[Symbol]]))</f>
        <v xml:space="preserve"> MARA Holdings, Inc.</v>
      </c>
      <c r="D43" s="5" t="s">
        <v>147</v>
      </c>
      <c r="E43" s="2">
        <v>5.5800000000000002E-2</v>
      </c>
      <c r="F43" s="14">
        <v>0.85</v>
      </c>
      <c r="G43" s="27" t="str">
        <f t="shared" si="2"/>
        <v>16.08</v>
      </c>
      <c r="H43" s="12" t="s">
        <v>148</v>
      </c>
      <c r="I43" s="12" t="s">
        <v>382</v>
      </c>
      <c r="J43" s="12" t="s">
        <v>149</v>
      </c>
    </row>
    <row r="44" spans="1:10" x14ac:dyDescent="0.35">
      <c r="A44" s="6">
        <f t="shared" si="1"/>
        <v>42</v>
      </c>
      <c r="B44" s="7" t="str">
        <f>LEFT(T_Gainers[[#This Row],[Symbol]], FIND(" ", T_Gainers[[#This Row],[Symbol]]) - 1)</f>
        <v>CLDX</v>
      </c>
      <c r="C44" s="7" t="str">
        <f>RIGHT(T_Gainers[[#This Row],[Symbol]],LEN(T_Gainers[[#This Row],[Symbol]])-FIND(" ",T_Gainers[[#This Row],[Symbol]]))</f>
        <v xml:space="preserve"> Celldex Therapeutics, Inc.</v>
      </c>
      <c r="D44" s="5" t="s">
        <v>150</v>
      </c>
      <c r="E44" s="2">
        <v>5.5300000000000002E-2</v>
      </c>
      <c r="F44" s="14">
        <v>1.64</v>
      </c>
      <c r="G44" s="27" t="str">
        <f t="shared" si="2"/>
        <v>31.32</v>
      </c>
      <c r="H44" s="12" t="s">
        <v>151</v>
      </c>
      <c r="I44" s="12" t="s">
        <v>383</v>
      </c>
      <c r="J44" s="12" t="s">
        <v>152</v>
      </c>
    </row>
    <row r="45" spans="1:10" x14ac:dyDescent="0.35">
      <c r="A45" s="6">
        <f t="shared" si="1"/>
        <v>43</v>
      </c>
      <c r="B45" s="7" t="str">
        <f>LEFT(T_Gainers[[#This Row],[Symbol]], FIND(" ", T_Gainers[[#This Row],[Symbol]]) - 1)</f>
        <v>RDNT</v>
      </c>
      <c r="C45" s="7" t="str">
        <f>RIGHT(T_Gainers[[#This Row],[Symbol]],LEN(T_Gainers[[#This Row],[Symbol]])-FIND(" ",T_Gainers[[#This Row],[Symbol]]))</f>
        <v xml:space="preserve"> RadNet, Inc.</v>
      </c>
      <c r="D45" s="5" t="s">
        <v>153</v>
      </c>
      <c r="E45" s="2">
        <v>5.5199999999999999E-2</v>
      </c>
      <c r="F45" s="14">
        <v>3.59</v>
      </c>
      <c r="G45" s="27" t="str">
        <f t="shared" si="2"/>
        <v>68.58</v>
      </c>
      <c r="H45" s="12" t="s">
        <v>154</v>
      </c>
      <c r="I45" s="12" t="s">
        <v>384</v>
      </c>
      <c r="J45" s="12" t="s">
        <v>155</v>
      </c>
    </row>
    <row r="46" spans="1:10" x14ac:dyDescent="0.35">
      <c r="A46" s="6">
        <f t="shared" si="1"/>
        <v>44</v>
      </c>
      <c r="B46" s="7" t="str">
        <f>LEFT(T_Gainers[[#This Row],[Symbol]], FIND(" ", T_Gainers[[#This Row],[Symbol]]) - 1)</f>
        <v>PEN</v>
      </c>
      <c r="C46" s="7" t="str">
        <f>RIGHT(T_Gainers[[#This Row],[Symbol]],LEN(T_Gainers[[#This Row],[Symbol]])-FIND(" ",T_Gainers[[#This Row],[Symbol]]))</f>
        <v xml:space="preserve"> Penumbra, Inc.</v>
      </c>
      <c r="D46" s="5" t="s">
        <v>156</v>
      </c>
      <c r="E46" s="2">
        <v>5.5100000000000003E-2</v>
      </c>
      <c r="F46" s="14">
        <v>10.61</v>
      </c>
      <c r="G46" s="27" t="str">
        <f t="shared" si="2"/>
        <v>203.19</v>
      </c>
      <c r="H46" s="12" t="s">
        <v>157</v>
      </c>
      <c r="I46" s="12" t="s">
        <v>158</v>
      </c>
      <c r="J46" s="12" t="s">
        <v>159</v>
      </c>
    </row>
    <row r="47" spans="1:10" x14ac:dyDescent="0.35">
      <c r="A47" s="6">
        <f t="shared" si="1"/>
        <v>45</v>
      </c>
      <c r="B47" s="7" t="str">
        <f>LEFT(T_Gainers[[#This Row],[Symbol]], FIND(" ", T_Gainers[[#This Row],[Symbol]]) - 1)</f>
        <v>FLNC</v>
      </c>
      <c r="C47" s="7" t="str">
        <f>RIGHT(T_Gainers[[#This Row],[Symbol]],LEN(T_Gainers[[#This Row],[Symbol]])-FIND(" ",T_Gainers[[#This Row],[Symbol]]))</f>
        <v xml:space="preserve"> Fluence Energy, Inc.</v>
      </c>
      <c r="D47" s="5" t="s">
        <v>160</v>
      </c>
      <c r="E47" s="2">
        <v>5.4899999999999997E-2</v>
      </c>
      <c r="F47" s="14">
        <v>1.1299999999999999</v>
      </c>
      <c r="G47" s="27" t="str">
        <f t="shared" si="2"/>
        <v>21.70</v>
      </c>
      <c r="H47" s="12" t="s">
        <v>161</v>
      </c>
      <c r="I47" s="12" t="s">
        <v>162</v>
      </c>
      <c r="J47" s="12" t="s">
        <v>163</v>
      </c>
    </row>
    <row r="48" spans="1:10" x14ac:dyDescent="0.35">
      <c r="A48" s="6">
        <f t="shared" si="1"/>
        <v>46</v>
      </c>
      <c r="B48" s="7" t="str">
        <f>LEFT(T_Gainers[[#This Row],[Symbol]], FIND(" ", T_Gainers[[#This Row],[Symbol]]) - 1)</f>
        <v>VKTX</v>
      </c>
      <c r="C48" s="7" t="str">
        <f>RIGHT(T_Gainers[[#This Row],[Symbol]],LEN(T_Gainers[[#This Row],[Symbol]])-FIND(" ",T_Gainers[[#This Row],[Symbol]]))</f>
        <v xml:space="preserve"> Viking Therapeutics, Inc.</v>
      </c>
      <c r="D48" s="5" t="s">
        <v>164</v>
      </c>
      <c r="E48" s="2">
        <v>5.4300000000000001E-2</v>
      </c>
      <c r="F48" s="14">
        <v>3.39</v>
      </c>
      <c r="G48" s="27" t="str">
        <f t="shared" si="2"/>
        <v>65.84</v>
      </c>
      <c r="H48" s="12" t="s">
        <v>165</v>
      </c>
      <c r="I48" s="12" t="s">
        <v>385</v>
      </c>
      <c r="J48" s="12" t="s">
        <v>166</v>
      </c>
    </row>
    <row r="49" spans="1:10" x14ac:dyDescent="0.35">
      <c r="A49" s="6">
        <f t="shared" si="1"/>
        <v>47</v>
      </c>
      <c r="B49" s="7" t="str">
        <f>LEFT(T_Gainers[[#This Row],[Symbol]], FIND(" ", T_Gainers[[#This Row],[Symbol]]) - 1)</f>
        <v>VCYT</v>
      </c>
      <c r="C49" s="7" t="str">
        <f>RIGHT(T_Gainers[[#This Row],[Symbol]],LEN(T_Gainers[[#This Row],[Symbol]])-FIND(" ",T_Gainers[[#This Row],[Symbol]]))</f>
        <v xml:space="preserve"> Veracyte, Inc.</v>
      </c>
      <c r="D49" s="5" t="s">
        <v>167</v>
      </c>
      <c r="E49" s="2">
        <v>5.4199999999999998E-2</v>
      </c>
      <c r="F49" s="14">
        <v>1.75</v>
      </c>
      <c r="G49" s="27" t="str">
        <f t="shared" si="2"/>
        <v>34.02</v>
      </c>
      <c r="H49" s="12" t="s">
        <v>168</v>
      </c>
      <c r="I49" s="12" t="s">
        <v>386</v>
      </c>
      <c r="J49" s="12" t="s">
        <v>169</v>
      </c>
    </row>
    <row r="50" spans="1:10" x14ac:dyDescent="0.35">
      <c r="A50" s="6">
        <f t="shared" si="1"/>
        <v>48</v>
      </c>
      <c r="B50" s="7" t="str">
        <f>LEFT(T_Gainers[[#This Row],[Symbol]], FIND(" ", T_Gainers[[#This Row],[Symbol]]) - 1)</f>
        <v>AXSM</v>
      </c>
      <c r="C50" s="7" t="str">
        <f>RIGHT(T_Gainers[[#This Row],[Symbol]],LEN(T_Gainers[[#This Row],[Symbol]])-FIND(" ",T_Gainers[[#This Row],[Symbol]]))</f>
        <v xml:space="preserve"> Axsome Therapeutics, Inc.</v>
      </c>
      <c r="D50" s="5" t="s">
        <v>170</v>
      </c>
      <c r="E50" s="2">
        <v>5.3900000000000003E-2</v>
      </c>
      <c r="F50" s="14">
        <v>4.4800000000000004</v>
      </c>
      <c r="G50" s="27" t="str">
        <f t="shared" si="2"/>
        <v>87.56</v>
      </c>
      <c r="H50" s="12" t="s">
        <v>171</v>
      </c>
      <c r="I50" s="12" t="s">
        <v>387</v>
      </c>
      <c r="J50" s="12" t="s">
        <v>172</v>
      </c>
    </row>
    <row r="51" spans="1:10" x14ac:dyDescent="0.35">
      <c r="A51" s="6">
        <f t="shared" si="1"/>
        <v>49</v>
      </c>
      <c r="B51" s="7" t="str">
        <f>LEFT(T_Gainers[[#This Row],[Symbol]], FIND(" ", T_Gainers[[#This Row],[Symbol]]) - 1)</f>
        <v>RNA</v>
      </c>
      <c r="C51" s="7" t="str">
        <f>RIGHT(T_Gainers[[#This Row],[Symbol]],LEN(T_Gainers[[#This Row],[Symbol]])-FIND(" ",T_Gainers[[#This Row],[Symbol]]))</f>
        <v xml:space="preserve"> Avidity Biosciences, Inc.</v>
      </c>
      <c r="D51" s="5" t="s">
        <v>173</v>
      </c>
      <c r="E51" s="2">
        <v>5.3800000000000001E-2</v>
      </c>
      <c r="F51" s="14">
        <v>2.38</v>
      </c>
      <c r="G51" s="27" t="str">
        <f t="shared" si="2"/>
        <v>46.60</v>
      </c>
      <c r="H51" s="12" t="s">
        <v>174</v>
      </c>
      <c r="I51" s="12" t="s">
        <v>388</v>
      </c>
      <c r="J51" s="12" t="s">
        <v>175</v>
      </c>
    </row>
    <row r="52" spans="1:10" x14ac:dyDescent="0.35">
      <c r="A52" s="6">
        <f t="shared" si="1"/>
        <v>50</v>
      </c>
      <c r="B52" s="7" t="str">
        <f>LEFT(T_Gainers[[#This Row],[Symbol]], FIND(" ", T_Gainers[[#This Row],[Symbol]]) - 1)</f>
        <v>LAZ</v>
      </c>
      <c r="C52" s="7" t="str">
        <f>RIGHT(T_Gainers[[#This Row],[Symbol]],LEN(T_Gainers[[#This Row],[Symbol]])-FIND(" ",T_Gainers[[#This Row],[Symbol]]))</f>
        <v xml:space="preserve"> Lazard, Inc.</v>
      </c>
      <c r="D52" s="5" t="s">
        <v>176</v>
      </c>
      <c r="E52" s="2">
        <v>5.3800000000000001E-2</v>
      </c>
      <c r="F52" s="14">
        <v>2.69</v>
      </c>
      <c r="G52" s="27" t="str">
        <f t="shared" si="2"/>
        <v>52.70</v>
      </c>
      <c r="H52" s="12" t="s">
        <v>177</v>
      </c>
      <c r="I52" s="12" t="s">
        <v>178</v>
      </c>
      <c r="J52" s="12" t="s">
        <v>179</v>
      </c>
    </row>
    <row r="53" spans="1:10" x14ac:dyDescent="0.35">
      <c r="A53" s="6">
        <f t="shared" si="1"/>
        <v>51</v>
      </c>
      <c r="B53" s="7" t="str">
        <f>LEFT(T_Gainers[[#This Row],[Symbol]], FIND(" ", T_Gainers[[#This Row],[Symbol]]) - 1)</f>
        <v>BROS</v>
      </c>
      <c r="C53" s="7" t="str">
        <f>RIGHT(T_Gainers[[#This Row],[Symbol]],LEN(T_Gainers[[#This Row],[Symbol]])-FIND(" ",T_Gainers[[#This Row],[Symbol]]))</f>
        <v xml:space="preserve"> Dutch Bros Inc.</v>
      </c>
      <c r="D53" s="5" t="s">
        <v>180</v>
      </c>
      <c r="E53" s="2">
        <v>5.3100000000000001E-2</v>
      </c>
      <c r="F53" s="14">
        <v>1.63</v>
      </c>
      <c r="G53" s="27" t="str">
        <f t="shared" si="2"/>
        <v>32.35</v>
      </c>
      <c r="H53" s="12" t="s">
        <v>181</v>
      </c>
      <c r="I53" s="12" t="s">
        <v>182</v>
      </c>
      <c r="J53" s="12" t="s">
        <v>183</v>
      </c>
    </row>
    <row r="54" spans="1:10" x14ac:dyDescent="0.35">
      <c r="A54" s="6">
        <f t="shared" si="1"/>
        <v>52</v>
      </c>
      <c r="B54" s="7" t="str">
        <f>LEFT(T_Gainers[[#This Row],[Symbol]], FIND(" ", T_Gainers[[#This Row],[Symbol]]) - 1)</f>
        <v>GAP</v>
      </c>
      <c r="C54" s="7" t="str">
        <f>RIGHT(T_Gainers[[#This Row],[Symbol]],LEN(T_Gainers[[#This Row],[Symbol]])-FIND(" ",T_Gainers[[#This Row],[Symbol]]))</f>
        <v xml:space="preserve"> The Gap, Inc.</v>
      </c>
      <c r="D54" s="5" t="s">
        <v>184</v>
      </c>
      <c r="E54" s="2">
        <v>5.2600000000000001E-2</v>
      </c>
      <c r="F54" s="14">
        <v>1.0900000000000001</v>
      </c>
      <c r="G54" s="27" t="str">
        <f t="shared" si="2"/>
        <v>21.80</v>
      </c>
      <c r="H54" s="12" t="s">
        <v>185</v>
      </c>
      <c r="I54" s="12" t="s">
        <v>186</v>
      </c>
      <c r="J54" s="12" t="s">
        <v>187</v>
      </c>
    </row>
    <row r="55" spans="1:10" x14ac:dyDescent="0.35">
      <c r="A55" s="6">
        <f t="shared" si="1"/>
        <v>53</v>
      </c>
      <c r="B55" s="7" t="str">
        <f>LEFT(T_Gainers[[#This Row],[Symbol]], FIND(" ", T_Gainers[[#This Row],[Symbol]]) - 1)</f>
        <v>BANR</v>
      </c>
      <c r="C55" s="7" t="str">
        <f>RIGHT(T_Gainers[[#This Row],[Symbol]],LEN(T_Gainers[[#This Row],[Symbol]])-FIND(" ",T_Gainers[[#This Row],[Symbol]]))</f>
        <v xml:space="preserve"> Banner Corporation</v>
      </c>
      <c r="D55" s="5" t="s">
        <v>188</v>
      </c>
      <c r="E55" s="2">
        <v>5.16E-2</v>
      </c>
      <c r="F55" s="14">
        <v>3.11</v>
      </c>
      <c r="G55" s="27" t="str">
        <f t="shared" si="2"/>
        <v>63.34</v>
      </c>
      <c r="H55" s="12" t="s">
        <v>189</v>
      </c>
      <c r="I55" s="12" t="s">
        <v>389</v>
      </c>
      <c r="J55" s="12" t="s">
        <v>190</v>
      </c>
    </row>
    <row r="56" spans="1:10" x14ac:dyDescent="0.35">
      <c r="A56" s="6">
        <f t="shared" si="1"/>
        <v>54</v>
      </c>
      <c r="B56" s="7" t="str">
        <f>LEFT(T_Gainers[[#This Row],[Symbol]], FIND(" ", T_Gainers[[#This Row],[Symbol]]) - 1)</f>
        <v>COMP</v>
      </c>
      <c r="C56" s="7" t="str">
        <f>RIGHT(T_Gainers[[#This Row],[Symbol]],LEN(T_Gainers[[#This Row],[Symbol]])-FIND(" ",T_Gainers[[#This Row],[Symbol]]))</f>
        <v xml:space="preserve"> Compass, Inc.</v>
      </c>
      <c r="D56" s="5" t="s">
        <v>191</v>
      </c>
      <c r="E56" s="2">
        <v>5.16E-2</v>
      </c>
      <c r="F56" s="14">
        <v>0.28999999999999998</v>
      </c>
      <c r="G56" s="27" t="str">
        <f t="shared" si="2"/>
        <v>5.91</v>
      </c>
      <c r="H56" s="12" t="s">
        <v>192</v>
      </c>
      <c r="I56" s="12" t="s">
        <v>193</v>
      </c>
      <c r="J56" s="12" t="s">
        <v>194</v>
      </c>
    </row>
    <row r="57" spans="1:10" x14ac:dyDescent="0.35">
      <c r="A57" s="6">
        <f t="shared" si="1"/>
        <v>55</v>
      </c>
      <c r="B57" s="7" t="str">
        <f>LEFT(T_Gainers[[#This Row],[Symbol]], FIND(" ", T_Gainers[[#This Row],[Symbol]]) - 1)</f>
        <v>DPZ</v>
      </c>
      <c r="C57" s="7" t="str">
        <f>RIGHT(T_Gainers[[#This Row],[Symbol]],LEN(T_Gainers[[#This Row],[Symbol]])-FIND(" ",T_Gainers[[#This Row],[Symbol]]))</f>
        <v xml:space="preserve"> Domino's Pizza, Inc.</v>
      </c>
      <c r="D57" s="5" t="s">
        <v>195</v>
      </c>
      <c r="E57" s="2">
        <v>5.1200000000000002E-2</v>
      </c>
      <c r="F57" s="14">
        <v>20.92</v>
      </c>
      <c r="G57" s="27" t="str">
        <f t="shared" si="2"/>
        <v>429.67</v>
      </c>
      <c r="H57" s="12" t="s">
        <v>196</v>
      </c>
      <c r="I57" s="12" t="s">
        <v>197</v>
      </c>
      <c r="J57" s="12" t="s">
        <v>198</v>
      </c>
    </row>
    <row r="58" spans="1:10" x14ac:dyDescent="0.35">
      <c r="A58" s="6">
        <f t="shared" si="1"/>
        <v>56</v>
      </c>
      <c r="B58" s="7" t="str">
        <f>LEFT(T_Gainers[[#This Row],[Symbol]], FIND(" ", T_Gainers[[#This Row],[Symbol]]) - 1)</f>
        <v>SAIA</v>
      </c>
      <c r="C58" s="7" t="str">
        <f>RIGHT(T_Gainers[[#This Row],[Symbol]],LEN(T_Gainers[[#This Row],[Symbol]])-FIND(" ",T_Gainers[[#This Row],[Symbol]]))</f>
        <v xml:space="preserve"> Saia, Inc.</v>
      </c>
      <c r="D58" s="5" t="s">
        <v>199</v>
      </c>
      <c r="E58" s="2">
        <v>5.11E-2</v>
      </c>
      <c r="F58" s="14">
        <v>22.52</v>
      </c>
      <c r="G58" s="27" t="str">
        <f t="shared" si="2"/>
        <v>463.37</v>
      </c>
      <c r="H58" s="12" t="s">
        <v>200</v>
      </c>
      <c r="I58" s="12" t="s">
        <v>390</v>
      </c>
      <c r="J58" s="12" t="s">
        <v>201</v>
      </c>
    </row>
    <row r="59" spans="1:10" x14ac:dyDescent="0.35">
      <c r="A59" s="6">
        <f t="shared" si="1"/>
        <v>57</v>
      </c>
      <c r="B59" s="7" t="str">
        <f>LEFT(T_Gainers[[#This Row],[Symbol]], FIND(" ", T_Gainers[[#This Row],[Symbol]]) - 1)</f>
        <v>BE</v>
      </c>
      <c r="C59" s="7" t="str">
        <f>RIGHT(T_Gainers[[#This Row],[Symbol]],LEN(T_Gainers[[#This Row],[Symbol]])-FIND(" ",T_Gainers[[#This Row],[Symbol]]))</f>
        <v xml:space="preserve"> Bloom Energy Corporation</v>
      </c>
      <c r="D59" s="5" t="s">
        <v>202</v>
      </c>
      <c r="E59" s="2">
        <v>5.0900000000000001E-2</v>
      </c>
      <c r="F59" s="14">
        <v>0.52</v>
      </c>
      <c r="G59" s="27" t="str">
        <f t="shared" si="2"/>
        <v>10.74</v>
      </c>
      <c r="H59" s="12" t="s">
        <v>203</v>
      </c>
      <c r="I59" s="12" t="s">
        <v>204</v>
      </c>
      <c r="J59" s="12" t="s">
        <v>205</v>
      </c>
    </row>
    <row r="60" spans="1:10" x14ac:dyDescent="0.35">
      <c r="A60" s="6">
        <f t="shared" si="1"/>
        <v>58</v>
      </c>
      <c r="B60" s="7" t="str">
        <f>LEFT(T_Gainers[[#This Row],[Symbol]], FIND(" ", T_Gainers[[#This Row],[Symbol]]) - 1)</f>
        <v>EVR</v>
      </c>
      <c r="C60" s="7" t="str">
        <f>RIGHT(T_Gainers[[#This Row],[Symbol]],LEN(T_Gainers[[#This Row],[Symbol]])-FIND(" ",T_Gainers[[#This Row],[Symbol]]))</f>
        <v xml:space="preserve"> Evercore Inc.</v>
      </c>
      <c r="D60" s="5" t="s">
        <v>206</v>
      </c>
      <c r="E60" s="2">
        <v>5.0299999999999997E-2</v>
      </c>
      <c r="F60" s="14">
        <v>12.72</v>
      </c>
      <c r="G60" s="27" t="str">
        <f t="shared" si="2"/>
        <v>265.61</v>
      </c>
      <c r="H60" s="12" t="s">
        <v>207</v>
      </c>
      <c r="I60" s="12" t="s">
        <v>208</v>
      </c>
      <c r="J60" s="12" t="s">
        <v>209</v>
      </c>
    </row>
    <row r="61" spans="1:10" x14ac:dyDescent="0.35">
      <c r="A61" s="6">
        <f t="shared" si="1"/>
        <v>59</v>
      </c>
      <c r="B61" s="7" t="str">
        <f>LEFT(T_Gainers[[#This Row],[Symbol]], FIND(" ", T_Gainers[[#This Row],[Symbol]]) - 1)</f>
        <v>MRVI</v>
      </c>
      <c r="C61" s="7" t="str">
        <f>RIGHT(T_Gainers[[#This Row],[Symbol]],LEN(T_Gainers[[#This Row],[Symbol]])-FIND(" ",T_Gainers[[#This Row],[Symbol]]))</f>
        <v xml:space="preserve"> Maravai LifeSciences Holdings, Inc.</v>
      </c>
      <c r="D61" s="5" t="s">
        <v>210</v>
      </c>
      <c r="E61" s="2">
        <v>4.9799999999999997E-2</v>
      </c>
      <c r="F61" s="14">
        <v>0.38</v>
      </c>
      <c r="G61" s="27" t="str">
        <f t="shared" si="2"/>
        <v>8.01</v>
      </c>
      <c r="H61" s="12" t="s">
        <v>211</v>
      </c>
      <c r="I61" s="12" t="s">
        <v>391</v>
      </c>
      <c r="J61" s="12" t="s">
        <v>212</v>
      </c>
    </row>
    <row r="62" spans="1:10" x14ac:dyDescent="0.35">
      <c r="A62" s="6">
        <f t="shared" si="1"/>
        <v>60</v>
      </c>
      <c r="B62" s="7" t="str">
        <f>LEFT(T_Gainers[[#This Row],[Symbol]], FIND(" ", T_Gainers[[#This Row],[Symbol]]) - 1)</f>
        <v>BAC</v>
      </c>
      <c r="C62" s="7" t="str">
        <f>RIGHT(T_Gainers[[#This Row],[Symbol]],LEN(T_Gainers[[#This Row],[Symbol]])-FIND(" ",T_Gainers[[#This Row],[Symbol]]))</f>
        <v xml:space="preserve"> Bank of America Corporation</v>
      </c>
      <c r="D62" s="5" t="s">
        <v>213</v>
      </c>
      <c r="E62" s="2">
        <v>4.9500000000000002E-2</v>
      </c>
      <c r="F62" s="14">
        <v>1.98</v>
      </c>
      <c r="G62" s="27" t="str">
        <f t="shared" si="2"/>
        <v>41.95</v>
      </c>
      <c r="H62" s="12" t="s">
        <v>214</v>
      </c>
      <c r="I62" s="12" t="s">
        <v>215</v>
      </c>
      <c r="J62" s="12" t="s">
        <v>216</v>
      </c>
    </row>
    <row r="63" spans="1:10" x14ac:dyDescent="0.35">
      <c r="A63" s="6">
        <f t="shared" si="1"/>
        <v>61</v>
      </c>
      <c r="B63" s="7" t="str">
        <f>LEFT(T_Gainers[[#This Row],[Symbol]], FIND(" ", T_Gainers[[#This Row],[Symbol]]) - 1)</f>
        <v>NXT</v>
      </c>
      <c r="C63" s="7" t="str">
        <f>RIGHT(T_Gainers[[#This Row],[Symbol]],LEN(T_Gainers[[#This Row],[Symbol]])-FIND(" ",T_Gainers[[#This Row],[Symbol]]))</f>
        <v xml:space="preserve"> Nextracker Inc.</v>
      </c>
      <c r="D63" s="5" t="s">
        <v>217</v>
      </c>
      <c r="E63" s="2">
        <v>4.9500000000000002E-2</v>
      </c>
      <c r="F63" s="14">
        <v>1.68</v>
      </c>
      <c r="G63" s="27" t="str">
        <f t="shared" si="2"/>
        <v>35.64</v>
      </c>
      <c r="H63" s="12" t="s">
        <v>218</v>
      </c>
      <c r="I63" s="12" t="s">
        <v>392</v>
      </c>
      <c r="J63" s="12" t="s">
        <v>219</v>
      </c>
    </row>
    <row r="64" spans="1:10" x14ac:dyDescent="0.35">
      <c r="A64" s="6">
        <f t="shared" si="1"/>
        <v>62</v>
      </c>
      <c r="B64" s="7" t="str">
        <f>LEFT(T_Gainers[[#This Row],[Symbol]], FIND(" ", T_Gainers[[#This Row],[Symbol]]) - 1)</f>
        <v>JANX</v>
      </c>
      <c r="C64" s="7" t="str">
        <f>RIGHT(T_Gainers[[#This Row],[Symbol]],LEN(T_Gainers[[#This Row],[Symbol]])-FIND(" ",T_Gainers[[#This Row],[Symbol]]))</f>
        <v xml:space="preserve"> Janux Therapeutics, Inc.</v>
      </c>
      <c r="D64" s="5" t="s">
        <v>220</v>
      </c>
      <c r="E64" s="2">
        <v>4.9299999999999997E-2</v>
      </c>
      <c r="F64" s="14">
        <v>2.33</v>
      </c>
      <c r="G64" s="27" t="str">
        <f t="shared" si="2"/>
        <v>49.55</v>
      </c>
      <c r="H64" s="12" t="s">
        <v>221</v>
      </c>
      <c r="I64" s="12" t="s">
        <v>393</v>
      </c>
      <c r="J64" s="12" t="s">
        <v>222</v>
      </c>
    </row>
    <row r="65" spans="1:10" x14ac:dyDescent="0.35">
      <c r="A65" s="6">
        <f t="shared" si="1"/>
        <v>63</v>
      </c>
      <c r="B65" s="7" t="str">
        <f>LEFT(T_Gainers[[#This Row],[Symbol]], FIND(" ", T_Gainers[[#This Row],[Symbol]]) - 1)</f>
        <v>MBLY</v>
      </c>
      <c r="C65" s="7" t="str">
        <f>RIGHT(T_Gainers[[#This Row],[Symbol]],LEN(T_Gainers[[#This Row],[Symbol]])-FIND(" ",T_Gainers[[#This Row],[Symbol]]))</f>
        <v xml:space="preserve"> Mobileye Global Inc.</v>
      </c>
      <c r="D65" s="5" t="s">
        <v>223</v>
      </c>
      <c r="E65" s="2">
        <v>4.8800000000000003E-2</v>
      </c>
      <c r="F65" s="14">
        <v>0.6</v>
      </c>
      <c r="G65" s="27" t="str">
        <f t="shared" si="2"/>
        <v>12.89</v>
      </c>
      <c r="H65" s="12" t="s">
        <v>224</v>
      </c>
      <c r="I65" s="12" t="s">
        <v>394</v>
      </c>
      <c r="J65" s="12" t="s">
        <v>225</v>
      </c>
    </row>
    <row r="66" spans="1:10" x14ac:dyDescent="0.35">
      <c r="A66" s="6">
        <f t="shared" si="1"/>
        <v>64</v>
      </c>
      <c r="B66" s="7" t="str">
        <f>LEFT(T_Gainers[[#This Row],[Symbol]], FIND(" ", T_Gainers[[#This Row],[Symbol]]) - 1)</f>
        <v>XPRO</v>
      </c>
      <c r="C66" s="7" t="str">
        <f>RIGHT(T_Gainers[[#This Row],[Symbol]],LEN(T_Gainers[[#This Row],[Symbol]])-FIND(" ",T_Gainers[[#This Row],[Symbol]]))</f>
        <v xml:space="preserve"> Expro Group Holdings N.V.</v>
      </c>
      <c r="D66" s="5" t="s">
        <v>226</v>
      </c>
      <c r="E66" s="2">
        <v>4.82E-2</v>
      </c>
      <c r="F66" s="14">
        <v>0.82</v>
      </c>
      <c r="G66" s="27" t="str">
        <f t="shared" si="2"/>
        <v>17.83</v>
      </c>
      <c r="H66" s="12" t="s">
        <v>227</v>
      </c>
      <c r="I66" s="12" t="s">
        <v>228</v>
      </c>
      <c r="J66" s="12" t="s">
        <v>229</v>
      </c>
    </row>
    <row r="67" spans="1:10" x14ac:dyDescent="0.35">
      <c r="A67" s="6">
        <f t="shared" si="1"/>
        <v>65</v>
      </c>
      <c r="B67" s="7" t="str">
        <f>LEFT(T_Gainers[[#This Row],[Symbol]], FIND(" ", T_Gainers[[#This Row],[Symbol]]) - 1)</f>
        <v>ASTS</v>
      </c>
      <c r="C67" s="7" t="str">
        <f>RIGHT(T_Gainers[[#This Row],[Symbol]],LEN(T_Gainers[[#This Row],[Symbol]])-FIND(" ",T_Gainers[[#This Row],[Symbol]]))</f>
        <v xml:space="preserve"> AST SpaceMobile, Inc.</v>
      </c>
      <c r="D67" s="5" t="s">
        <v>230</v>
      </c>
      <c r="E67" s="2">
        <v>4.8099999999999997E-2</v>
      </c>
      <c r="F67" s="14">
        <v>1.1100000000000001</v>
      </c>
      <c r="G67" s="27" t="str">
        <f t="shared" ref="G67:G98" si="3">LEFT(H67, FIND(" ", H67)-1)</f>
        <v>24.18</v>
      </c>
      <c r="H67" s="12" t="s">
        <v>231</v>
      </c>
      <c r="I67" s="12" t="s">
        <v>395</v>
      </c>
      <c r="J67" s="12" t="s">
        <v>232</v>
      </c>
    </row>
    <row r="68" spans="1:10" x14ac:dyDescent="0.35">
      <c r="A68" s="6">
        <f t="shared" si="1"/>
        <v>66</v>
      </c>
      <c r="B68" s="7" t="str">
        <f>LEFT(T_Gainers[[#This Row],[Symbol]], FIND(" ", T_Gainers[[#This Row],[Symbol]]) - 1)</f>
        <v>DJT</v>
      </c>
      <c r="C68" s="7" t="str">
        <f>RIGHT(T_Gainers[[#This Row],[Symbol]],LEN(T_Gainers[[#This Row],[Symbol]])-FIND(" ",T_Gainers[[#This Row],[Symbol]]))</f>
        <v xml:space="preserve"> Trump Media &amp; Technology Group Corp.</v>
      </c>
      <c r="D68" s="5" t="s">
        <v>233</v>
      </c>
      <c r="E68" s="2">
        <v>4.8099999999999997E-2</v>
      </c>
      <c r="F68" s="14">
        <v>1.1599999999999999</v>
      </c>
      <c r="G68" s="27" t="str">
        <f t="shared" si="3"/>
        <v>25.28</v>
      </c>
      <c r="H68" s="12" t="s">
        <v>234</v>
      </c>
      <c r="I68" s="12" t="s">
        <v>396</v>
      </c>
      <c r="J68" s="12" t="s">
        <v>32</v>
      </c>
    </row>
    <row r="69" spans="1:10" x14ac:dyDescent="0.35">
      <c r="A69" s="6">
        <f t="shared" ref="A69:A102" si="4">A68+1</f>
        <v>67</v>
      </c>
      <c r="B69" s="7" t="str">
        <f>LEFT(T_Gainers[[#This Row],[Symbol]], FIND(" ", T_Gainers[[#This Row],[Symbol]]) - 1)</f>
        <v>SFBS</v>
      </c>
      <c r="C69" s="7" t="str">
        <f>RIGHT(T_Gainers[[#This Row],[Symbol]],LEN(T_Gainers[[#This Row],[Symbol]])-FIND(" ",T_Gainers[[#This Row],[Symbol]]))</f>
        <v xml:space="preserve"> ServisFirst Bancshares, Inc.</v>
      </c>
      <c r="D69" s="5" t="s">
        <v>235</v>
      </c>
      <c r="E69" s="2">
        <v>4.8000000000000001E-2</v>
      </c>
      <c r="F69" s="14">
        <v>3.76</v>
      </c>
      <c r="G69" s="27" t="str">
        <f t="shared" si="3"/>
        <v>82.03</v>
      </c>
      <c r="H69" s="12" t="s">
        <v>236</v>
      </c>
      <c r="I69" s="12" t="s">
        <v>237</v>
      </c>
      <c r="J69" s="12" t="s">
        <v>238</v>
      </c>
    </row>
    <row r="70" spans="1:10" x14ac:dyDescent="0.35">
      <c r="A70" s="6">
        <f t="shared" si="4"/>
        <v>68</v>
      </c>
      <c r="B70" s="7" t="str">
        <f>LEFT(T_Gainers[[#This Row],[Symbol]], FIND(" ", T_Gainers[[#This Row],[Symbol]]) - 1)</f>
        <v>RDDT</v>
      </c>
      <c r="C70" s="7" t="str">
        <f>RIGHT(T_Gainers[[#This Row],[Symbol]],LEN(T_Gainers[[#This Row],[Symbol]])-FIND(" ",T_Gainers[[#This Row],[Symbol]]))</f>
        <v xml:space="preserve"> Reddit, Inc.</v>
      </c>
      <c r="D70" s="5" t="s">
        <v>239</v>
      </c>
      <c r="E70" s="2">
        <v>4.7899999999999998E-2</v>
      </c>
      <c r="F70" s="14">
        <v>3.35</v>
      </c>
      <c r="G70" s="27" t="str">
        <f t="shared" si="3"/>
        <v>73.25</v>
      </c>
      <c r="H70" s="12" t="s">
        <v>240</v>
      </c>
      <c r="I70" s="12" t="s">
        <v>241</v>
      </c>
      <c r="J70" s="12" t="s">
        <v>242</v>
      </c>
    </row>
    <row r="71" spans="1:10" x14ac:dyDescent="0.35">
      <c r="A71" s="6">
        <f t="shared" si="4"/>
        <v>69</v>
      </c>
      <c r="B71" s="7" t="str">
        <f>LEFT(T_Gainers[[#This Row],[Symbol]], FIND(" ", T_Gainers[[#This Row],[Symbol]]) - 1)</f>
        <v>WCC</v>
      </c>
      <c r="C71" s="7" t="str">
        <f>RIGHT(T_Gainers[[#This Row],[Symbol]],LEN(T_Gainers[[#This Row],[Symbol]])-FIND(" ",T_Gainers[[#This Row],[Symbol]]))</f>
        <v xml:space="preserve"> WESCO International, Inc.</v>
      </c>
      <c r="D71" s="5" t="s">
        <v>243</v>
      </c>
      <c r="E71" s="2">
        <v>4.7800000000000002E-2</v>
      </c>
      <c r="F71" s="14">
        <v>7.97</v>
      </c>
      <c r="G71" s="27" t="str">
        <f t="shared" si="3"/>
        <v>174.72</v>
      </c>
      <c r="H71" s="12" t="s">
        <v>244</v>
      </c>
      <c r="I71" s="12" t="s">
        <v>245</v>
      </c>
      <c r="J71" s="12" t="s">
        <v>246</v>
      </c>
    </row>
    <row r="72" spans="1:10" x14ac:dyDescent="0.35">
      <c r="A72" s="6">
        <f t="shared" si="4"/>
        <v>70</v>
      </c>
      <c r="B72" s="7" t="str">
        <f>LEFT(T_Gainers[[#This Row],[Symbol]], FIND(" ", T_Gainers[[#This Row],[Symbol]]) - 1)</f>
        <v>ARDT</v>
      </c>
      <c r="C72" s="7" t="str">
        <f>RIGHT(T_Gainers[[#This Row],[Symbol]],LEN(T_Gainers[[#This Row],[Symbol]])-FIND(" ",T_Gainers[[#This Row],[Symbol]]))</f>
        <v xml:space="preserve"> Ardent Health Partners, Inc.</v>
      </c>
      <c r="D72" s="5" t="s">
        <v>247</v>
      </c>
      <c r="E72" s="2">
        <v>4.7500000000000001E-2</v>
      </c>
      <c r="F72" s="14">
        <v>0.86</v>
      </c>
      <c r="G72" s="27" t="str">
        <f t="shared" si="3"/>
        <v>18.98</v>
      </c>
      <c r="H72" s="12" t="s">
        <v>248</v>
      </c>
      <c r="I72" s="12" t="s">
        <v>249</v>
      </c>
      <c r="J72" s="12" t="s">
        <v>250</v>
      </c>
    </row>
    <row r="73" spans="1:10" x14ac:dyDescent="0.35">
      <c r="A73" s="6">
        <f t="shared" si="4"/>
        <v>71</v>
      </c>
      <c r="B73" s="7" t="str">
        <f>LEFT(T_Gainers[[#This Row],[Symbol]], FIND(" ", T_Gainers[[#This Row],[Symbol]]) - 1)</f>
        <v>OS</v>
      </c>
      <c r="C73" s="7" t="str">
        <f>RIGHT(T_Gainers[[#This Row],[Symbol]],LEN(T_Gainers[[#This Row],[Symbol]])-FIND(" ",T_Gainers[[#This Row],[Symbol]]))</f>
        <v xml:space="preserve"> OneStream, Inc.</v>
      </c>
      <c r="D73" s="5" t="s">
        <v>251</v>
      </c>
      <c r="E73" s="2">
        <v>4.7100000000000003E-2</v>
      </c>
      <c r="F73" s="14">
        <v>1.34</v>
      </c>
      <c r="G73" s="27" t="str">
        <f t="shared" si="3"/>
        <v>29.79</v>
      </c>
      <c r="H73" s="12" t="s">
        <v>252</v>
      </c>
      <c r="I73" s="12" t="s">
        <v>397</v>
      </c>
      <c r="J73" s="12" t="s">
        <v>253</v>
      </c>
    </row>
    <row r="74" spans="1:10" x14ac:dyDescent="0.35">
      <c r="A74" s="6">
        <f t="shared" si="4"/>
        <v>72</v>
      </c>
      <c r="B74" s="7" t="str">
        <f>LEFT(T_Gainers[[#This Row],[Symbol]], FIND(" ", T_Gainers[[#This Row],[Symbol]]) - 1)</f>
        <v>HIMS</v>
      </c>
      <c r="C74" s="7" t="str">
        <f>RIGHT(T_Gainers[[#This Row],[Symbol]],LEN(T_Gainers[[#This Row],[Symbol]])-FIND(" ",T_Gainers[[#This Row],[Symbol]]))</f>
        <v xml:space="preserve"> Hims &amp; Hers Health, Inc.</v>
      </c>
      <c r="D74" s="5" t="s">
        <v>254</v>
      </c>
      <c r="E74" s="2">
        <v>4.7100000000000003E-2</v>
      </c>
      <c r="F74" s="14">
        <v>0.84</v>
      </c>
      <c r="G74" s="27" t="str">
        <f t="shared" si="3"/>
        <v>18.69</v>
      </c>
      <c r="H74" s="12" t="s">
        <v>255</v>
      </c>
      <c r="I74" s="12" t="s">
        <v>256</v>
      </c>
      <c r="J74" s="12" t="s">
        <v>257</v>
      </c>
    </row>
    <row r="75" spans="1:10" x14ac:dyDescent="0.35">
      <c r="A75" s="6">
        <f t="shared" si="4"/>
        <v>73</v>
      </c>
      <c r="B75" s="7" t="str">
        <f>LEFT(T_Gainers[[#This Row],[Symbol]], FIND(" ", T_Gainers[[#This Row],[Symbol]]) - 1)</f>
        <v>CVBF</v>
      </c>
      <c r="C75" s="7" t="str">
        <f>RIGHT(T_Gainers[[#This Row],[Symbol]],LEN(T_Gainers[[#This Row],[Symbol]])-FIND(" ",T_Gainers[[#This Row],[Symbol]]))</f>
        <v xml:space="preserve"> CVB Financial Corp.</v>
      </c>
      <c r="D75" s="5" t="s">
        <v>258</v>
      </c>
      <c r="E75" s="2">
        <v>4.6699999999999998E-2</v>
      </c>
      <c r="F75" s="14">
        <v>0.84</v>
      </c>
      <c r="G75" s="27" t="str">
        <f t="shared" si="3"/>
        <v>18.81</v>
      </c>
      <c r="H75" s="12" t="s">
        <v>259</v>
      </c>
      <c r="I75" s="12" t="s">
        <v>398</v>
      </c>
      <c r="J75" s="12" t="s">
        <v>260</v>
      </c>
    </row>
    <row r="76" spans="1:10" x14ac:dyDescent="0.35">
      <c r="A76" s="6">
        <f t="shared" si="4"/>
        <v>74</v>
      </c>
      <c r="B76" s="7" t="str">
        <f>LEFT(T_Gainers[[#This Row],[Symbol]], FIND(" ", T_Gainers[[#This Row],[Symbol]]) - 1)</f>
        <v>CGON</v>
      </c>
      <c r="C76" s="7" t="str">
        <f>RIGHT(T_Gainers[[#This Row],[Symbol]],LEN(T_Gainers[[#This Row],[Symbol]])-FIND(" ",T_Gainers[[#This Row],[Symbol]]))</f>
        <v xml:space="preserve"> CG Oncology, Inc.</v>
      </c>
      <c r="D76" s="5" t="s">
        <v>261</v>
      </c>
      <c r="E76" s="2">
        <v>4.6699999999999998E-2</v>
      </c>
      <c r="F76" s="14">
        <v>1.61</v>
      </c>
      <c r="G76" s="27" t="str">
        <f t="shared" si="3"/>
        <v>36.09</v>
      </c>
      <c r="H76" s="12" t="s">
        <v>262</v>
      </c>
      <c r="I76" s="12" t="s">
        <v>399</v>
      </c>
      <c r="J76" s="12" t="s">
        <v>263</v>
      </c>
    </row>
    <row r="77" spans="1:10" x14ac:dyDescent="0.35">
      <c r="A77" s="6">
        <f t="shared" si="4"/>
        <v>75</v>
      </c>
      <c r="B77" s="7" t="str">
        <f>LEFT(T_Gainers[[#This Row],[Symbol]], FIND(" ", T_Gainers[[#This Row],[Symbol]]) - 1)</f>
        <v>EE</v>
      </c>
      <c r="C77" s="7" t="str">
        <f>RIGHT(T_Gainers[[#This Row],[Symbol]],LEN(T_Gainers[[#This Row],[Symbol]])-FIND(" ",T_Gainers[[#This Row],[Symbol]]))</f>
        <v xml:space="preserve"> Excelerate Energy, Inc.</v>
      </c>
      <c r="D77" s="5" t="s">
        <v>264</v>
      </c>
      <c r="E77" s="2">
        <v>4.65E-2</v>
      </c>
      <c r="F77" s="14">
        <v>1.05</v>
      </c>
      <c r="G77" s="27" t="str">
        <f t="shared" si="3"/>
        <v>23.61</v>
      </c>
      <c r="H77" s="12" t="s">
        <v>265</v>
      </c>
      <c r="I77" s="12" t="s">
        <v>266</v>
      </c>
      <c r="J77" s="12" t="s">
        <v>267</v>
      </c>
    </row>
    <row r="78" spans="1:10" x14ac:dyDescent="0.35">
      <c r="A78" s="6">
        <f t="shared" si="4"/>
        <v>76</v>
      </c>
      <c r="B78" s="7" t="str">
        <f>LEFT(T_Gainers[[#This Row],[Symbol]], FIND(" ", T_Gainers[[#This Row],[Symbol]]) - 1)</f>
        <v>NEOG</v>
      </c>
      <c r="C78" s="7" t="str">
        <f>RIGHT(T_Gainers[[#This Row],[Symbol]],LEN(T_Gainers[[#This Row],[Symbol]])-FIND(" ",T_Gainers[[#This Row],[Symbol]]))</f>
        <v xml:space="preserve"> Neogen Corporation</v>
      </c>
      <c r="D78" s="5" t="s">
        <v>268</v>
      </c>
      <c r="E78" s="2">
        <v>4.6399999999999997E-2</v>
      </c>
      <c r="F78" s="14">
        <v>0.64</v>
      </c>
      <c r="G78" s="27" t="str">
        <f t="shared" si="3"/>
        <v>14.43</v>
      </c>
      <c r="H78" s="12" t="s">
        <v>269</v>
      </c>
      <c r="I78" s="12" t="s">
        <v>270</v>
      </c>
      <c r="J78" s="12" t="s">
        <v>271</v>
      </c>
    </row>
    <row r="79" spans="1:10" x14ac:dyDescent="0.35">
      <c r="A79" s="6">
        <f t="shared" si="4"/>
        <v>77</v>
      </c>
      <c r="B79" s="7" t="str">
        <f>LEFT(T_Gainers[[#This Row],[Symbol]], FIND(" ", T_Gainers[[#This Row],[Symbol]]) - 1)</f>
        <v>ANF</v>
      </c>
      <c r="C79" s="7" t="str">
        <f>RIGHT(T_Gainers[[#This Row],[Symbol]],LEN(T_Gainers[[#This Row],[Symbol]])-FIND(" ",T_Gainers[[#This Row],[Symbol]]))</f>
        <v xml:space="preserve"> Abercrombie &amp; Fitch Co.</v>
      </c>
      <c r="D79" s="5" t="s">
        <v>272</v>
      </c>
      <c r="E79" s="2">
        <v>4.5400000000000003E-2</v>
      </c>
      <c r="F79" s="14">
        <v>6.5</v>
      </c>
      <c r="G79" s="27" t="str">
        <f t="shared" si="3"/>
        <v>149.75</v>
      </c>
      <c r="H79" s="12" t="s">
        <v>273</v>
      </c>
      <c r="I79" s="12" t="s">
        <v>274</v>
      </c>
      <c r="J79" s="12" t="s">
        <v>275</v>
      </c>
    </row>
    <row r="80" spans="1:10" x14ac:dyDescent="0.35">
      <c r="A80" s="6">
        <f t="shared" si="4"/>
        <v>78</v>
      </c>
      <c r="B80" s="7" t="str">
        <f>LEFT(T_Gainers[[#This Row],[Symbol]], FIND(" ", T_Gainers[[#This Row],[Symbol]]) - 1)</f>
        <v>ONTO</v>
      </c>
      <c r="C80" s="7" t="str">
        <f>RIGHT(T_Gainers[[#This Row],[Symbol]],LEN(T_Gainers[[#This Row],[Symbol]])-FIND(" ",T_Gainers[[#This Row],[Symbol]]))</f>
        <v xml:space="preserve"> Onto Innovation Inc.</v>
      </c>
      <c r="D80" s="5" t="s">
        <v>276</v>
      </c>
      <c r="E80" s="2">
        <v>4.5199999999999997E-2</v>
      </c>
      <c r="F80" s="14">
        <v>9.41</v>
      </c>
      <c r="G80" s="27" t="str">
        <f t="shared" si="3"/>
        <v>217.79</v>
      </c>
      <c r="H80" s="12" t="s">
        <v>277</v>
      </c>
      <c r="I80" s="12" t="s">
        <v>278</v>
      </c>
      <c r="J80" s="12" t="s">
        <v>279</v>
      </c>
    </row>
    <row r="81" spans="1:10" x14ac:dyDescent="0.35">
      <c r="A81" s="6">
        <f t="shared" si="4"/>
        <v>79</v>
      </c>
      <c r="B81" s="7" t="str">
        <f>LEFT(T_Gainers[[#This Row],[Symbol]], FIND(" ", T_Gainers[[#This Row],[Symbol]]) - 1)</f>
        <v>AA</v>
      </c>
      <c r="C81" s="7" t="str">
        <f>RIGHT(T_Gainers[[#This Row],[Symbol]],LEN(T_Gainers[[#This Row],[Symbol]])-FIND(" ",T_Gainers[[#This Row],[Symbol]]))</f>
        <v xml:space="preserve"> Alcoa Corporation</v>
      </c>
      <c r="D81" s="5" t="s">
        <v>280</v>
      </c>
      <c r="E81" s="2">
        <v>4.5100000000000001E-2</v>
      </c>
      <c r="F81" s="14">
        <v>1.77</v>
      </c>
      <c r="G81" s="27" t="str">
        <f t="shared" si="3"/>
        <v>41.02</v>
      </c>
      <c r="H81" s="12" t="s">
        <v>281</v>
      </c>
      <c r="I81" s="12" t="s">
        <v>282</v>
      </c>
      <c r="J81" s="12" t="s">
        <v>283</v>
      </c>
    </row>
    <row r="82" spans="1:10" x14ac:dyDescent="0.35">
      <c r="A82" s="6">
        <f t="shared" si="4"/>
        <v>80</v>
      </c>
      <c r="B82" s="7" t="str">
        <f>LEFT(T_Gainers[[#This Row],[Symbol]], FIND(" ", T_Gainers[[#This Row],[Symbol]]) - 1)</f>
        <v>CNX</v>
      </c>
      <c r="C82" s="7" t="str">
        <f>RIGHT(T_Gainers[[#This Row],[Symbol]],LEN(T_Gainers[[#This Row],[Symbol]])-FIND(" ",T_Gainers[[#This Row],[Symbol]]))</f>
        <v xml:space="preserve"> CNX Resources Corporation</v>
      </c>
      <c r="D82" s="5" t="s">
        <v>284</v>
      </c>
      <c r="E82" s="2">
        <v>4.4900000000000002E-2</v>
      </c>
      <c r="F82" s="14">
        <v>1.56</v>
      </c>
      <c r="G82" s="27" t="str">
        <f t="shared" si="3"/>
        <v>36.29</v>
      </c>
      <c r="H82" s="12" t="s">
        <v>285</v>
      </c>
      <c r="I82" s="12" t="s">
        <v>286</v>
      </c>
      <c r="J82" s="12" t="s">
        <v>287</v>
      </c>
    </row>
    <row r="83" spans="1:10" x14ac:dyDescent="0.35">
      <c r="A83" s="6">
        <f t="shared" si="4"/>
        <v>81</v>
      </c>
      <c r="B83" s="7" t="str">
        <f>LEFT(T_Gainers[[#This Row],[Symbol]], FIND(" ", T_Gainers[[#This Row],[Symbol]]) - 1)</f>
        <v>FOLD</v>
      </c>
      <c r="C83" s="7" t="str">
        <f>RIGHT(T_Gainers[[#This Row],[Symbol]],LEN(T_Gainers[[#This Row],[Symbol]])-FIND(" ",T_Gainers[[#This Row],[Symbol]]))</f>
        <v xml:space="preserve"> Amicus Therapeutics, Inc.</v>
      </c>
      <c r="D83" s="5" t="s">
        <v>288</v>
      </c>
      <c r="E83" s="2">
        <v>4.48E-2</v>
      </c>
      <c r="F83" s="14">
        <v>0.45</v>
      </c>
      <c r="G83" s="27" t="str">
        <f t="shared" si="3"/>
        <v>10.50</v>
      </c>
      <c r="H83" s="12" t="s">
        <v>289</v>
      </c>
      <c r="I83" s="12" t="s">
        <v>290</v>
      </c>
      <c r="J83" s="12" t="s">
        <v>291</v>
      </c>
    </row>
    <row r="84" spans="1:10" x14ac:dyDescent="0.35">
      <c r="A84" s="6">
        <f t="shared" si="4"/>
        <v>82</v>
      </c>
      <c r="B84" s="7" t="str">
        <f>LEFT(T_Gainers[[#This Row],[Symbol]], FIND(" ", T_Gainers[[#This Row],[Symbol]]) - 1)</f>
        <v>FROG</v>
      </c>
      <c r="C84" s="7" t="str">
        <f>RIGHT(T_Gainers[[#This Row],[Symbol]],LEN(T_Gainers[[#This Row],[Symbol]])-FIND(" ",T_Gainers[[#This Row],[Symbol]]))</f>
        <v xml:space="preserve"> JFrog Ltd.</v>
      </c>
      <c r="D84" s="5" t="s">
        <v>292</v>
      </c>
      <c r="E84" s="2">
        <v>4.48E-2</v>
      </c>
      <c r="F84" s="14">
        <v>1.33</v>
      </c>
      <c r="G84" s="27" t="str">
        <f t="shared" si="3"/>
        <v>31.05</v>
      </c>
      <c r="H84" s="12" t="s">
        <v>293</v>
      </c>
      <c r="I84" s="12" t="s">
        <v>400</v>
      </c>
      <c r="J84" s="12" t="s">
        <v>294</v>
      </c>
    </row>
    <row r="85" spans="1:10" x14ac:dyDescent="0.35">
      <c r="A85" s="6">
        <f t="shared" si="4"/>
        <v>83</v>
      </c>
      <c r="B85" s="7" t="str">
        <f>LEFT(T_Gainers[[#This Row],[Symbol]], FIND(" ", T_Gainers[[#This Row],[Symbol]]) - 1)</f>
        <v>TEX</v>
      </c>
      <c r="C85" s="7" t="str">
        <f>RIGHT(T_Gainers[[#This Row],[Symbol]],LEN(T_Gainers[[#This Row],[Symbol]])-FIND(" ",T_Gainers[[#This Row],[Symbol]]))</f>
        <v xml:space="preserve"> Terex Corporation</v>
      </c>
      <c r="D85" s="5" t="s">
        <v>295</v>
      </c>
      <c r="E85" s="2">
        <v>4.4600000000000001E-2</v>
      </c>
      <c r="F85" s="14">
        <v>2.37</v>
      </c>
      <c r="G85" s="27" t="str">
        <f t="shared" si="3"/>
        <v>55.48</v>
      </c>
      <c r="H85" s="12" t="s">
        <v>296</v>
      </c>
      <c r="I85" s="12" t="s">
        <v>297</v>
      </c>
      <c r="J85" s="12" t="s">
        <v>298</v>
      </c>
    </row>
    <row r="86" spans="1:10" x14ac:dyDescent="0.35">
      <c r="A86" s="6">
        <f t="shared" si="4"/>
        <v>84</v>
      </c>
      <c r="B86" s="7" t="str">
        <f>LEFT(T_Gainers[[#This Row],[Symbol]], FIND(" ", T_Gainers[[#This Row],[Symbol]]) - 1)</f>
        <v>FUN</v>
      </c>
      <c r="C86" s="7" t="str">
        <f>RIGHT(T_Gainers[[#This Row],[Symbol]],LEN(T_Gainers[[#This Row],[Symbol]])-FIND(" ",T_Gainers[[#This Row],[Symbol]]))</f>
        <v xml:space="preserve"> Six Flags Entertainment Corporation</v>
      </c>
      <c r="D86" s="5" t="s">
        <v>299</v>
      </c>
      <c r="E86" s="2">
        <v>4.4499999999999998E-2</v>
      </c>
      <c r="F86" s="14">
        <v>1.62</v>
      </c>
      <c r="G86" s="27" t="str">
        <f t="shared" si="3"/>
        <v>38.04</v>
      </c>
      <c r="H86" s="12" t="s">
        <v>300</v>
      </c>
      <c r="I86" s="12" t="s">
        <v>301</v>
      </c>
      <c r="J86" s="12" t="s">
        <v>302</v>
      </c>
    </row>
    <row r="87" spans="1:10" x14ac:dyDescent="0.35">
      <c r="A87" s="6">
        <f t="shared" si="4"/>
        <v>85</v>
      </c>
      <c r="B87" s="7" t="str">
        <f>LEFT(T_Gainers[[#This Row],[Symbol]], FIND(" ", T_Gainers[[#This Row],[Symbol]]) - 1)</f>
        <v>JPM</v>
      </c>
      <c r="C87" s="7" t="str">
        <f>RIGHT(T_Gainers[[#This Row],[Symbol]],LEN(T_Gainers[[#This Row],[Symbol]])-FIND(" ",T_Gainers[[#This Row],[Symbol]]))</f>
        <v xml:space="preserve"> JPMorgan Chase &amp; Co.</v>
      </c>
      <c r="D87" s="5" t="s">
        <v>303</v>
      </c>
      <c r="E87" s="2">
        <v>4.4400000000000002E-2</v>
      </c>
      <c r="F87" s="14">
        <v>9.4499999999999993</v>
      </c>
      <c r="G87" s="27" t="str">
        <f t="shared" si="3"/>
        <v>222.29</v>
      </c>
      <c r="H87" s="12" t="s">
        <v>304</v>
      </c>
      <c r="I87" s="12" t="s">
        <v>305</v>
      </c>
      <c r="J87" s="12" t="s">
        <v>306</v>
      </c>
    </row>
    <row r="88" spans="1:10" x14ac:dyDescent="0.35">
      <c r="A88" s="6">
        <f t="shared" si="4"/>
        <v>86</v>
      </c>
      <c r="B88" s="7" t="str">
        <f>LEFT(T_Gainers[[#This Row],[Symbol]], FIND(" ", T_Gainers[[#This Row],[Symbol]]) - 1)</f>
        <v>TBBK</v>
      </c>
      <c r="C88" s="7" t="str">
        <f>RIGHT(T_Gainers[[#This Row],[Symbol]],LEN(T_Gainers[[#This Row],[Symbol]])-FIND(" ",T_Gainers[[#This Row],[Symbol]]))</f>
        <v xml:space="preserve"> The Bancorp, Inc.</v>
      </c>
      <c r="D88" s="5" t="s">
        <v>307</v>
      </c>
      <c r="E88" s="2">
        <v>4.4299999999999999E-2</v>
      </c>
      <c r="F88" s="14">
        <v>2.34</v>
      </c>
      <c r="G88" s="27" t="str">
        <f t="shared" si="3"/>
        <v>55.13</v>
      </c>
      <c r="H88" s="12" t="s">
        <v>308</v>
      </c>
      <c r="I88" s="12" t="s">
        <v>401</v>
      </c>
      <c r="J88" s="12" t="s">
        <v>309</v>
      </c>
    </row>
    <row r="89" spans="1:10" x14ac:dyDescent="0.35">
      <c r="A89" s="6">
        <f t="shared" si="4"/>
        <v>87</v>
      </c>
      <c r="B89" s="7" t="str">
        <f>LEFT(T_Gainers[[#This Row],[Symbol]], FIND(" ", T_Gainers[[#This Row],[Symbol]]) - 1)</f>
        <v>BHVN</v>
      </c>
      <c r="C89" s="7" t="str">
        <f>RIGHT(T_Gainers[[#This Row],[Symbol]],LEN(T_Gainers[[#This Row],[Symbol]])-FIND(" ",T_Gainers[[#This Row],[Symbol]]))</f>
        <v xml:space="preserve"> Biohaven Ltd.</v>
      </c>
      <c r="D89" s="5" t="s">
        <v>310</v>
      </c>
      <c r="E89" s="2">
        <v>4.4299999999999999E-2</v>
      </c>
      <c r="F89" s="14">
        <v>2.2799999999999998</v>
      </c>
      <c r="G89" s="27" t="str">
        <f t="shared" si="3"/>
        <v>53.73</v>
      </c>
      <c r="H89" s="12" t="s">
        <v>311</v>
      </c>
      <c r="I89" s="12" t="s">
        <v>312</v>
      </c>
      <c r="J89" s="12" t="s">
        <v>313</v>
      </c>
    </row>
    <row r="90" spans="1:10" x14ac:dyDescent="0.35">
      <c r="A90" s="6">
        <f t="shared" si="4"/>
        <v>88</v>
      </c>
      <c r="B90" s="7" t="str">
        <f>LEFT(T_Gainers[[#This Row],[Symbol]], FIND(" ", T_Gainers[[#This Row],[Symbol]]) - 1)</f>
        <v>RRX</v>
      </c>
      <c r="C90" s="7" t="str">
        <f>RIGHT(T_Gainers[[#This Row],[Symbol]],LEN(T_Gainers[[#This Row],[Symbol]])-FIND(" ",T_Gainers[[#This Row],[Symbol]]))</f>
        <v xml:space="preserve"> Regal Rexnord Corporation</v>
      </c>
      <c r="D90" s="5" t="s">
        <v>314</v>
      </c>
      <c r="E90" s="2">
        <v>4.4299999999999999E-2</v>
      </c>
      <c r="F90" s="14">
        <v>7.26</v>
      </c>
      <c r="G90" s="27" t="str">
        <f t="shared" si="3"/>
        <v>171.22</v>
      </c>
      <c r="H90" s="12" t="s">
        <v>315</v>
      </c>
      <c r="I90" s="12" t="s">
        <v>316</v>
      </c>
      <c r="J90" s="12" t="s">
        <v>317</v>
      </c>
    </row>
    <row r="91" spans="1:10" x14ac:dyDescent="0.35">
      <c r="A91" s="6">
        <f t="shared" si="4"/>
        <v>89</v>
      </c>
      <c r="B91" s="7" t="str">
        <f>LEFT(T_Gainers[[#This Row],[Symbol]], FIND(" ", T_Gainers[[#This Row],[Symbol]]) - 1)</f>
        <v>PRK</v>
      </c>
      <c r="C91" s="7" t="str">
        <f>RIGHT(T_Gainers[[#This Row],[Symbol]],LEN(T_Gainers[[#This Row],[Symbol]])-FIND(" ",T_Gainers[[#This Row],[Symbol]]))</f>
        <v xml:space="preserve"> Park National Corporation</v>
      </c>
      <c r="D91" s="5" t="s">
        <v>318</v>
      </c>
      <c r="E91" s="2">
        <v>4.4200000000000003E-2</v>
      </c>
      <c r="F91" s="14">
        <v>7.24</v>
      </c>
      <c r="G91" s="27" t="str">
        <f t="shared" si="3"/>
        <v>171.03</v>
      </c>
      <c r="H91" s="12" t="s">
        <v>319</v>
      </c>
      <c r="I91" s="12" t="s">
        <v>320</v>
      </c>
      <c r="J91" s="12" t="s">
        <v>321</v>
      </c>
    </row>
    <row r="92" spans="1:10" x14ac:dyDescent="0.35">
      <c r="A92" s="6">
        <f t="shared" si="4"/>
        <v>90</v>
      </c>
      <c r="B92" s="7" t="str">
        <f>LEFT(T_Gainers[[#This Row],[Symbol]], FIND(" ", T_Gainers[[#This Row],[Symbol]]) - 1)</f>
        <v>SNAP</v>
      </c>
      <c r="C92" s="7" t="str">
        <f>RIGHT(T_Gainers[[#This Row],[Symbol]],LEN(T_Gainers[[#This Row],[Symbol]])-FIND(" ",T_Gainers[[#This Row],[Symbol]]))</f>
        <v xml:space="preserve"> Snap Inc.</v>
      </c>
      <c r="D92" s="5" t="s">
        <v>322</v>
      </c>
      <c r="E92" s="2">
        <v>4.41E-2</v>
      </c>
      <c r="F92" s="14">
        <v>0.47</v>
      </c>
      <c r="G92" s="27" t="str">
        <f t="shared" si="3"/>
        <v>11.13</v>
      </c>
      <c r="H92" s="12" t="s">
        <v>323</v>
      </c>
      <c r="I92" s="12" t="s">
        <v>324</v>
      </c>
      <c r="J92" s="12" t="s">
        <v>325</v>
      </c>
    </row>
    <row r="93" spans="1:10" x14ac:dyDescent="0.35">
      <c r="A93" s="6">
        <f t="shared" si="4"/>
        <v>91</v>
      </c>
      <c r="B93" s="7" t="str">
        <f>LEFT(T_Gainers[[#This Row],[Symbol]], FIND(" ", T_Gainers[[#This Row],[Symbol]]) - 1)</f>
        <v>SOFI</v>
      </c>
      <c r="C93" s="7" t="str">
        <f>RIGHT(T_Gainers[[#This Row],[Symbol]],LEN(T_Gainers[[#This Row],[Symbol]])-FIND(" ",T_Gainers[[#This Row],[Symbol]]))</f>
        <v xml:space="preserve"> SoFi Technologies, Inc.</v>
      </c>
      <c r="D93" s="5" t="s">
        <v>326</v>
      </c>
      <c r="E93" s="2">
        <v>4.3999999999999997E-2</v>
      </c>
      <c r="F93" s="14">
        <v>0.38</v>
      </c>
      <c r="G93" s="27" t="str">
        <f t="shared" si="3"/>
        <v>9.01</v>
      </c>
      <c r="H93" s="12" t="s">
        <v>327</v>
      </c>
      <c r="I93" s="12" t="s">
        <v>402</v>
      </c>
      <c r="J93" s="12" t="s">
        <v>328</v>
      </c>
    </row>
    <row r="94" spans="1:10" x14ac:dyDescent="0.35">
      <c r="A94" s="6">
        <f t="shared" si="4"/>
        <v>92</v>
      </c>
      <c r="B94" s="7" t="str">
        <f>LEFT(T_Gainers[[#This Row],[Symbol]], FIND(" ", T_Gainers[[#This Row],[Symbol]]) - 1)</f>
        <v>VLY</v>
      </c>
      <c r="C94" s="7" t="str">
        <f>RIGHT(T_Gainers[[#This Row],[Symbol]],LEN(T_Gainers[[#This Row],[Symbol]])-FIND(" ",T_Gainers[[#This Row],[Symbol]]))</f>
        <v xml:space="preserve"> Valley National Bancorp</v>
      </c>
      <c r="D94" s="5" t="s">
        <v>329</v>
      </c>
      <c r="E94" s="2">
        <v>4.3999999999999997E-2</v>
      </c>
      <c r="F94" s="14">
        <v>0.39</v>
      </c>
      <c r="G94" s="27" t="str">
        <f t="shared" si="3"/>
        <v>9.25</v>
      </c>
      <c r="H94" s="12" t="s">
        <v>330</v>
      </c>
      <c r="I94" s="12" t="s">
        <v>403</v>
      </c>
      <c r="J94" s="12" t="s">
        <v>331</v>
      </c>
    </row>
    <row r="95" spans="1:10" x14ac:dyDescent="0.35">
      <c r="A95" s="6">
        <f t="shared" si="4"/>
        <v>93</v>
      </c>
      <c r="B95" s="7" t="str">
        <f>LEFT(T_Gainers[[#This Row],[Symbol]], FIND(" ", T_Gainers[[#This Row],[Symbol]]) - 1)</f>
        <v>MYGN</v>
      </c>
      <c r="C95" s="7" t="str">
        <f>RIGHT(T_Gainers[[#This Row],[Symbol]],LEN(T_Gainers[[#This Row],[Symbol]])-FIND(" ",T_Gainers[[#This Row],[Symbol]]))</f>
        <v xml:space="preserve"> Myriad Genetics, Inc.</v>
      </c>
      <c r="D95" s="5" t="s">
        <v>332</v>
      </c>
      <c r="E95" s="2">
        <v>4.3799999999999999E-2</v>
      </c>
      <c r="F95" s="14">
        <v>1.01</v>
      </c>
      <c r="G95" s="27" t="str">
        <f t="shared" si="3"/>
        <v>24.08</v>
      </c>
      <c r="H95" s="12" t="s">
        <v>333</v>
      </c>
      <c r="I95" s="12" t="s">
        <v>404</v>
      </c>
      <c r="J95" s="12" t="s">
        <v>334</v>
      </c>
    </row>
    <row r="96" spans="1:10" x14ac:dyDescent="0.35">
      <c r="A96" s="6">
        <f t="shared" si="4"/>
        <v>94</v>
      </c>
      <c r="B96" s="7" t="str">
        <f>LEFT(T_Gainers[[#This Row],[Symbol]], FIND(" ", T_Gainers[[#This Row],[Symbol]]) - 1)</f>
        <v>YY</v>
      </c>
      <c r="C96" s="7" t="str">
        <f>RIGHT(T_Gainers[[#This Row],[Symbol]],LEN(T_Gainers[[#This Row],[Symbol]])-FIND(" ",T_Gainers[[#This Row],[Symbol]]))</f>
        <v xml:space="preserve"> JOYY Inc.</v>
      </c>
      <c r="D96" s="5" t="s">
        <v>335</v>
      </c>
      <c r="E96" s="2">
        <v>4.3700000000000003E-2</v>
      </c>
      <c r="F96" s="14">
        <v>1.53</v>
      </c>
      <c r="G96" s="27" t="str">
        <f t="shared" si="3"/>
        <v>36.53</v>
      </c>
      <c r="H96" s="12" t="s">
        <v>336</v>
      </c>
      <c r="I96" s="12" t="s">
        <v>405</v>
      </c>
      <c r="J96" s="12" t="s">
        <v>337</v>
      </c>
    </row>
    <row r="97" spans="1:10" x14ac:dyDescent="0.35">
      <c r="A97" s="6">
        <f t="shared" si="4"/>
        <v>95</v>
      </c>
      <c r="B97" s="7" t="str">
        <f>LEFT(T_Gainers[[#This Row],[Symbol]], FIND(" ", T_Gainers[[#This Row],[Symbol]]) - 1)</f>
        <v>GNRC</v>
      </c>
      <c r="C97" s="7" t="str">
        <f>RIGHT(T_Gainers[[#This Row],[Symbol]],LEN(T_Gainers[[#This Row],[Symbol]])-FIND(" ",T_Gainers[[#This Row],[Symbol]]))</f>
        <v xml:space="preserve"> Generac Holdings Inc.</v>
      </c>
      <c r="D97" s="5" t="s">
        <v>338</v>
      </c>
      <c r="E97" s="2">
        <v>4.3700000000000003E-2</v>
      </c>
      <c r="F97" s="14">
        <v>7.27</v>
      </c>
      <c r="G97" s="27" t="str">
        <f t="shared" si="3"/>
        <v>173.59</v>
      </c>
      <c r="H97" s="12" t="s">
        <v>339</v>
      </c>
      <c r="I97" s="12" t="s">
        <v>340</v>
      </c>
      <c r="J97" s="12" t="s">
        <v>341</v>
      </c>
    </row>
    <row r="98" spans="1:10" x14ac:dyDescent="0.35">
      <c r="A98" s="6">
        <f t="shared" si="4"/>
        <v>96</v>
      </c>
      <c r="B98" s="7" t="str">
        <f>LEFT(T_Gainers[[#This Row],[Symbol]], FIND(" ", T_Gainers[[#This Row],[Symbol]]) - 1)</f>
        <v>RNG</v>
      </c>
      <c r="C98" s="7" t="str">
        <f>RIGHT(T_Gainers[[#This Row],[Symbol]],LEN(T_Gainers[[#This Row],[Symbol]])-FIND(" ",T_Gainers[[#This Row],[Symbol]]))</f>
        <v xml:space="preserve"> RingCentral, Inc.</v>
      </c>
      <c r="D98" s="5" t="s">
        <v>342</v>
      </c>
      <c r="E98" s="2">
        <v>4.3700000000000003E-2</v>
      </c>
      <c r="F98" s="14">
        <v>1.37</v>
      </c>
      <c r="G98" s="27" t="str">
        <f t="shared" si="3"/>
        <v>32.72</v>
      </c>
      <c r="H98" s="12" t="s">
        <v>343</v>
      </c>
      <c r="I98" s="12" t="s">
        <v>344</v>
      </c>
      <c r="J98" s="12" t="s">
        <v>345</v>
      </c>
    </row>
    <row r="99" spans="1:10" x14ac:dyDescent="0.35">
      <c r="A99" s="6">
        <f t="shared" si="4"/>
        <v>97</v>
      </c>
      <c r="B99" s="7" t="str">
        <f>LEFT(T_Gainers[[#This Row],[Symbol]], FIND(" ", T_Gainers[[#This Row],[Symbol]]) - 1)</f>
        <v>MDU</v>
      </c>
      <c r="C99" s="7" t="str">
        <f>RIGHT(T_Gainers[[#This Row],[Symbol]],LEN(T_Gainers[[#This Row],[Symbol]])-FIND(" ",T_Gainers[[#This Row],[Symbol]]))</f>
        <v xml:space="preserve"> MDU Resources Group, Inc.</v>
      </c>
      <c r="D99" s="5" t="s">
        <v>346</v>
      </c>
      <c r="E99" s="2">
        <v>4.3400000000000001E-2</v>
      </c>
      <c r="F99" s="14">
        <v>1.19</v>
      </c>
      <c r="G99" s="27" t="str">
        <f t="shared" ref="G99:G130" si="5">LEFT(H99, FIND(" ", H99)-1)</f>
        <v>28.58</v>
      </c>
      <c r="H99" s="12" t="s">
        <v>347</v>
      </c>
      <c r="I99" s="12" t="s">
        <v>348</v>
      </c>
      <c r="J99" s="12" t="s">
        <v>349</v>
      </c>
    </row>
    <row r="100" spans="1:10" x14ac:dyDescent="0.35">
      <c r="A100" s="6">
        <f t="shared" si="4"/>
        <v>98</v>
      </c>
      <c r="B100" s="7" t="str">
        <f>LEFT(T_Gainers[[#This Row],[Symbol]], FIND(" ", T_Gainers[[#This Row],[Symbol]]) - 1)</f>
        <v>ARCB</v>
      </c>
      <c r="C100" s="7" t="str">
        <f>RIGHT(T_Gainers[[#This Row],[Symbol]],LEN(T_Gainers[[#This Row],[Symbol]])-FIND(" ",T_Gainers[[#This Row],[Symbol]]))</f>
        <v xml:space="preserve"> ArcBest Corporation</v>
      </c>
      <c r="D100" s="5" t="s">
        <v>350</v>
      </c>
      <c r="E100" s="2">
        <v>4.3299999999999998E-2</v>
      </c>
      <c r="F100" s="14">
        <v>4.4000000000000004</v>
      </c>
      <c r="G100" s="27" t="str">
        <f t="shared" si="5"/>
        <v>105.95</v>
      </c>
      <c r="H100" s="12" t="s">
        <v>351</v>
      </c>
      <c r="I100" s="12" t="s">
        <v>406</v>
      </c>
      <c r="J100" s="12" t="s">
        <v>352</v>
      </c>
    </row>
    <row r="101" spans="1:10" x14ac:dyDescent="0.35">
      <c r="A101" s="6">
        <f t="shared" si="4"/>
        <v>99</v>
      </c>
      <c r="B101" s="7" t="str">
        <f>LEFT(T_Gainers[[#This Row],[Symbol]], FIND(" ", T_Gainers[[#This Row],[Symbol]]) - 1)</f>
        <v>LB</v>
      </c>
      <c r="C101" s="7" t="str">
        <f>RIGHT(T_Gainers[[#This Row],[Symbol]],LEN(T_Gainers[[#This Row],[Symbol]])-FIND(" ",T_Gainers[[#This Row],[Symbol]]))</f>
        <v xml:space="preserve"> LandBridge Company LLC</v>
      </c>
      <c r="D101" s="5" t="s">
        <v>353</v>
      </c>
      <c r="E101" s="2">
        <v>4.3200000000000002E-2</v>
      </c>
      <c r="F101" s="14">
        <v>2.0299999999999998</v>
      </c>
      <c r="G101" s="27" t="str">
        <f t="shared" si="5"/>
        <v>49.02</v>
      </c>
      <c r="H101" s="12" t="s">
        <v>354</v>
      </c>
      <c r="I101" s="12" t="s">
        <v>355</v>
      </c>
      <c r="J101" s="12" t="s">
        <v>356</v>
      </c>
    </row>
    <row r="102" spans="1:10" x14ac:dyDescent="0.35">
      <c r="A102" s="6">
        <f t="shared" si="4"/>
        <v>100</v>
      </c>
      <c r="B102" s="7" t="str">
        <f>LEFT(T_Gainers[[#This Row],[Symbol]], FIND(" ", T_Gainers[[#This Row],[Symbol]]) - 1)</f>
        <v>USLM</v>
      </c>
      <c r="C102" s="7" t="str">
        <f>RIGHT(T_Gainers[[#This Row],[Symbol]],LEN(T_Gainers[[#This Row],[Symbol]])-FIND(" ",T_Gainers[[#This Row],[Symbol]]))</f>
        <v xml:space="preserve"> United States Lime &amp; Minerals, Inc.</v>
      </c>
      <c r="D102" s="5" t="s">
        <v>357</v>
      </c>
      <c r="E102" s="2">
        <v>4.3099999999999999E-2</v>
      </c>
      <c r="F102" s="14">
        <v>4.21</v>
      </c>
      <c r="G102" s="27" t="str">
        <f t="shared" si="5"/>
        <v>101.81</v>
      </c>
      <c r="H102" s="12" t="s">
        <v>358</v>
      </c>
      <c r="I102" s="12" t="s">
        <v>407</v>
      </c>
      <c r="J102" s="12" t="s">
        <v>359</v>
      </c>
    </row>
  </sheetData>
  <pageMargins left="0.7" right="0.7" top="0.75" bottom="0.75" header="0.3" footer="0.3"/>
  <pageSetup orientation="portrait" r:id="rId1"/>
  <drawing r:id="rId2"/>
  <tableParts count="1">
    <tablePart r:id="rId3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6043F7FF-91AA-4861-A4A8-AA61D5D64B6D}">
          <xm:f>#REF!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B8CE-E069-4FE5-8039-FF02758465B1}">
  <sheetPr codeName="Sheet8"/>
  <dimension ref="A1:H4"/>
  <sheetViews>
    <sheetView workbookViewId="0">
      <selection activeCell="J10" sqref="J10"/>
    </sheetView>
  </sheetViews>
  <sheetFormatPr defaultRowHeight="14.5" x14ac:dyDescent="0.35"/>
  <cols>
    <col min="1" max="1" width="9.08984375" customWidth="1"/>
    <col min="2" max="2" width="11.1796875" bestFit="1" customWidth="1"/>
    <col min="4" max="4" width="9.1796875" customWidth="1"/>
    <col min="5" max="5" width="11.08984375" customWidth="1"/>
    <col min="6" max="6" width="11.1796875" bestFit="1" customWidth="1"/>
    <col min="7" max="7" width="13.7265625" bestFit="1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858</v>
      </c>
      <c r="H1" t="s">
        <v>861</v>
      </c>
    </row>
    <row r="2" spans="1:8" x14ac:dyDescent="0.35">
      <c r="A2" t="e" vm="1">
        <v>#VALUE!</v>
      </c>
      <c r="B2" t="str" cm="1">
        <f t="array" aca="1" ref="B2" ca="1">_FV(A2,"Ticker symbol",TRUE)</f>
        <v>DJI</v>
      </c>
      <c r="C2" t="str" cm="1">
        <f t="array" aca="1" ref="C2" ca="1">_FV(A2,"Name")</f>
        <v>DOW JONES INDU AVERAGE NDX</v>
      </c>
      <c r="D2" s="34" cm="1">
        <f t="array" aca="1" ref="D2" ca="1">_FV(A2,"Change")</f>
        <v>409.74</v>
      </c>
      <c r="E2" s="33" cm="1">
        <f t="array" aca="1" ref="E2" ca="1">_FV(A2,"Change (%)",TRUE)</f>
        <v>9.6509999999999999E-3</v>
      </c>
      <c r="F2" s="1" cm="1">
        <f t="array" aca="1" ref="F2" ca="1">_FV(A2,"Price")</f>
        <v>42863.86</v>
      </c>
      <c r="G2" t="s">
        <v>859</v>
      </c>
    </row>
    <row r="3" spans="1:8" x14ac:dyDescent="0.35">
      <c r="A3" t="e" vm="2">
        <v>#VALUE!</v>
      </c>
      <c r="B3" t="str" cm="1">
        <f t="array" aca="1" ref="B3" ca="1">_FV(A3,"Ticker symbol",TRUE)</f>
        <v>INX</v>
      </c>
      <c r="C3" t="str" cm="1">
        <f t="array" aca="1" ref="C3" ca="1">_FV(A3,"Name")</f>
        <v>S&amp;P 500 INDEX</v>
      </c>
      <c r="D3" s="34" cm="1">
        <f t="array" aca="1" ref="D3" ca="1">_FV(A3,"Change")</f>
        <v>34.979999999999997</v>
      </c>
      <c r="E3" s="33" cm="1">
        <f t="array" aca="1" ref="E3" ca="1">_FV(A3,"Change (%)",TRUE)</f>
        <v>6.0519999999999992E-3</v>
      </c>
      <c r="F3" s="1" cm="1">
        <f t="array" aca="1" ref="F3" ca="1">_FV(A3,"Price")</f>
        <v>5815.03</v>
      </c>
      <c r="G3" t="s">
        <v>857</v>
      </c>
    </row>
    <row r="4" spans="1:8" x14ac:dyDescent="0.35">
      <c r="A4" t="e" vm="3">
        <v>#VALUE!</v>
      </c>
      <c r="B4" s="1" t="str" cm="1">
        <f t="array" aca="1" ref="B4" ca="1">_FV(A4,"Ticker symbol",TRUE)</f>
        <v>NDX</v>
      </c>
      <c r="C4" t="str" cm="1">
        <f t="array" aca="1" ref="C4" ca="1">_FV(A4,"Name")</f>
        <v>NASDAQ 100 Index</v>
      </c>
      <c r="D4" s="34" cm="1">
        <f t="array" aca="1" ref="D4" ca="1">_FV(A4,"Change")</f>
        <v>30.213000000000001</v>
      </c>
      <c r="E4" s="33" cm="1">
        <f t="array" aca="1" ref="E4" ca="1">_FV(A4,"Change (%)",TRUE)</f>
        <v>1.493E-3</v>
      </c>
      <c r="F4" s="1" cm="1">
        <f t="array" aca="1" ref="F4" ca="1">_FV(A4,"Price")</f>
        <v>20271.973999999998</v>
      </c>
      <c r="G4" t="s">
        <v>860</v>
      </c>
    </row>
  </sheetData>
  <sheetProtection algorithmName="SHA-512" hashValue="7pR1OFmSlsQhgu2jsp1ZT3EKwjJlKghBGNlp8O+Idhgt9peAoLSUKZpfQkfjdEs5mDMVvDeqvaJvjJibPjx62g==" saltValue="dQfziMg48qa91PJyArEupA==" spinCount="100000" sheet="1" objects="1" scenarios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9C41-BBC0-4975-8C83-5D0E8A479DF3}">
  <sheetPr codeName="Sheet3"/>
  <dimension ref="A1:N22"/>
  <sheetViews>
    <sheetView workbookViewId="0"/>
  </sheetViews>
  <sheetFormatPr defaultRowHeight="14.5" x14ac:dyDescent="0.35"/>
  <cols>
    <col min="1" max="1" width="4.6328125" bestFit="1" customWidth="1"/>
    <col min="2" max="2" width="7.7265625" bestFit="1" customWidth="1"/>
    <col min="3" max="3" width="39.08984375" bestFit="1" customWidth="1"/>
    <col min="4" max="4" width="16.6328125" hidden="1" customWidth="1"/>
    <col min="5" max="5" width="11.54296875" bestFit="1" customWidth="1"/>
    <col min="6" max="6" width="11.81640625" hidden="1" customWidth="1"/>
    <col min="7" max="7" width="9" bestFit="1" customWidth="1"/>
    <col min="8" max="8" width="6.81640625" bestFit="1" customWidth="1"/>
    <col min="9" max="9" width="19.453125" hidden="1" customWidth="1"/>
    <col min="10" max="10" width="9.36328125" bestFit="1" customWidth="1"/>
    <col min="11" max="11" width="13.36328125" bestFit="1" customWidth="1"/>
    <col min="12" max="12" width="15.453125" bestFit="1" customWidth="1"/>
    <col min="13" max="13" width="16.453125" bestFit="1" customWidth="1"/>
    <col min="14" max="14" width="13.1796875" bestFit="1" customWidth="1"/>
    <col min="15" max="15" width="8.81640625" bestFit="1" customWidth="1"/>
    <col min="16" max="16" width="18.7265625" bestFit="1" customWidth="1"/>
    <col min="17" max="17" width="12.26953125" bestFit="1" customWidth="1"/>
  </cols>
  <sheetData>
    <row r="1" spans="1:14" ht="30" x14ac:dyDescent="0.6">
      <c r="A1" s="11" t="s">
        <v>490</v>
      </c>
    </row>
    <row r="2" spans="1:14" s="18" customFormat="1" ht="17.5" x14ac:dyDescent="0.35">
      <c r="A2" s="22" t="s">
        <v>6</v>
      </c>
      <c r="B2" s="22" t="s">
        <v>0</v>
      </c>
      <c r="C2" s="9" t="s">
        <v>1</v>
      </c>
      <c r="D2" s="9" t="s">
        <v>7</v>
      </c>
      <c r="E2" s="9" t="s">
        <v>4</v>
      </c>
      <c r="F2" s="9" t="s">
        <v>408</v>
      </c>
      <c r="G2" s="9" t="s">
        <v>2</v>
      </c>
      <c r="H2" s="9" t="s">
        <v>410</v>
      </c>
      <c r="I2" s="9" t="s">
        <v>3</v>
      </c>
      <c r="J2" s="9" t="s">
        <v>8</v>
      </c>
      <c r="K2" s="9" t="s">
        <v>5</v>
      </c>
      <c r="L2"/>
      <c r="M2"/>
      <c r="N2"/>
    </row>
    <row r="3" spans="1:14" x14ac:dyDescent="0.35">
      <c r="A3" s="20">
        <v>1</v>
      </c>
      <c r="B3" s="20" t="str">
        <f>LEFT(T_Losers[[#This Row],[Symbol]], FIND(" ", T_Losers[[#This Row],[Symbol]]) - 1)</f>
        <v>FLUT</v>
      </c>
      <c r="C3" s="20" t="str">
        <f>RIGHT(T_Losers[[#This Row],[Symbol]],LEN(T_Losers[[#This Row],[Symbol]])-FIND(" ",T_Losers[[#This Row],[Symbol]]))</f>
        <v xml:space="preserve"> Flutter Entertainment plc</v>
      </c>
      <c r="D3" s="20" t="s">
        <v>411</v>
      </c>
      <c r="E3" s="21">
        <v>-8.7800000000000003E-2</v>
      </c>
      <c r="F3" s="21">
        <v>-8.7800000000000003E-2</v>
      </c>
      <c r="G3" s="24">
        <v>-21.14</v>
      </c>
      <c r="H3" s="12" t="str">
        <f t="shared" ref="H3:H22" si="0">LEFT(I3, FIND(" ", I3)-1)</f>
        <v>219.50</v>
      </c>
      <c r="I3" s="20" t="s">
        <v>412</v>
      </c>
      <c r="J3" s="16" t="s">
        <v>413</v>
      </c>
      <c r="K3" s="16" t="s">
        <v>414</v>
      </c>
    </row>
    <row r="4" spans="1:14" x14ac:dyDescent="0.35">
      <c r="A4" s="20">
        <f>A3+1</f>
        <v>2</v>
      </c>
      <c r="B4" s="20" t="str">
        <f>LEFT(T_Losers[[#This Row],[Symbol]], FIND(" ", T_Losers[[#This Row],[Symbol]]) - 1)</f>
        <v>TSLA</v>
      </c>
      <c r="C4" s="20" t="str">
        <f>RIGHT(T_Losers[[#This Row],[Symbol]],LEN(T_Losers[[#This Row],[Symbol]])-FIND(" ",T_Losers[[#This Row],[Symbol]]))</f>
        <v xml:space="preserve"> Tesla, Inc.</v>
      </c>
      <c r="D4" s="20" t="s">
        <v>415</v>
      </c>
      <c r="E4" s="21">
        <v>-8.7800000000000003E-2</v>
      </c>
      <c r="F4" s="21">
        <v>-8.7800000000000003E-2</v>
      </c>
      <c r="G4" s="24">
        <v>-20.97</v>
      </c>
      <c r="H4" s="12" t="str">
        <f t="shared" si="0"/>
        <v>217.80</v>
      </c>
      <c r="I4" s="20" t="s">
        <v>416</v>
      </c>
      <c r="J4" s="16" t="s">
        <v>417</v>
      </c>
      <c r="K4" s="16" t="s">
        <v>418</v>
      </c>
    </row>
    <row r="5" spans="1:14" x14ac:dyDescent="0.35">
      <c r="A5" s="20">
        <f t="shared" ref="A5:A22" si="1">A4+1</f>
        <v>3</v>
      </c>
      <c r="B5" s="20" t="str">
        <f>LEFT(T_Losers[[#This Row],[Symbol]], FIND(" ", T_Losers[[#This Row],[Symbol]]) - 1)</f>
        <v>GMVHY</v>
      </c>
      <c r="C5" s="20" t="str">
        <f>RIGHT(T_Losers[[#This Row],[Symbol]],LEN(T_Losers[[#This Row],[Symbol]])-FIND(" ",T_Losers[[#This Row],[Symbol]]))</f>
        <v xml:space="preserve"> Entain Plc</v>
      </c>
      <c r="D5" s="20" t="s">
        <v>419</v>
      </c>
      <c r="E5" s="21">
        <v>-6.8400000000000002E-2</v>
      </c>
      <c r="F5" s="21">
        <v>-6.8400000000000002E-2</v>
      </c>
      <c r="G5" s="24">
        <v>-0.68</v>
      </c>
      <c r="H5" s="12" t="str">
        <f t="shared" si="0"/>
        <v>9.26</v>
      </c>
      <c r="I5" s="20" t="s">
        <v>420</v>
      </c>
      <c r="J5" s="16" t="s">
        <v>421</v>
      </c>
      <c r="K5" s="16" t="s">
        <v>12</v>
      </c>
    </row>
    <row r="6" spans="1:14" x14ac:dyDescent="0.35">
      <c r="A6" s="20">
        <f t="shared" si="1"/>
        <v>4</v>
      </c>
      <c r="B6" s="20" t="str">
        <f>LEFT(T_Losers[[#This Row],[Symbol]], FIND(" ", T_Losers[[#This Row],[Symbol]]) - 1)</f>
        <v>AOS</v>
      </c>
      <c r="C6" s="20" t="str">
        <f>RIGHT(T_Losers[[#This Row],[Symbol]],LEN(T_Losers[[#This Row],[Symbol]])-FIND(" ",T_Losers[[#This Row],[Symbol]]))</f>
        <v xml:space="preserve"> A. O. Smith Corporation</v>
      </c>
      <c r="D6" s="20" t="s">
        <v>422</v>
      </c>
      <c r="E6" s="21">
        <v>-6.25E-2</v>
      </c>
      <c r="F6" s="21">
        <v>-6.25E-2</v>
      </c>
      <c r="G6" s="24">
        <v>-5.39</v>
      </c>
      <c r="H6" s="12" t="str">
        <f t="shared" si="0"/>
        <v>80.87</v>
      </c>
      <c r="I6" s="20" t="s">
        <v>423</v>
      </c>
      <c r="J6" s="16" t="s">
        <v>424</v>
      </c>
      <c r="K6" s="16" t="s">
        <v>425</v>
      </c>
    </row>
    <row r="7" spans="1:14" x14ac:dyDescent="0.35">
      <c r="A7" s="20">
        <f t="shared" si="1"/>
        <v>5</v>
      </c>
      <c r="B7" s="20" t="str">
        <f>LEFT(T_Losers[[#This Row],[Symbol]], FIND(" ", T_Losers[[#This Row],[Symbol]]) - 1)</f>
        <v>CELH</v>
      </c>
      <c r="C7" s="20" t="str">
        <f>RIGHT(T_Losers[[#This Row],[Symbol]],LEN(T_Losers[[#This Row],[Symbol]])-FIND(" ",T_Losers[[#This Row],[Symbol]]))</f>
        <v xml:space="preserve"> Celsius Holdings, Inc.</v>
      </c>
      <c r="D7" s="20" t="s">
        <v>426</v>
      </c>
      <c r="E7" s="21">
        <v>-6.0400000000000002E-2</v>
      </c>
      <c r="F7" s="21">
        <v>-6.0400000000000002E-2</v>
      </c>
      <c r="G7" s="24">
        <v>-2.11</v>
      </c>
      <c r="H7" s="12" t="str">
        <f t="shared" si="0"/>
        <v>32.80</v>
      </c>
      <c r="I7" s="20" t="s">
        <v>427</v>
      </c>
      <c r="J7" s="16" t="s">
        <v>428</v>
      </c>
      <c r="K7" s="16" t="s">
        <v>429</v>
      </c>
    </row>
    <row r="8" spans="1:14" x14ac:dyDescent="0.35">
      <c r="A8" s="20">
        <f t="shared" si="1"/>
        <v>6</v>
      </c>
      <c r="B8" s="20" t="str">
        <f>LEFT(T_Losers[[#This Row],[Symbol]], FIND(" ", T_Losers[[#This Row],[Symbol]]) - 1)</f>
        <v>TLN</v>
      </c>
      <c r="C8" s="20" t="str">
        <f>RIGHT(T_Losers[[#This Row],[Symbol]],LEN(T_Losers[[#This Row],[Symbol]])-FIND(" ",T_Losers[[#This Row],[Symbol]]))</f>
        <v xml:space="preserve"> Talen Energy Corporation</v>
      </c>
      <c r="D8" s="20" t="s">
        <v>430</v>
      </c>
      <c r="E8" s="21">
        <v>-5.1799999999999999E-2</v>
      </c>
      <c r="F8" s="21">
        <v>-5.1799999999999999E-2</v>
      </c>
      <c r="G8" s="24">
        <v>-8.6999999999999993</v>
      </c>
      <c r="H8" s="12" t="str">
        <f t="shared" si="0"/>
        <v>159.19</v>
      </c>
      <c r="I8" s="20" t="s">
        <v>431</v>
      </c>
      <c r="J8" s="16" t="s">
        <v>432</v>
      </c>
      <c r="K8" s="16" t="s">
        <v>433</v>
      </c>
    </row>
    <row r="9" spans="1:14" x14ac:dyDescent="0.35">
      <c r="A9" s="20">
        <f t="shared" si="1"/>
        <v>7</v>
      </c>
      <c r="B9" s="20" t="str">
        <f>LEFT(T_Losers[[#This Row],[Symbol]], FIND(" ", T_Losers[[#This Row],[Symbol]]) - 1)</f>
        <v>ROCK</v>
      </c>
      <c r="C9" s="20" t="str">
        <f>RIGHT(T_Losers[[#This Row],[Symbol]],LEN(T_Losers[[#This Row],[Symbol]])-FIND(" ",T_Losers[[#This Row],[Symbol]]))</f>
        <v xml:space="preserve"> Gibraltar Industries, Inc.</v>
      </c>
      <c r="D9" s="20" t="s">
        <v>434</v>
      </c>
      <c r="E9" s="21">
        <v>-4.3200000000000002E-2</v>
      </c>
      <c r="F9" s="21">
        <v>-4.3200000000000002E-2</v>
      </c>
      <c r="G9" s="24">
        <v>-3.03</v>
      </c>
      <c r="H9" s="12" t="str">
        <f t="shared" si="0"/>
        <v>67.13</v>
      </c>
      <c r="I9" s="20" t="s">
        <v>435</v>
      </c>
      <c r="J9" s="16" t="s">
        <v>436</v>
      </c>
      <c r="K9" s="16" t="s">
        <v>437</v>
      </c>
    </row>
    <row r="10" spans="1:14" x14ac:dyDescent="0.35">
      <c r="A10" s="20">
        <f t="shared" si="1"/>
        <v>8</v>
      </c>
      <c r="B10" s="20" t="str">
        <f>LEFT(T_Losers[[#This Row],[Symbol]], FIND(" ", T_Losers[[#This Row],[Symbol]]) - 1)</f>
        <v>TD</v>
      </c>
      <c r="C10" s="20" t="str">
        <f>RIGHT(T_Losers[[#This Row],[Symbol]],LEN(T_Losers[[#This Row],[Symbol]])-FIND(" ",T_Losers[[#This Row],[Symbol]]))</f>
        <v xml:space="preserve"> The Toronto-Dominion Bank</v>
      </c>
      <c r="D10" s="20" t="s">
        <v>438</v>
      </c>
      <c r="E10" s="21">
        <v>-4.0899999999999999E-2</v>
      </c>
      <c r="F10" s="21">
        <v>-4.0899999999999999E-2</v>
      </c>
      <c r="G10" s="24">
        <v>-2.4300000000000002</v>
      </c>
      <c r="H10" s="12" t="str">
        <f t="shared" si="0"/>
        <v>57.01</v>
      </c>
      <c r="I10" s="20" t="s">
        <v>439</v>
      </c>
      <c r="J10" s="16" t="s">
        <v>440</v>
      </c>
      <c r="K10" s="16" t="s">
        <v>441</v>
      </c>
    </row>
    <row r="11" spans="1:14" x14ac:dyDescent="0.35">
      <c r="A11" s="20">
        <f t="shared" si="1"/>
        <v>9</v>
      </c>
      <c r="B11" s="20" t="str">
        <f>LEFT(T_Losers[[#This Row],[Symbol]], FIND(" ", T_Losers[[#This Row],[Symbol]]) - 1)</f>
        <v>SQM</v>
      </c>
      <c r="C11" s="20" t="str">
        <f>RIGHT(T_Losers[[#This Row],[Symbol]],LEN(T_Losers[[#This Row],[Symbol]])-FIND(" ",T_Losers[[#This Row],[Symbol]]))</f>
        <v xml:space="preserve"> Sociedad Química y Minera de Chile S.A.</v>
      </c>
      <c r="D11" s="20" t="s">
        <v>442</v>
      </c>
      <c r="E11" s="21">
        <v>-3.4099999999999998E-2</v>
      </c>
      <c r="F11" s="21">
        <v>-3.4099999999999998E-2</v>
      </c>
      <c r="G11" s="24">
        <v>-1.5</v>
      </c>
      <c r="H11" s="12" t="str">
        <f t="shared" si="0"/>
        <v>42.43</v>
      </c>
      <c r="I11" s="20" t="s">
        <v>443</v>
      </c>
      <c r="J11" s="16" t="s">
        <v>444</v>
      </c>
      <c r="K11" s="16" t="s">
        <v>445</v>
      </c>
    </row>
    <row r="12" spans="1:14" x14ac:dyDescent="0.35">
      <c r="A12" s="20">
        <f t="shared" si="1"/>
        <v>10</v>
      </c>
      <c r="B12" s="20" t="str">
        <f>LEFT(T_Losers[[#This Row],[Symbol]], FIND(" ", T_Losers[[#This Row],[Symbol]]) - 1)</f>
        <v>ALGN</v>
      </c>
      <c r="C12" s="20" t="str">
        <f>RIGHT(T_Losers[[#This Row],[Symbol]],LEN(T_Losers[[#This Row],[Symbol]])-FIND(" ",T_Losers[[#This Row],[Symbol]]))</f>
        <v xml:space="preserve"> Align Technology, Inc.</v>
      </c>
      <c r="D12" s="20" t="s">
        <v>446</v>
      </c>
      <c r="E12" s="21">
        <v>-3.3099999999999997E-2</v>
      </c>
      <c r="F12" s="21">
        <v>-3.3099999999999997E-2</v>
      </c>
      <c r="G12" s="24">
        <v>-7.61</v>
      </c>
      <c r="H12" s="12" t="str">
        <f t="shared" si="0"/>
        <v>222.04</v>
      </c>
      <c r="I12" s="20" t="s">
        <v>447</v>
      </c>
      <c r="J12" s="16" t="s">
        <v>448</v>
      </c>
      <c r="K12" s="16" t="s">
        <v>449</v>
      </c>
    </row>
    <row r="13" spans="1:14" x14ac:dyDescent="0.35">
      <c r="A13" s="20">
        <f t="shared" si="1"/>
        <v>11</v>
      </c>
      <c r="B13" s="20" t="str">
        <f>LEFT(T_Losers[[#This Row],[Symbol]], FIND(" ", T_Losers[[#This Row],[Symbol]]) - 1)</f>
        <v>ERJ</v>
      </c>
      <c r="C13" s="20" t="str">
        <f>RIGHT(T_Losers[[#This Row],[Symbol]],LEN(T_Losers[[#This Row],[Symbol]])-FIND(" ",T_Losers[[#This Row],[Symbol]]))</f>
        <v xml:space="preserve"> Embraer S.A.</v>
      </c>
      <c r="D13" s="20" t="s">
        <v>450</v>
      </c>
      <c r="E13" s="21">
        <v>-3.2500000000000001E-2</v>
      </c>
      <c r="F13" s="21">
        <v>-3.2500000000000001E-2</v>
      </c>
      <c r="G13" s="24">
        <v>-1.0900000000000001</v>
      </c>
      <c r="H13" s="12" t="str">
        <f t="shared" si="0"/>
        <v>32.50</v>
      </c>
      <c r="I13" s="20" t="s">
        <v>451</v>
      </c>
      <c r="J13" s="16" t="s">
        <v>452</v>
      </c>
      <c r="K13" s="16" t="s">
        <v>453</v>
      </c>
    </row>
    <row r="14" spans="1:14" x14ac:dyDescent="0.35">
      <c r="A14" s="20">
        <f t="shared" si="1"/>
        <v>12</v>
      </c>
      <c r="B14" s="20" t="str">
        <f>LEFT(T_Losers[[#This Row],[Symbol]], FIND(" ", T_Losers[[#This Row],[Symbol]]) - 1)</f>
        <v>CSAN</v>
      </c>
      <c r="C14" s="20" t="str">
        <f>RIGHT(T_Losers[[#This Row],[Symbol]],LEN(T_Losers[[#This Row],[Symbol]])-FIND(" ",T_Losers[[#This Row],[Symbol]]))</f>
        <v xml:space="preserve"> Cosan S.A.</v>
      </c>
      <c r="D14" s="20" t="s">
        <v>454</v>
      </c>
      <c r="E14" s="21">
        <v>-3.15E-2</v>
      </c>
      <c r="F14" s="21">
        <v>-3.15E-2</v>
      </c>
      <c r="G14" s="24">
        <v>-0.28000000000000003</v>
      </c>
      <c r="H14" s="12" t="str">
        <f t="shared" si="0"/>
        <v>8.62</v>
      </c>
      <c r="I14" s="20" t="s">
        <v>455</v>
      </c>
      <c r="J14" s="16" t="s">
        <v>456</v>
      </c>
      <c r="K14" s="16" t="s">
        <v>457</v>
      </c>
    </row>
    <row r="15" spans="1:14" x14ac:dyDescent="0.35">
      <c r="A15" s="20">
        <f t="shared" si="1"/>
        <v>13</v>
      </c>
      <c r="B15" s="20" t="str">
        <f>LEFT(T_Losers[[#This Row],[Symbol]], FIND(" ", T_Losers[[#This Row],[Symbol]]) - 1)</f>
        <v>ALVO</v>
      </c>
      <c r="C15" s="20" t="str">
        <f>RIGHT(T_Losers[[#This Row],[Symbol]],LEN(T_Losers[[#This Row],[Symbol]])-FIND(" ",T_Losers[[#This Row],[Symbol]]))</f>
        <v xml:space="preserve"> Alvotech</v>
      </c>
      <c r="D15" s="20" t="s">
        <v>458</v>
      </c>
      <c r="E15" s="21">
        <v>-3.1099999999999999E-2</v>
      </c>
      <c r="F15" s="21">
        <v>-3.1099999999999999E-2</v>
      </c>
      <c r="G15" s="24">
        <v>-0.4</v>
      </c>
      <c r="H15" s="12" t="str">
        <f t="shared" si="0"/>
        <v>12.45</v>
      </c>
      <c r="I15" s="20" t="s">
        <v>459</v>
      </c>
      <c r="J15" s="16" t="s">
        <v>460</v>
      </c>
      <c r="K15" s="16" t="s">
        <v>461</v>
      </c>
    </row>
    <row r="16" spans="1:14" x14ac:dyDescent="0.35">
      <c r="A16" s="20">
        <f t="shared" si="1"/>
        <v>14</v>
      </c>
      <c r="B16" s="20" t="str">
        <f>LEFT(T_Losers[[#This Row],[Symbol]], FIND(" ", T_Losers[[#This Row],[Symbol]]) - 1)</f>
        <v>TAL</v>
      </c>
      <c r="C16" s="20" t="str">
        <f>RIGHT(T_Losers[[#This Row],[Symbol]],LEN(T_Losers[[#This Row],[Symbol]])-FIND(" ",T_Losers[[#This Row],[Symbol]]))</f>
        <v xml:space="preserve"> TAL Education Group</v>
      </c>
      <c r="D16" s="20" t="s">
        <v>462</v>
      </c>
      <c r="E16" s="21">
        <v>-3.1099999999999999E-2</v>
      </c>
      <c r="F16" s="21">
        <v>-3.1099999999999999E-2</v>
      </c>
      <c r="G16" s="24">
        <v>-0.36</v>
      </c>
      <c r="H16" s="12" t="str">
        <f t="shared" si="0"/>
        <v>11.22</v>
      </c>
      <c r="I16" s="20" t="s">
        <v>463</v>
      </c>
      <c r="J16" s="16" t="s">
        <v>464</v>
      </c>
      <c r="K16" s="16" t="s">
        <v>465</v>
      </c>
    </row>
    <row r="17" spans="1:11" x14ac:dyDescent="0.35">
      <c r="A17" s="20">
        <f t="shared" si="1"/>
        <v>15</v>
      </c>
      <c r="B17" s="20" t="str">
        <f>LEFT(T_Losers[[#This Row],[Symbol]], FIND(" ", T_Losers[[#This Row],[Symbol]]) - 1)</f>
        <v>VIV</v>
      </c>
      <c r="C17" s="20" t="str">
        <f>RIGHT(T_Losers[[#This Row],[Symbol]],LEN(T_Losers[[#This Row],[Symbol]])-FIND(" ",T_Losers[[#This Row],[Symbol]]))</f>
        <v xml:space="preserve"> Telefônica Brasil S.A.</v>
      </c>
      <c r="D17" s="20" t="s">
        <v>466</v>
      </c>
      <c r="E17" s="21">
        <v>-0.03</v>
      </c>
      <c r="F17" s="21">
        <v>-0.03</v>
      </c>
      <c r="G17" s="24">
        <v>-0.28999999999999998</v>
      </c>
      <c r="H17" s="12" t="str">
        <f t="shared" si="0"/>
        <v>9.37</v>
      </c>
      <c r="I17" s="20" t="s">
        <v>467</v>
      </c>
      <c r="J17" s="16" t="s">
        <v>468</v>
      </c>
      <c r="K17" s="16" t="s">
        <v>469</v>
      </c>
    </row>
    <row r="18" spans="1:11" x14ac:dyDescent="0.35">
      <c r="A18" s="20">
        <f t="shared" si="1"/>
        <v>16</v>
      </c>
      <c r="B18" s="20" t="str">
        <f>LEFT(T_Losers[[#This Row],[Symbol]], FIND(" ", T_Losers[[#This Row],[Symbol]]) - 1)</f>
        <v>NVAX</v>
      </c>
      <c r="C18" s="20" t="str">
        <f>RIGHT(T_Losers[[#This Row],[Symbol]],LEN(T_Losers[[#This Row],[Symbol]])-FIND(" ",T_Losers[[#This Row],[Symbol]]))</f>
        <v xml:space="preserve"> Novavax, Inc.</v>
      </c>
      <c r="D18" s="20" t="s">
        <v>470</v>
      </c>
      <c r="E18" s="21">
        <v>-2.9100000000000001E-2</v>
      </c>
      <c r="F18" s="21">
        <v>-2.9100000000000001E-2</v>
      </c>
      <c r="G18" s="24">
        <v>-0.38</v>
      </c>
      <c r="H18" s="12" t="str">
        <f t="shared" si="0"/>
        <v>12.53</v>
      </c>
      <c r="I18" s="20" t="s">
        <v>471</v>
      </c>
      <c r="J18" s="16" t="s">
        <v>472</v>
      </c>
      <c r="K18" s="16" t="s">
        <v>473</v>
      </c>
    </row>
    <row r="19" spans="1:11" x14ac:dyDescent="0.35">
      <c r="A19" s="20">
        <f t="shared" si="1"/>
        <v>17</v>
      </c>
      <c r="B19" s="20" t="str">
        <f>LEFT(T_Losers[[#This Row],[Symbol]], FIND(" ", T_Losers[[#This Row],[Symbol]]) - 1)</f>
        <v>ZK</v>
      </c>
      <c r="C19" s="20" t="str">
        <f>RIGHT(T_Losers[[#This Row],[Symbol]],LEN(T_Losers[[#This Row],[Symbol]])-FIND(" ",T_Losers[[#This Row],[Symbol]]))</f>
        <v xml:space="preserve"> ZEEKR Intelligent Technology Holding Limited</v>
      </c>
      <c r="D19" s="20" t="s">
        <v>474</v>
      </c>
      <c r="E19" s="21">
        <v>-2.8899999999999999E-2</v>
      </c>
      <c r="F19" s="21">
        <v>-2.8899999999999999E-2</v>
      </c>
      <c r="G19" s="24">
        <v>-0.71</v>
      </c>
      <c r="H19" s="12" t="str">
        <f t="shared" si="0"/>
        <v>23.85</v>
      </c>
      <c r="I19" s="20" t="s">
        <v>475</v>
      </c>
      <c r="J19" s="16" t="s">
        <v>476</v>
      </c>
      <c r="K19" s="16" t="s">
        <v>477</v>
      </c>
    </row>
    <row r="20" spans="1:11" x14ac:dyDescent="0.35">
      <c r="A20" s="20">
        <f t="shared" si="1"/>
        <v>18</v>
      </c>
      <c r="B20" s="20" t="str">
        <f>LEFT(T_Losers[[#This Row],[Symbol]], FIND(" ", T_Losers[[#This Row],[Symbol]]) - 1)</f>
        <v>SBLK</v>
      </c>
      <c r="C20" s="20" t="str">
        <f>RIGHT(T_Losers[[#This Row],[Symbol]],LEN(T_Losers[[#This Row],[Symbol]])-FIND(" ",T_Losers[[#This Row],[Symbol]]))</f>
        <v xml:space="preserve"> Star Bulk Carriers Corp.</v>
      </c>
      <c r="D20" s="20" t="s">
        <v>478</v>
      </c>
      <c r="E20" s="21">
        <v>-2.8199999999999999E-2</v>
      </c>
      <c r="F20" s="21">
        <v>-2.8199999999999999E-2</v>
      </c>
      <c r="G20" s="24">
        <v>-0.61</v>
      </c>
      <c r="H20" s="12" t="str">
        <f t="shared" si="0"/>
        <v>21.05</v>
      </c>
      <c r="I20" s="20" t="s">
        <v>479</v>
      </c>
      <c r="J20" s="16" t="s">
        <v>480</v>
      </c>
      <c r="K20" s="16" t="s">
        <v>481</v>
      </c>
    </row>
    <row r="21" spans="1:11" x14ac:dyDescent="0.35">
      <c r="A21" s="20">
        <f t="shared" si="1"/>
        <v>19</v>
      </c>
      <c r="B21" s="20" t="str">
        <f>LEFT(T_Losers[[#This Row],[Symbol]], FIND(" ", T_Losers[[#This Row],[Symbol]]) - 1)</f>
        <v>INTR</v>
      </c>
      <c r="C21" s="20" t="str">
        <f>RIGHT(T_Losers[[#This Row],[Symbol]],LEN(T_Losers[[#This Row],[Symbol]])-FIND(" ",T_Losers[[#This Row],[Symbol]]))</f>
        <v xml:space="preserve"> Inter &amp; Co, Inc.</v>
      </c>
      <c r="D21" s="20" t="s">
        <v>482</v>
      </c>
      <c r="E21" s="21">
        <v>-2.7900000000000001E-2</v>
      </c>
      <c r="F21" s="21">
        <v>-2.7900000000000001E-2</v>
      </c>
      <c r="G21" s="24">
        <v>-0.18</v>
      </c>
      <c r="H21" s="12" t="str">
        <f t="shared" si="0"/>
        <v>6.28</v>
      </c>
      <c r="I21" s="20" t="s">
        <v>483</v>
      </c>
      <c r="J21" s="16" t="s">
        <v>484</v>
      </c>
      <c r="K21" s="16" t="s">
        <v>485</v>
      </c>
    </row>
    <row r="22" spans="1:11" x14ac:dyDescent="0.35">
      <c r="A22" s="20">
        <f t="shared" si="1"/>
        <v>20</v>
      </c>
      <c r="B22" s="20" t="str">
        <f>LEFT(T_Losers[[#This Row],[Symbol]], FIND(" ", T_Losers[[#This Row],[Symbol]]) - 1)</f>
        <v>APPN</v>
      </c>
      <c r="C22" s="20" t="str">
        <f>RIGHT(T_Losers[[#This Row],[Symbol]],LEN(T_Losers[[#This Row],[Symbol]])-FIND(" ",T_Losers[[#This Row],[Symbol]]))</f>
        <v xml:space="preserve"> Appian Corporation</v>
      </c>
      <c r="D22" s="20" t="s">
        <v>486</v>
      </c>
      <c r="E22" s="21">
        <v>-2.5499999999999998E-2</v>
      </c>
      <c r="F22" s="21">
        <v>-2.5499999999999998E-2</v>
      </c>
      <c r="G22" s="24">
        <v>-0.82</v>
      </c>
      <c r="H22" s="12" t="str">
        <f t="shared" si="0"/>
        <v>31.31</v>
      </c>
      <c r="I22" s="20" t="s">
        <v>487</v>
      </c>
      <c r="J22" s="16" t="s">
        <v>488</v>
      </c>
      <c r="K22" s="16" t="s">
        <v>489</v>
      </c>
    </row>
  </sheetData>
  <phoneticPr fontId="25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A936-DFC8-4D2F-AD5F-101D3E31AC50}">
  <sheetPr codeName="Sheet5"/>
  <dimension ref="A1:H102"/>
  <sheetViews>
    <sheetView workbookViewId="0">
      <selection activeCell="C9" sqref="C9"/>
    </sheetView>
  </sheetViews>
  <sheetFormatPr defaultRowHeight="14.5" x14ac:dyDescent="0.35"/>
  <cols>
    <col min="1" max="1" width="4.6328125" bestFit="1" customWidth="1"/>
    <col min="2" max="2" width="8.90625" bestFit="1" customWidth="1"/>
    <col min="3" max="3" width="47.7265625" bestFit="1" customWidth="1"/>
    <col min="4" max="4" width="11.54296875" bestFit="1" customWidth="1"/>
    <col min="5" max="5" width="9" bestFit="1" customWidth="1"/>
    <col min="6" max="6" width="9.1796875" bestFit="1" customWidth="1"/>
    <col min="7" max="7" width="9.36328125" bestFit="1" customWidth="1"/>
    <col min="8" max="8" width="13.36328125" bestFit="1" customWidth="1"/>
    <col min="9" max="9" width="15.6328125" bestFit="1" customWidth="1"/>
    <col min="10" max="10" width="12.54296875" bestFit="1" customWidth="1"/>
    <col min="11" max="11" width="14.81640625" bestFit="1" customWidth="1"/>
    <col min="12" max="12" width="15.7265625" bestFit="1" customWidth="1"/>
  </cols>
  <sheetData>
    <row r="1" spans="1:8" ht="30" x14ac:dyDescent="0.6">
      <c r="A1" s="11" t="s">
        <v>853</v>
      </c>
    </row>
    <row r="2" spans="1:8" ht="17.5" x14ac:dyDescent="0.35">
      <c r="A2" s="23" t="s">
        <v>6</v>
      </c>
      <c r="B2" s="23" t="s">
        <v>7</v>
      </c>
      <c r="C2" s="23" t="s">
        <v>1</v>
      </c>
      <c r="D2" s="23" t="s">
        <v>491</v>
      </c>
      <c r="E2" s="23" t="s">
        <v>2</v>
      </c>
      <c r="F2" s="23" t="s">
        <v>3</v>
      </c>
      <c r="G2" s="23" t="s">
        <v>8</v>
      </c>
      <c r="H2" s="23" t="s">
        <v>5</v>
      </c>
    </row>
    <row r="3" spans="1:8" x14ac:dyDescent="0.35">
      <c r="A3" s="17">
        <v>1</v>
      </c>
      <c r="B3" s="20" t="s">
        <v>492</v>
      </c>
      <c r="C3" s="20" t="s">
        <v>493</v>
      </c>
      <c r="D3" s="21">
        <v>-1E-4</v>
      </c>
      <c r="E3" s="24">
        <v>-0.01</v>
      </c>
      <c r="F3" s="15">
        <v>134.80000000000001</v>
      </c>
      <c r="G3" s="16" t="s">
        <v>494</v>
      </c>
      <c r="H3" s="16" t="s">
        <v>495</v>
      </c>
    </row>
    <row r="4" spans="1:8" x14ac:dyDescent="0.35">
      <c r="A4" s="17">
        <f>A3+1</f>
        <v>2</v>
      </c>
      <c r="B4" s="20" t="s">
        <v>496</v>
      </c>
      <c r="C4" s="20" t="s">
        <v>497</v>
      </c>
      <c r="D4" s="21">
        <v>-8.7800000000000003E-2</v>
      </c>
      <c r="E4" s="24">
        <v>-20.97</v>
      </c>
      <c r="F4" s="15">
        <v>217.8</v>
      </c>
      <c r="G4" s="16" t="s">
        <v>417</v>
      </c>
      <c r="H4" s="16" t="s">
        <v>418</v>
      </c>
    </row>
    <row r="5" spans="1:8" x14ac:dyDescent="0.35">
      <c r="A5" s="17">
        <f t="shared" ref="A5:A68" si="0">A4+1</f>
        <v>3</v>
      </c>
      <c r="B5" s="20" t="s">
        <v>498</v>
      </c>
      <c r="C5" s="20" t="s">
        <v>499</v>
      </c>
      <c r="D5" s="21">
        <v>-2.0000000000000001E-4</v>
      </c>
      <c r="E5" s="24">
        <v>-0.01</v>
      </c>
      <c r="F5" s="15">
        <v>43.51</v>
      </c>
      <c r="G5" s="16" t="s">
        <v>500</v>
      </c>
      <c r="H5" s="16" t="s">
        <v>501</v>
      </c>
    </row>
    <row r="6" spans="1:8" x14ac:dyDescent="0.35">
      <c r="A6" s="17">
        <f t="shared" si="0"/>
        <v>4</v>
      </c>
      <c r="B6" s="20" t="s">
        <v>502</v>
      </c>
      <c r="C6" s="20" t="s">
        <v>503</v>
      </c>
      <c r="D6" s="21">
        <v>0.1081</v>
      </c>
      <c r="E6" s="24">
        <v>8.42</v>
      </c>
      <c r="F6" s="15">
        <v>86.34</v>
      </c>
      <c r="G6" s="16" t="s">
        <v>21</v>
      </c>
      <c r="H6" s="16" t="s">
        <v>22</v>
      </c>
    </row>
    <row r="7" spans="1:8" x14ac:dyDescent="0.35">
      <c r="A7" s="17">
        <f t="shared" si="0"/>
        <v>5</v>
      </c>
      <c r="B7" s="20" t="s">
        <v>504</v>
      </c>
      <c r="C7" s="20" t="s">
        <v>505</v>
      </c>
      <c r="D7" s="21">
        <v>4.9500000000000002E-2</v>
      </c>
      <c r="E7" s="24">
        <v>1.98</v>
      </c>
      <c r="F7" s="15">
        <v>41.95</v>
      </c>
      <c r="G7" s="16" t="s">
        <v>215</v>
      </c>
      <c r="H7" s="16" t="s">
        <v>216</v>
      </c>
    </row>
    <row r="8" spans="1:8" x14ac:dyDescent="0.35">
      <c r="A8" s="17">
        <f t="shared" si="0"/>
        <v>6</v>
      </c>
      <c r="B8" s="20" t="s">
        <v>506</v>
      </c>
      <c r="C8" s="20" t="s">
        <v>507</v>
      </c>
      <c r="D8" s="21">
        <v>4.8099999999999997E-2</v>
      </c>
      <c r="E8" s="24">
        <v>1.1599999999999999</v>
      </c>
      <c r="F8" s="15">
        <v>25.28</v>
      </c>
      <c r="G8" s="16" t="s">
        <v>396</v>
      </c>
      <c r="H8" s="16" t="s">
        <v>32</v>
      </c>
    </row>
    <row r="9" spans="1:8" x14ac:dyDescent="0.35">
      <c r="A9" s="17">
        <f t="shared" si="0"/>
        <v>7</v>
      </c>
      <c r="B9" s="20" t="s">
        <v>508</v>
      </c>
      <c r="C9" s="20" t="s">
        <v>509</v>
      </c>
      <c r="D9" s="21">
        <v>1.46E-2</v>
      </c>
      <c r="E9" s="24">
        <v>0.34</v>
      </c>
      <c r="F9" s="15">
        <v>23.56</v>
      </c>
      <c r="G9" s="16" t="s">
        <v>510</v>
      </c>
      <c r="H9" s="16" t="s">
        <v>511</v>
      </c>
    </row>
    <row r="10" spans="1:8" x14ac:dyDescent="0.35">
      <c r="A10" s="17">
        <f t="shared" si="0"/>
        <v>8</v>
      </c>
      <c r="B10" s="20" t="s">
        <v>512</v>
      </c>
      <c r="C10" s="20" t="s">
        <v>513</v>
      </c>
      <c r="D10" s="21">
        <v>3.2000000000000002E-3</v>
      </c>
      <c r="E10" s="24">
        <v>0.02</v>
      </c>
      <c r="F10" s="15">
        <v>6.24</v>
      </c>
      <c r="G10" s="16" t="s">
        <v>514</v>
      </c>
      <c r="H10" s="16" t="s">
        <v>515</v>
      </c>
    </row>
    <row r="11" spans="1:8" x14ac:dyDescent="0.35">
      <c r="A11" s="17">
        <f t="shared" si="0"/>
        <v>9</v>
      </c>
      <c r="B11" s="20" t="s">
        <v>516</v>
      </c>
      <c r="C11" s="20" t="s">
        <v>517</v>
      </c>
      <c r="D11" s="21">
        <v>4.3999999999999997E-2</v>
      </c>
      <c r="E11" s="24">
        <v>0.38</v>
      </c>
      <c r="F11" s="15">
        <v>9.01</v>
      </c>
      <c r="G11" s="16" t="s">
        <v>402</v>
      </c>
      <c r="H11" s="16" t="s">
        <v>328</v>
      </c>
    </row>
    <row r="12" spans="1:8" x14ac:dyDescent="0.35">
      <c r="A12" s="17">
        <f t="shared" si="0"/>
        <v>10</v>
      </c>
      <c r="B12" s="20" t="s">
        <v>518</v>
      </c>
      <c r="C12" s="20" t="s">
        <v>519</v>
      </c>
      <c r="D12" s="21">
        <v>2.2599999999999999E-2</v>
      </c>
      <c r="E12" s="24">
        <v>3.71</v>
      </c>
      <c r="F12" s="15">
        <v>167.89</v>
      </c>
      <c r="G12" s="16" t="s">
        <v>520</v>
      </c>
      <c r="H12" s="16" t="s">
        <v>521</v>
      </c>
    </row>
    <row r="13" spans="1:8" x14ac:dyDescent="0.35">
      <c r="A13" s="17">
        <f t="shared" si="0"/>
        <v>11</v>
      </c>
      <c r="B13" s="20" t="s">
        <v>522</v>
      </c>
      <c r="C13" s="20" t="s">
        <v>523</v>
      </c>
      <c r="D13" s="21">
        <v>2.86E-2</v>
      </c>
      <c r="E13" s="24">
        <v>1.33</v>
      </c>
      <c r="F13" s="15">
        <v>47.8</v>
      </c>
      <c r="G13" s="16" t="s">
        <v>524</v>
      </c>
      <c r="H13" s="16" t="s">
        <v>525</v>
      </c>
    </row>
    <row r="14" spans="1:8" x14ac:dyDescent="0.35">
      <c r="A14" s="17">
        <f t="shared" si="0"/>
        <v>12</v>
      </c>
      <c r="B14" s="20" t="s">
        <v>526</v>
      </c>
      <c r="C14" s="20" t="s">
        <v>527</v>
      </c>
      <c r="D14" s="21">
        <v>5.4000000000000003E-3</v>
      </c>
      <c r="E14" s="24">
        <v>0.03</v>
      </c>
      <c r="F14" s="15">
        <v>5.56</v>
      </c>
      <c r="G14" s="16" t="s">
        <v>528</v>
      </c>
      <c r="H14" s="16" t="s">
        <v>529</v>
      </c>
    </row>
    <row r="15" spans="1:8" x14ac:dyDescent="0.35">
      <c r="A15" s="17">
        <f t="shared" si="0"/>
        <v>13</v>
      </c>
      <c r="B15" s="20" t="s">
        <v>530</v>
      </c>
      <c r="C15" s="20" t="s">
        <v>531</v>
      </c>
      <c r="D15" s="21">
        <v>5.6099999999999997E-2</v>
      </c>
      <c r="E15" s="24">
        <v>3.24</v>
      </c>
      <c r="F15" s="15">
        <v>60.99</v>
      </c>
      <c r="G15" s="16" t="s">
        <v>141</v>
      </c>
      <c r="H15" s="16" t="s">
        <v>142</v>
      </c>
    </row>
    <row r="16" spans="1:8" x14ac:dyDescent="0.35">
      <c r="A16" s="17">
        <f t="shared" si="0"/>
        <v>14</v>
      </c>
      <c r="B16" s="20" t="s">
        <v>532</v>
      </c>
      <c r="C16" s="20" t="s">
        <v>533</v>
      </c>
      <c r="D16" s="21">
        <v>5.5800000000000002E-2</v>
      </c>
      <c r="E16" s="24">
        <v>0.85</v>
      </c>
      <c r="F16" s="15">
        <v>16.079999999999998</v>
      </c>
      <c r="G16" s="16" t="s">
        <v>382</v>
      </c>
      <c r="H16" s="16" t="s">
        <v>149</v>
      </c>
    </row>
    <row r="17" spans="1:8" x14ac:dyDescent="0.35">
      <c r="A17" s="17">
        <f t="shared" si="0"/>
        <v>15</v>
      </c>
      <c r="B17" s="20" t="s">
        <v>534</v>
      </c>
      <c r="C17" s="20" t="s">
        <v>535</v>
      </c>
      <c r="D17" s="21">
        <v>9.5899999999999999E-2</v>
      </c>
      <c r="E17" s="24">
        <v>1.19</v>
      </c>
      <c r="F17" s="15">
        <v>13.6</v>
      </c>
      <c r="G17" s="16" t="s">
        <v>365</v>
      </c>
      <c r="H17" s="16" t="s">
        <v>38</v>
      </c>
    </row>
    <row r="18" spans="1:8" x14ac:dyDescent="0.35">
      <c r="A18" s="17">
        <f t="shared" si="0"/>
        <v>16</v>
      </c>
      <c r="B18" s="20" t="s">
        <v>536</v>
      </c>
      <c r="C18" s="20" t="s">
        <v>537</v>
      </c>
      <c r="D18" s="21">
        <v>3.7000000000000002E-3</v>
      </c>
      <c r="E18" s="24">
        <v>0.04</v>
      </c>
      <c r="F18" s="15">
        <v>10.72</v>
      </c>
      <c r="G18" s="16" t="s">
        <v>538</v>
      </c>
      <c r="H18" s="16" t="s">
        <v>539</v>
      </c>
    </row>
    <row r="19" spans="1:8" x14ac:dyDescent="0.35">
      <c r="A19" s="17">
        <f t="shared" si="0"/>
        <v>17</v>
      </c>
      <c r="B19" s="20" t="s">
        <v>540</v>
      </c>
      <c r="C19" s="20" t="s">
        <v>541</v>
      </c>
      <c r="D19" s="21">
        <v>-6.4999999999999997E-3</v>
      </c>
      <c r="E19" s="24">
        <v>-1.49</v>
      </c>
      <c r="F19" s="15">
        <v>227.55</v>
      </c>
      <c r="G19" s="16" t="s">
        <v>542</v>
      </c>
      <c r="H19" s="16" t="s">
        <v>543</v>
      </c>
    </row>
    <row r="20" spans="1:8" x14ac:dyDescent="0.35">
      <c r="A20" s="17">
        <f t="shared" si="0"/>
        <v>18</v>
      </c>
      <c r="B20" s="20" t="s">
        <v>544</v>
      </c>
      <c r="C20" s="20" t="s">
        <v>545</v>
      </c>
      <c r="D20" s="21">
        <v>0.1595</v>
      </c>
      <c r="E20" s="24">
        <v>29.25</v>
      </c>
      <c r="F20" s="15">
        <v>212.59</v>
      </c>
      <c r="G20" s="16" t="s">
        <v>360</v>
      </c>
      <c r="H20" s="16" t="s">
        <v>15</v>
      </c>
    </row>
    <row r="21" spans="1:8" x14ac:dyDescent="0.35">
      <c r="A21" s="17">
        <f t="shared" si="0"/>
        <v>19</v>
      </c>
      <c r="B21" s="20" t="s">
        <v>546</v>
      </c>
      <c r="C21" s="20" t="s">
        <v>547</v>
      </c>
      <c r="D21" s="21">
        <v>-6.1000000000000004E-3</v>
      </c>
      <c r="E21" s="24">
        <v>-0.18</v>
      </c>
      <c r="F21" s="15">
        <v>29.16</v>
      </c>
      <c r="G21" s="16" t="s">
        <v>548</v>
      </c>
      <c r="H21" s="16" t="s">
        <v>549</v>
      </c>
    </row>
    <row r="22" spans="1:8" x14ac:dyDescent="0.35">
      <c r="A22" s="17">
        <f t="shared" si="0"/>
        <v>20</v>
      </c>
      <c r="B22" s="20" t="s">
        <v>550</v>
      </c>
      <c r="C22" s="20" t="s">
        <v>551</v>
      </c>
      <c r="D22" s="21">
        <v>2E-3</v>
      </c>
      <c r="E22" s="24">
        <v>0.04</v>
      </c>
      <c r="F22" s="15">
        <v>20.43</v>
      </c>
      <c r="G22" s="16" t="s">
        <v>552</v>
      </c>
      <c r="H22" s="16" t="s">
        <v>553</v>
      </c>
    </row>
    <row r="23" spans="1:8" x14ac:dyDescent="0.35">
      <c r="A23" s="17">
        <f t="shared" si="0"/>
        <v>21</v>
      </c>
      <c r="B23" s="20" t="s">
        <v>554</v>
      </c>
      <c r="C23" s="20" t="s">
        <v>555</v>
      </c>
      <c r="D23" s="21">
        <v>-1.5100000000000001E-2</v>
      </c>
      <c r="E23" s="24">
        <v>-0.04</v>
      </c>
      <c r="F23" s="15">
        <v>2.61</v>
      </c>
      <c r="G23" s="16" t="s">
        <v>556</v>
      </c>
      <c r="H23" s="16" t="s">
        <v>557</v>
      </c>
    </row>
    <row r="24" spans="1:8" x14ac:dyDescent="0.35">
      <c r="A24" s="17">
        <f t="shared" si="0"/>
        <v>22</v>
      </c>
      <c r="B24" s="20" t="s">
        <v>558</v>
      </c>
      <c r="C24" s="20" t="s">
        <v>559</v>
      </c>
      <c r="D24" s="21">
        <v>3.9100000000000003E-2</v>
      </c>
      <c r="E24" s="24">
        <v>0.1</v>
      </c>
      <c r="F24" s="15">
        <v>2.66</v>
      </c>
      <c r="G24" s="16" t="s">
        <v>560</v>
      </c>
      <c r="H24" s="16" t="s">
        <v>57</v>
      </c>
    </row>
    <row r="25" spans="1:8" x14ac:dyDescent="0.35">
      <c r="A25" s="17">
        <f t="shared" si="0"/>
        <v>23</v>
      </c>
      <c r="B25" s="20" t="s">
        <v>561</v>
      </c>
      <c r="C25" s="20" t="s">
        <v>562</v>
      </c>
      <c r="D25" s="21">
        <v>1.1599999999999999E-2</v>
      </c>
      <c r="E25" s="24">
        <v>2.17</v>
      </c>
      <c r="F25" s="15">
        <v>188.82</v>
      </c>
      <c r="G25" s="16" t="s">
        <v>563</v>
      </c>
      <c r="H25" s="16" t="s">
        <v>564</v>
      </c>
    </row>
    <row r="26" spans="1:8" x14ac:dyDescent="0.35">
      <c r="A26" s="17">
        <f t="shared" si="0"/>
        <v>24</v>
      </c>
      <c r="B26" s="20" t="s">
        <v>565</v>
      </c>
      <c r="C26" s="20" t="s">
        <v>566</v>
      </c>
      <c r="D26" s="21">
        <v>7.1000000000000004E-3</v>
      </c>
      <c r="E26" s="24">
        <v>0.15</v>
      </c>
      <c r="F26" s="15">
        <v>21.37</v>
      </c>
      <c r="G26" s="16" t="s">
        <v>567</v>
      </c>
      <c r="H26" s="16" t="s">
        <v>568</v>
      </c>
    </row>
    <row r="27" spans="1:8" x14ac:dyDescent="0.35">
      <c r="A27" s="17">
        <f t="shared" si="0"/>
        <v>25</v>
      </c>
      <c r="B27" s="20" t="s">
        <v>569</v>
      </c>
      <c r="C27" s="20" t="s">
        <v>570</v>
      </c>
      <c r="D27" s="21">
        <v>5.4999999999999997E-3</v>
      </c>
      <c r="E27" s="24">
        <v>0.02</v>
      </c>
      <c r="F27" s="15">
        <v>3.65</v>
      </c>
      <c r="G27" s="16" t="s">
        <v>571</v>
      </c>
      <c r="H27" s="16" t="s">
        <v>572</v>
      </c>
    </row>
    <row r="28" spans="1:8" x14ac:dyDescent="0.35">
      <c r="A28" s="17">
        <f t="shared" si="0"/>
        <v>26</v>
      </c>
      <c r="B28" s="20" t="s">
        <v>573</v>
      </c>
      <c r="C28" s="20" t="s">
        <v>574</v>
      </c>
      <c r="D28" s="21">
        <v>2.3400000000000001E-2</v>
      </c>
      <c r="E28" s="24">
        <v>0.24</v>
      </c>
      <c r="F28" s="15">
        <v>10.5</v>
      </c>
      <c r="G28" s="16" t="s">
        <v>575</v>
      </c>
      <c r="H28" s="16" t="s">
        <v>576</v>
      </c>
    </row>
    <row r="29" spans="1:8" x14ac:dyDescent="0.35">
      <c r="A29" s="17">
        <f t="shared" si="0"/>
        <v>27</v>
      </c>
      <c r="B29" s="20" t="s">
        <v>577</v>
      </c>
      <c r="C29" s="20" t="s">
        <v>578</v>
      </c>
      <c r="D29" s="21">
        <v>0.1074</v>
      </c>
      <c r="E29" s="24">
        <v>0.93</v>
      </c>
      <c r="F29" s="15">
        <v>9.59</v>
      </c>
      <c r="G29" s="16" t="s">
        <v>362</v>
      </c>
      <c r="H29" s="16" t="s">
        <v>25</v>
      </c>
    </row>
    <row r="30" spans="1:8" x14ac:dyDescent="0.35">
      <c r="A30" s="17">
        <f t="shared" si="0"/>
        <v>28</v>
      </c>
      <c r="B30" s="20" t="s">
        <v>579</v>
      </c>
      <c r="C30" s="20" t="s">
        <v>580</v>
      </c>
      <c r="D30" s="21">
        <v>2.53E-2</v>
      </c>
      <c r="E30" s="24">
        <v>0.25</v>
      </c>
      <c r="F30" s="15">
        <v>10.14</v>
      </c>
      <c r="G30" s="16" t="s">
        <v>581</v>
      </c>
      <c r="H30" s="16" t="s">
        <v>582</v>
      </c>
    </row>
    <row r="31" spans="1:8" x14ac:dyDescent="0.35">
      <c r="A31" s="17">
        <f t="shared" si="0"/>
        <v>29</v>
      </c>
      <c r="B31" s="20" t="s">
        <v>583</v>
      </c>
      <c r="C31" s="20" t="s">
        <v>584</v>
      </c>
      <c r="D31" s="21">
        <v>-2.2700000000000001E-2</v>
      </c>
      <c r="E31" s="24">
        <v>-4.21</v>
      </c>
      <c r="F31" s="15">
        <v>181.48</v>
      </c>
      <c r="G31" s="16" t="s">
        <v>585</v>
      </c>
      <c r="H31" s="16" t="s">
        <v>586</v>
      </c>
    </row>
    <row r="32" spans="1:8" x14ac:dyDescent="0.35">
      <c r="A32" s="17">
        <f t="shared" si="0"/>
        <v>30</v>
      </c>
      <c r="B32" s="20" t="s">
        <v>587</v>
      </c>
      <c r="C32" s="20" t="s">
        <v>588</v>
      </c>
      <c r="D32" s="21">
        <v>8.2000000000000007E-3</v>
      </c>
      <c r="E32" s="24">
        <v>0.09</v>
      </c>
      <c r="F32" s="15">
        <v>11.08</v>
      </c>
      <c r="G32" s="16" t="s">
        <v>589</v>
      </c>
      <c r="H32" s="16" t="s">
        <v>590</v>
      </c>
    </row>
    <row r="33" spans="1:8" x14ac:dyDescent="0.35">
      <c r="A33" s="17">
        <f t="shared" si="0"/>
        <v>31</v>
      </c>
      <c r="B33" s="20" t="s">
        <v>591</v>
      </c>
      <c r="C33" s="20" t="s">
        <v>592</v>
      </c>
      <c r="D33" s="21">
        <v>0.10440000000000001</v>
      </c>
      <c r="E33" s="24">
        <v>1.25</v>
      </c>
      <c r="F33" s="15">
        <v>13.22</v>
      </c>
      <c r="G33" s="16" t="s">
        <v>363</v>
      </c>
      <c r="H33" s="16" t="s">
        <v>28</v>
      </c>
    </row>
    <row r="34" spans="1:8" x14ac:dyDescent="0.35">
      <c r="A34" s="17">
        <f t="shared" si="0"/>
        <v>32</v>
      </c>
      <c r="B34" s="20" t="s">
        <v>593</v>
      </c>
      <c r="C34" s="20" t="s">
        <v>594</v>
      </c>
      <c r="D34" s="21">
        <v>4.1300000000000003E-2</v>
      </c>
      <c r="E34" s="24">
        <v>0.98</v>
      </c>
      <c r="F34" s="15">
        <v>24.7</v>
      </c>
      <c r="G34" s="16" t="s">
        <v>595</v>
      </c>
      <c r="H34" s="16" t="s">
        <v>596</v>
      </c>
    </row>
    <row r="35" spans="1:8" x14ac:dyDescent="0.35">
      <c r="A35" s="17">
        <f t="shared" si="0"/>
        <v>33</v>
      </c>
      <c r="B35" s="20" t="s">
        <v>597</v>
      </c>
      <c r="C35" s="20" t="s">
        <v>598</v>
      </c>
      <c r="D35" s="21">
        <v>8.6599999999999996E-2</v>
      </c>
      <c r="E35" s="24">
        <v>0.67</v>
      </c>
      <c r="F35" s="15">
        <v>8.41</v>
      </c>
      <c r="G35" s="16" t="s">
        <v>370</v>
      </c>
      <c r="H35" s="16" t="s">
        <v>57</v>
      </c>
    </row>
    <row r="36" spans="1:8" x14ac:dyDescent="0.35">
      <c r="A36" s="17">
        <f t="shared" si="0"/>
        <v>34</v>
      </c>
      <c r="B36" s="20" t="s">
        <v>599</v>
      </c>
      <c r="C36" s="20" t="s">
        <v>600</v>
      </c>
      <c r="D36" s="21">
        <v>1.9900000000000001E-2</v>
      </c>
      <c r="E36" s="24">
        <v>0.18</v>
      </c>
      <c r="F36" s="15">
        <v>9.2100000000000009</v>
      </c>
      <c r="G36" s="16" t="s">
        <v>601</v>
      </c>
      <c r="H36" s="16" t="s">
        <v>602</v>
      </c>
    </row>
    <row r="37" spans="1:8" x14ac:dyDescent="0.35">
      <c r="A37" s="17">
        <f t="shared" si="0"/>
        <v>35</v>
      </c>
      <c r="B37" s="20" t="s">
        <v>603</v>
      </c>
      <c r="C37" s="20" t="s">
        <v>604</v>
      </c>
      <c r="D37" s="21">
        <v>0.1207</v>
      </c>
      <c r="E37" s="24">
        <v>5.07</v>
      </c>
      <c r="F37" s="15">
        <v>47.08</v>
      </c>
      <c r="G37" s="16" t="s">
        <v>361</v>
      </c>
      <c r="H37" s="16" t="s">
        <v>18</v>
      </c>
    </row>
    <row r="38" spans="1:8" x14ac:dyDescent="0.35">
      <c r="A38" s="17">
        <f t="shared" si="0"/>
        <v>36</v>
      </c>
      <c r="B38" s="20" t="s">
        <v>605</v>
      </c>
      <c r="C38" s="20" t="s">
        <v>606</v>
      </c>
      <c r="D38" s="21">
        <v>-2.7000000000000001E-3</v>
      </c>
      <c r="E38" s="24">
        <v>-0.02</v>
      </c>
      <c r="F38" s="15">
        <v>7.52</v>
      </c>
      <c r="G38" s="16" t="s">
        <v>607</v>
      </c>
      <c r="H38" s="16" t="s">
        <v>608</v>
      </c>
    </row>
    <row r="39" spans="1:8" x14ac:dyDescent="0.35">
      <c r="A39" s="17">
        <f t="shared" si="0"/>
        <v>37</v>
      </c>
      <c r="B39" s="20" t="s">
        <v>609</v>
      </c>
      <c r="C39" s="20" t="s">
        <v>610</v>
      </c>
      <c r="D39" s="21">
        <v>1.1599999999999999E-2</v>
      </c>
      <c r="E39" s="24">
        <v>1.23</v>
      </c>
      <c r="F39" s="15">
        <v>106.92</v>
      </c>
      <c r="G39" s="16" t="s">
        <v>611</v>
      </c>
      <c r="H39" s="16" t="s">
        <v>612</v>
      </c>
    </row>
    <row r="40" spans="1:8" x14ac:dyDescent="0.35">
      <c r="A40" s="17">
        <f t="shared" si="0"/>
        <v>38</v>
      </c>
      <c r="B40" s="20" t="s">
        <v>613</v>
      </c>
      <c r="C40" s="20" t="s">
        <v>614</v>
      </c>
      <c r="D40" s="21">
        <v>2.0799999999999999E-2</v>
      </c>
      <c r="E40" s="24">
        <v>0.28000000000000003</v>
      </c>
      <c r="F40" s="15">
        <v>13.71</v>
      </c>
      <c r="G40" s="16" t="s">
        <v>615</v>
      </c>
      <c r="H40" s="16" t="s">
        <v>616</v>
      </c>
    </row>
    <row r="41" spans="1:8" x14ac:dyDescent="0.35">
      <c r="A41" s="17">
        <f t="shared" si="0"/>
        <v>39</v>
      </c>
      <c r="B41" s="20" t="s">
        <v>617</v>
      </c>
      <c r="C41" s="20" t="s">
        <v>618</v>
      </c>
      <c r="D41" s="21">
        <v>2.1000000000000001E-2</v>
      </c>
      <c r="E41" s="24">
        <v>7.0000000000000007E-2</v>
      </c>
      <c r="F41" s="15">
        <v>3.4</v>
      </c>
      <c r="G41" s="16" t="s">
        <v>619</v>
      </c>
      <c r="H41" s="16" t="s">
        <v>620</v>
      </c>
    </row>
    <row r="42" spans="1:8" x14ac:dyDescent="0.35">
      <c r="A42" s="17">
        <f t="shared" si="0"/>
        <v>40</v>
      </c>
      <c r="B42" s="20" t="s">
        <v>621</v>
      </c>
      <c r="C42" s="20" t="s">
        <v>622</v>
      </c>
      <c r="D42" s="21">
        <v>4.4400000000000002E-2</v>
      </c>
      <c r="E42" s="24">
        <v>9.4499999999999993</v>
      </c>
      <c r="F42" s="15">
        <v>222.29</v>
      </c>
      <c r="G42" s="16" t="s">
        <v>305</v>
      </c>
      <c r="H42" s="16" t="s">
        <v>306</v>
      </c>
    </row>
    <row r="43" spans="1:8" x14ac:dyDescent="0.35">
      <c r="A43" s="17">
        <f t="shared" si="0"/>
        <v>41</v>
      </c>
      <c r="B43" s="20" t="s">
        <v>623</v>
      </c>
      <c r="C43" s="20" t="s">
        <v>624</v>
      </c>
      <c r="D43" s="21">
        <v>-6.0400000000000002E-2</v>
      </c>
      <c r="E43" s="24">
        <v>-2.11</v>
      </c>
      <c r="F43" s="15">
        <v>32.799999999999997</v>
      </c>
      <c r="G43" s="16" t="s">
        <v>428</v>
      </c>
      <c r="H43" s="16" t="s">
        <v>429</v>
      </c>
    </row>
    <row r="44" spans="1:8" x14ac:dyDescent="0.35">
      <c r="A44" s="17">
        <f t="shared" si="0"/>
        <v>42</v>
      </c>
      <c r="B44" s="20" t="s">
        <v>625</v>
      </c>
      <c r="C44" s="20" t="s">
        <v>626</v>
      </c>
      <c r="D44" s="21">
        <v>7.9000000000000008E-3</v>
      </c>
      <c r="E44" s="24">
        <v>0.86</v>
      </c>
      <c r="F44" s="15">
        <v>110.14</v>
      </c>
      <c r="G44" s="16" t="s">
        <v>627</v>
      </c>
      <c r="H44" s="16" t="s">
        <v>628</v>
      </c>
    </row>
    <row r="45" spans="1:8" x14ac:dyDescent="0.35">
      <c r="A45" s="17">
        <f t="shared" si="0"/>
        <v>43</v>
      </c>
      <c r="B45" s="20" t="s">
        <v>629</v>
      </c>
      <c r="C45" s="20" t="s">
        <v>630</v>
      </c>
      <c r="D45" s="21">
        <v>2.8799999999999999E-2</v>
      </c>
      <c r="E45" s="24">
        <v>0.09</v>
      </c>
      <c r="F45" s="15">
        <v>3.21</v>
      </c>
      <c r="G45" s="16" t="s">
        <v>631</v>
      </c>
      <c r="H45" s="16" t="s">
        <v>632</v>
      </c>
    </row>
    <row r="46" spans="1:8" x14ac:dyDescent="0.35">
      <c r="A46" s="17">
        <f t="shared" si="0"/>
        <v>44</v>
      </c>
      <c r="B46" s="20" t="s">
        <v>633</v>
      </c>
      <c r="C46" s="20" t="s">
        <v>634</v>
      </c>
      <c r="D46" s="21">
        <v>-1.2800000000000001E-2</v>
      </c>
      <c r="E46" s="24">
        <v>-0.08</v>
      </c>
      <c r="F46" s="15">
        <v>6.19</v>
      </c>
      <c r="G46" s="16" t="s">
        <v>635</v>
      </c>
      <c r="H46" s="16" t="s">
        <v>636</v>
      </c>
    </row>
    <row r="47" spans="1:8" x14ac:dyDescent="0.35">
      <c r="A47" s="17">
        <f t="shared" si="0"/>
        <v>45</v>
      </c>
      <c r="B47" s="20" t="s">
        <v>637</v>
      </c>
      <c r="C47" s="20" t="s">
        <v>638</v>
      </c>
      <c r="D47" s="21">
        <v>2.5999999999999999E-3</v>
      </c>
      <c r="E47" s="24">
        <v>0.03</v>
      </c>
      <c r="F47" s="15">
        <v>11.79</v>
      </c>
      <c r="G47" s="16" t="s">
        <v>639</v>
      </c>
      <c r="H47" s="16" t="s">
        <v>640</v>
      </c>
    </row>
    <row r="48" spans="1:8" x14ac:dyDescent="0.35">
      <c r="A48" s="17">
        <f t="shared" si="0"/>
        <v>46</v>
      </c>
      <c r="B48" s="20" t="s">
        <v>641</v>
      </c>
      <c r="C48" s="20" t="s">
        <v>642</v>
      </c>
      <c r="D48" s="21">
        <v>4.41E-2</v>
      </c>
      <c r="E48" s="24">
        <v>0.47</v>
      </c>
      <c r="F48" s="15">
        <v>11.13</v>
      </c>
      <c r="G48" s="16" t="s">
        <v>324</v>
      </c>
      <c r="H48" s="16" t="s">
        <v>325</v>
      </c>
    </row>
    <row r="49" spans="1:8" x14ac:dyDescent="0.35">
      <c r="A49" s="17">
        <f t="shared" si="0"/>
        <v>47</v>
      </c>
      <c r="B49" s="20" t="s">
        <v>643</v>
      </c>
      <c r="C49" s="20" t="s">
        <v>644</v>
      </c>
      <c r="D49" s="21">
        <v>-2.12E-2</v>
      </c>
      <c r="E49" s="24">
        <v>-0.05</v>
      </c>
      <c r="F49" s="15">
        <v>2.31</v>
      </c>
      <c r="G49" s="16" t="s">
        <v>645</v>
      </c>
      <c r="H49" s="16" t="s">
        <v>646</v>
      </c>
    </row>
    <row r="50" spans="1:8" x14ac:dyDescent="0.35">
      <c r="A50" s="17">
        <f t="shared" si="0"/>
        <v>48</v>
      </c>
      <c r="B50" s="20" t="s">
        <v>647</v>
      </c>
      <c r="C50" s="20" t="s">
        <v>648</v>
      </c>
      <c r="D50" s="21">
        <v>3.0300000000000001E-2</v>
      </c>
      <c r="E50" s="24">
        <v>0.77</v>
      </c>
      <c r="F50" s="15">
        <v>26.27</v>
      </c>
      <c r="G50" s="16" t="s">
        <v>649</v>
      </c>
      <c r="H50" s="16" t="s">
        <v>650</v>
      </c>
    </row>
    <row r="51" spans="1:8" x14ac:dyDescent="0.35">
      <c r="A51" s="17">
        <f t="shared" si="0"/>
        <v>49</v>
      </c>
      <c r="B51" s="20" t="s">
        <v>651</v>
      </c>
      <c r="C51" s="20" t="s">
        <v>652</v>
      </c>
      <c r="D51" s="21">
        <v>2.87E-2</v>
      </c>
      <c r="E51" s="24">
        <v>0.43</v>
      </c>
      <c r="F51" s="15">
        <v>15.39</v>
      </c>
      <c r="G51" s="16" t="s">
        <v>653</v>
      </c>
      <c r="H51" s="16" t="s">
        <v>654</v>
      </c>
    </row>
    <row r="52" spans="1:8" x14ac:dyDescent="0.35">
      <c r="A52" s="17">
        <f t="shared" si="0"/>
        <v>50</v>
      </c>
      <c r="B52" s="20" t="s">
        <v>655</v>
      </c>
      <c r="C52" s="20" t="s">
        <v>656</v>
      </c>
      <c r="D52" s="21">
        <v>-4.07E-2</v>
      </c>
      <c r="E52" s="24">
        <v>-0.14000000000000001</v>
      </c>
      <c r="F52" s="15">
        <v>3.3</v>
      </c>
      <c r="G52" s="16" t="s">
        <v>657</v>
      </c>
      <c r="H52" s="16" t="s">
        <v>658</v>
      </c>
    </row>
    <row r="53" spans="1:8" x14ac:dyDescent="0.35">
      <c r="A53" s="17">
        <f t="shared" si="0"/>
        <v>51</v>
      </c>
      <c r="B53" s="20" t="s">
        <v>659</v>
      </c>
      <c r="C53" s="20" t="s">
        <v>660</v>
      </c>
      <c r="D53" s="21">
        <v>9.7999999999999997E-3</v>
      </c>
      <c r="E53" s="24">
        <v>0.16</v>
      </c>
      <c r="F53" s="15">
        <v>16.52</v>
      </c>
      <c r="G53" s="16" t="s">
        <v>661</v>
      </c>
      <c r="H53" s="16" t="s">
        <v>662</v>
      </c>
    </row>
    <row r="54" spans="1:8" x14ac:dyDescent="0.35">
      <c r="A54" s="17">
        <f t="shared" si="0"/>
        <v>52</v>
      </c>
      <c r="B54" s="20" t="s">
        <v>663</v>
      </c>
      <c r="C54" s="20" t="s">
        <v>664</v>
      </c>
      <c r="D54" s="21">
        <v>1.8100000000000002E-2</v>
      </c>
      <c r="E54" s="24">
        <v>0.77</v>
      </c>
      <c r="F54" s="15">
        <v>43.26</v>
      </c>
      <c r="G54" s="16" t="s">
        <v>665</v>
      </c>
      <c r="H54" s="16" t="s">
        <v>666</v>
      </c>
    </row>
    <row r="55" spans="1:8" x14ac:dyDescent="0.35">
      <c r="A55" s="17">
        <f t="shared" si="0"/>
        <v>53</v>
      </c>
      <c r="B55" s="20" t="s">
        <v>667</v>
      </c>
      <c r="C55" s="20" t="s">
        <v>668</v>
      </c>
      <c r="D55" s="21">
        <v>3.56E-2</v>
      </c>
      <c r="E55" s="24">
        <v>2.2599999999999998</v>
      </c>
      <c r="F55" s="15">
        <v>65.739999999999995</v>
      </c>
      <c r="G55" s="16" t="s">
        <v>669</v>
      </c>
      <c r="H55" s="16" t="s">
        <v>670</v>
      </c>
    </row>
    <row r="56" spans="1:8" x14ac:dyDescent="0.35">
      <c r="A56" s="17">
        <f t="shared" si="0"/>
        <v>54</v>
      </c>
      <c r="B56" s="20" t="s">
        <v>671</v>
      </c>
      <c r="C56" s="20" t="s">
        <v>672</v>
      </c>
      <c r="D56" s="21">
        <v>7.1999999999999998E-3</v>
      </c>
      <c r="E56" s="24">
        <v>1.1599999999999999</v>
      </c>
      <c r="F56" s="15">
        <v>163.24</v>
      </c>
      <c r="G56" s="16" t="s">
        <v>673</v>
      </c>
      <c r="H56" s="16" t="s">
        <v>674</v>
      </c>
    </row>
    <row r="57" spans="1:8" x14ac:dyDescent="0.35">
      <c r="A57" s="17">
        <f t="shared" si="0"/>
        <v>55</v>
      </c>
      <c r="B57" s="20" t="s">
        <v>675</v>
      </c>
      <c r="C57" s="20" t="s">
        <v>676</v>
      </c>
      <c r="D57" s="21">
        <v>-4.0000000000000001E-3</v>
      </c>
      <c r="E57" s="24">
        <v>-0.08</v>
      </c>
      <c r="F57" s="15">
        <v>19.989999999999998</v>
      </c>
      <c r="G57" s="16" t="s">
        <v>677</v>
      </c>
      <c r="H57" s="16" t="s">
        <v>678</v>
      </c>
    </row>
    <row r="58" spans="1:8" x14ac:dyDescent="0.35">
      <c r="A58" s="17">
        <f t="shared" si="0"/>
        <v>56</v>
      </c>
      <c r="B58" s="20" t="s">
        <v>679</v>
      </c>
      <c r="C58" s="20" t="s">
        <v>680</v>
      </c>
      <c r="D58" s="21">
        <v>-2.18E-2</v>
      </c>
      <c r="E58" s="24">
        <v>-0.28999999999999998</v>
      </c>
      <c r="F58" s="15">
        <v>13.01</v>
      </c>
      <c r="G58" s="16" t="s">
        <v>681</v>
      </c>
      <c r="H58" s="16" t="s">
        <v>682</v>
      </c>
    </row>
    <row r="59" spans="1:8" x14ac:dyDescent="0.35">
      <c r="A59" s="17">
        <f t="shared" si="0"/>
        <v>57</v>
      </c>
      <c r="B59" s="20" t="s">
        <v>683</v>
      </c>
      <c r="C59" s="20" t="s">
        <v>684</v>
      </c>
      <c r="D59" s="21">
        <v>1.41E-2</v>
      </c>
      <c r="E59" s="24">
        <v>0.61</v>
      </c>
      <c r="F59" s="15">
        <v>43.83</v>
      </c>
      <c r="G59" s="16" t="s">
        <v>685</v>
      </c>
      <c r="H59" s="16" t="s">
        <v>686</v>
      </c>
    </row>
    <row r="60" spans="1:8" x14ac:dyDescent="0.35">
      <c r="A60" s="17">
        <f t="shared" si="0"/>
        <v>58</v>
      </c>
      <c r="B60" s="20" t="s">
        <v>687</v>
      </c>
      <c r="C60" s="20" t="s">
        <v>688</v>
      </c>
      <c r="D60" s="21">
        <v>6.6E-3</v>
      </c>
      <c r="E60" s="24">
        <v>0.14000000000000001</v>
      </c>
      <c r="F60" s="15">
        <v>21.46</v>
      </c>
      <c r="G60" s="16" t="s">
        <v>689</v>
      </c>
      <c r="H60" s="16" t="s">
        <v>690</v>
      </c>
    </row>
    <row r="61" spans="1:8" x14ac:dyDescent="0.35">
      <c r="A61" s="17">
        <f t="shared" si="0"/>
        <v>59</v>
      </c>
      <c r="B61" s="20" t="s">
        <v>691</v>
      </c>
      <c r="C61" s="20" t="s">
        <v>692</v>
      </c>
      <c r="D61" s="21">
        <v>1.1999999999999999E-3</v>
      </c>
      <c r="E61" s="24">
        <v>0.48</v>
      </c>
      <c r="F61" s="15">
        <v>416.32</v>
      </c>
      <c r="G61" s="16" t="s">
        <v>693</v>
      </c>
      <c r="H61" s="16" t="s">
        <v>694</v>
      </c>
    </row>
    <row r="62" spans="1:8" x14ac:dyDescent="0.35">
      <c r="A62" s="17">
        <f t="shared" si="0"/>
        <v>60</v>
      </c>
      <c r="B62" s="20" t="s">
        <v>695</v>
      </c>
      <c r="C62" s="20" t="s">
        <v>696</v>
      </c>
      <c r="D62" s="21">
        <v>3.9399999999999998E-2</v>
      </c>
      <c r="E62" s="24">
        <v>0.85</v>
      </c>
      <c r="F62" s="15">
        <v>22.41</v>
      </c>
      <c r="G62" s="16" t="s">
        <v>697</v>
      </c>
      <c r="H62" s="16" t="s">
        <v>698</v>
      </c>
    </row>
    <row r="63" spans="1:8" x14ac:dyDescent="0.35">
      <c r="A63" s="17">
        <f t="shared" si="0"/>
        <v>61</v>
      </c>
      <c r="B63" s="20" t="s">
        <v>699</v>
      </c>
      <c r="C63" s="20" t="s">
        <v>700</v>
      </c>
      <c r="D63" s="21">
        <v>0.02</v>
      </c>
      <c r="E63" s="24">
        <v>0.25</v>
      </c>
      <c r="F63" s="15">
        <v>12.78</v>
      </c>
      <c r="G63" s="16" t="s">
        <v>701</v>
      </c>
      <c r="H63" s="16" t="s">
        <v>702</v>
      </c>
    </row>
    <row r="64" spans="1:8" x14ac:dyDescent="0.35">
      <c r="A64" s="17">
        <f t="shared" si="0"/>
        <v>62</v>
      </c>
      <c r="B64" s="20" t="s">
        <v>703</v>
      </c>
      <c r="C64" s="20" t="s">
        <v>704</v>
      </c>
      <c r="D64" s="21">
        <v>-3.3E-3</v>
      </c>
      <c r="E64" s="24">
        <v>-0.22</v>
      </c>
      <c r="F64" s="15">
        <v>66.63</v>
      </c>
      <c r="G64" s="16" t="s">
        <v>705</v>
      </c>
      <c r="H64" s="16" t="s">
        <v>706</v>
      </c>
    </row>
    <row r="65" spans="1:8" x14ac:dyDescent="0.35">
      <c r="A65" s="17">
        <f t="shared" si="0"/>
        <v>63</v>
      </c>
      <c r="B65" s="20" t="s">
        <v>707</v>
      </c>
      <c r="C65" s="20" t="s">
        <v>708</v>
      </c>
      <c r="D65" s="21">
        <v>1.3299999999999999E-2</v>
      </c>
      <c r="E65" s="24">
        <v>0.71</v>
      </c>
      <c r="F65" s="15">
        <v>54.25</v>
      </c>
      <c r="G65" s="16" t="s">
        <v>709</v>
      </c>
      <c r="H65" s="16" t="s">
        <v>710</v>
      </c>
    </row>
    <row r="66" spans="1:8" x14ac:dyDescent="0.35">
      <c r="A66" s="17">
        <f t="shared" si="0"/>
        <v>64</v>
      </c>
      <c r="B66" s="20" t="s">
        <v>711</v>
      </c>
      <c r="C66" s="20" t="s">
        <v>712</v>
      </c>
      <c r="D66" s="21">
        <v>-4.0399999999999998E-2</v>
      </c>
      <c r="E66" s="24">
        <v>-0.2</v>
      </c>
      <c r="F66" s="15">
        <v>4.75</v>
      </c>
      <c r="G66" s="16" t="s">
        <v>713</v>
      </c>
      <c r="H66" s="16" t="s">
        <v>714</v>
      </c>
    </row>
    <row r="67" spans="1:8" x14ac:dyDescent="0.35">
      <c r="A67" s="17">
        <f t="shared" si="0"/>
        <v>65</v>
      </c>
      <c r="B67" s="20" t="s">
        <v>715</v>
      </c>
      <c r="C67" s="20" t="s">
        <v>716</v>
      </c>
      <c r="D67" s="21">
        <v>1.5599999999999999E-2</v>
      </c>
      <c r="E67" s="24">
        <v>0.36</v>
      </c>
      <c r="F67" s="15">
        <v>23.38</v>
      </c>
      <c r="G67" s="16" t="s">
        <v>717</v>
      </c>
      <c r="H67" s="16" t="s">
        <v>718</v>
      </c>
    </row>
    <row r="68" spans="1:8" x14ac:dyDescent="0.35">
      <c r="A68" s="17">
        <f t="shared" si="0"/>
        <v>66</v>
      </c>
      <c r="B68" s="20" t="s">
        <v>719</v>
      </c>
      <c r="C68" s="20" t="s">
        <v>720</v>
      </c>
      <c r="D68" s="21">
        <v>2.7099999999999999E-2</v>
      </c>
      <c r="E68" s="24">
        <v>5.03</v>
      </c>
      <c r="F68" s="15">
        <v>190.81</v>
      </c>
      <c r="G68" s="16" t="s">
        <v>721</v>
      </c>
      <c r="H68" s="16" t="s">
        <v>722</v>
      </c>
    </row>
    <row r="69" spans="1:8" x14ac:dyDescent="0.35">
      <c r="A69" s="17">
        <f t="shared" ref="A69:A102" si="1">A68+1</f>
        <v>67</v>
      </c>
      <c r="B69" s="20" t="s">
        <v>723</v>
      </c>
      <c r="C69" s="20" t="s">
        <v>724</v>
      </c>
      <c r="D69" s="21">
        <v>-3.2000000000000002E-3</v>
      </c>
      <c r="E69" s="24">
        <v>-0.02</v>
      </c>
      <c r="F69" s="15">
        <v>6.14</v>
      </c>
      <c r="G69" s="16" t="s">
        <v>725</v>
      </c>
      <c r="H69" s="16" t="s">
        <v>726</v>
      </c>
    </row>
    <row r="70" spans="1:8" x14ac:dyDescent="0.35">
      <c r="A70" s="17">
        <f t="shared" si="1"/>
        <v>68</v>
      </c>
      <c r="B70" s="20" t="s">
        <v>727</v>
      </c>
      <c r="C70" s="20" t="s">
        <v>728</v>
      </c>
      <c r="D70" s="21">
        <v>1.9E-2</v>
      </c>
      <c r="E70" s="24">
        <v>0.24</v>
      </c>
      <c r="F70" s="15">
        <v>12.9</v>
      </c>
      <c r="G70" s="16" t="s">
        <v>729</v>
      </c>
      <c r="H70" s="16" t="s">
        <v>730</v>
      </c>
    </row>
    <row r="71" spans="1:8" x14ac:dyDescent="0.35">
      <c r="A71" s="17">
        <f t="shared" si="1"/>
        <v>69</v>
      </c>
      <c r="B71" s="20" t="s">
        <v>731</v>
      </c>
      <c r="C71" s="20" t="s">
        <v>732</v>
      </c>
      <c r="D71" s="21">
        <v>8.6599999999999996E-2</v>
      </c>
      <c r="E71" s="24">
        <v>0.85</v>
      </c>
      <c r="F71" s="15">
        <v>10.66</v>
      </c>
      <c r="G71" s="16" t="s">
        <v>53</v>
      </c>
      <c r="H71" s="16" t="s">
        <v>54</v>
      </c>
    </row>
    <row r="72" spans="1:8" x14ac:dyDescent="0.35">
      <c r="A72" s="17">
        <f t="shared" si="1"/>
        <v>70</v>
      </c>
      <c r="B72" s="20" t="s">
        <v>733</v>
      </c>
      <c r="C72" s="20" t="s">
        <v>734</v>
      </c>
      <c r="D72" s="21">
        <v>-5.7999999999999996E-3</v>
      </c>
      <c r="E72" s="24">
        <v>-0.06</v>
      </c>
      <c r="F72" s="15">
        <v>10.31</v>
      </c>
      <c r="G72" s="16" t="s">
        <v>735</v>
      </c>
      <c r="H72" s="16" t="s">
        <v>736</v>
      </c>
    </row>
    <row r="73" spans="1:8" x14ac:dyDescent="0.35">
      <c r="A73" s="17">
        <f t="shared" si="1"/>
        <v>71</v>
      </c>
      <c r="B73" s="20" t="s">
        <v>737</v>
      </c>
      <c r="C73" s="20" t="s">
        <v>738</v>
      </c>
      <c r="D73" s="21">
        <v>-6.1999999999999998E-3</v>
      </c>
      <c r="E73" s="24">
        <v>-0.02</v>
      </c>
      <c r="F73" s="15">
        <v>3.22</v>
      </c>
      <c r="G73" s="16" t="s">
        <v>739</v>
      </c>
      <c r="H73" s="16" t="s">
        <v>740</v>
      </c>
    </row>
    <row r="74" spans="1:8" x14ac:dyDescent="0.35">
      <c r="A74" s="17">
        <f t="shared" si="1"/>
        <v>72</v>
      </c>
      <c r="B74" s="20" t="s">
        <v>741</v>
      </c>
      <c r="C74" s="20" t="s">
        <v>672</v>
      </c>
      <c r="D74" s="21">
        <v>8.2000000000000007E-3</v>
      </c>
      <c r="E74" s="24">
        <v>1.34</v>
      </c>
      <c r="F74" s="15">
        <v>164.52</v>
      </c>
      <c r="G74" s="16" t="s">
        <v>742</v>
      </c>
      <c r="H74" s="16" t="s">
        <v>674</v>
      </c>
    </row>
    <row r="75" spans="1:8" x14ac:dyDescent="0.35">
      <c r="A75" s="17">
        <f t="shared" si="1"/>
        <v>73</v>
      </c>
      <c r="B75" s="20" t="s">
        <v>743</v>
      </c>
      <c r="C75" s="20" t="s">
        <v>744</v>
      </c>
      <c r="D75" s="21">
        <v>9.4999999999999998E-3</v>
      </c>
      <c r="E75" s="24">
        <v>1.18</v>
      </c>
      <c r="F75" s="15">
        <v>125.29</v>
      </c>
      <c r="G75" s="16" t="s">
        <v>745</v>
      </c>
      <c r="H75" s="16" t="s">
        <v>746</v>
      </c>
    </row>
    <row r="76" spans="1:8" x14ac:dyDescent="0.35">
      <c r="A76" s="17">
        <f t="shared" si="1"/>
        <v>74</v>
      </c>
      <c r="B76" s="20" t="s">
        <v>747</v>
      </c>
      <c r="C76" s="20" t="s">
        <v>748</v>
      </c>
      <c r="D76" s="21">
        <v>7.3700000000000002E-2</v>
      </c>
      <c r="E76" s="24">
        <v>12.11</v>
      </c>
      <c r="F76" s="15">
        <v>176.38</v>
      </c>
      <c r="G76" s="16" t="s">
        <v>372</v>
      </c>
      <c r="H76" s="16" t="s">
        <v>75</v>
      </c>
    </row>
    <row r="77" spans="1:8" x14ac:dyDescent="0.35">
      <c r="A77" s="17">
        <f t="shared" si="1"/>
        <v>75</v>
      </c>
      <c r="B77" s="20" t="s">
        <v>749</v>
      </c>
      <c r="C77" s="20" t="s">
        <v>750</v>
      </c>
      <c r="D77" s="21">
        <v>0.03</v>
      </c>
      <c r="E77" s="24">
        <v>4.4000000000000004</v>
      </c>
      <c r="F77" s="15">
        <v>151.02000000000001</v>
      </c>
      <c r="G77" s="16" t="s">
        <v>751</v>
      </c>
      <c r="H77" s="16" t="s">
        <v>752</v>
      </c>
    </row>
    <row r="78" spans="1:8" x14ac:dyDescent="0.35">
      <c r="A78" s="17">
        <f t="shared" si="1"/>
        <v>76</v>
      </c>
      <c r="B78" s="20" t="s">
        <v>753</v>
      </c>
      <c r="C78" s="20" t="s">
        <v>754</v>
      </c>
      <c r="D78" s="21">
        <v>1.1999999999999999E-3</v>
      </c>
      <c r="E78" s="24">
        <v>0.05</v>
      </c>
      <c r="F78" s="15">
        <v>43</v>
      </c>
      <c r="G78" s="16" t="s">
        <v>755</v>
      </c>
      <c r="H78" s="16" t="s">
        <v>756</v>
      </c>
    </row>
    <row r="79" spans="1:8" x14ac:dyDescent="0.35">
      <c r="A79" s="17">
        <f t="shared" si="1"/>
        <v>77</v>
      </c>
      <c r="B79" s="20" t="s">
        <v>757</v>
      </c>
      <c r="C79" s="20" t="s">
        <v>758</v>
      </c>
      <c r="D79" s="21">
        <v>3.8999999999999998E-3</v>
      </c>
      <c r="E79" s="24">
        <v>0.16</v>
      </c>
      <c r="F79" s="15">
        <v>41.26</v>
      </c>
      <c r="G79" s="16" t="s">
        <v>759</v>
      </c>
      <c r="H79" s="16" t="s">
        <v>760</v>
      </c>
    </row>
    <row r="80" spans="1:8" x14ac:dyDescent="0.35">
      <c r="A80" s="17">
        <f t="shared" si="1"/>
        <v>78</v>
      </c>
      <c r="B80" s="20" t="s">
        <v>761</v>
      </c>
      <c r="C80" s="20" t="s">
        <v>762</v>
      </c>
      <c r="D80" s="21">
        <v>2.2599999999999999E-2</v>
      </c>
      <c r="E80" s="24">
        <v>0.38</v>
      </c>
      <c r="F80" s="15">
        <v>17.22</v>
      </c>
      <c r="G80" s="16" t="s">
        <v>763</v>
      </c>
      <c r="H80" s="16" t="s">
        <v>764</v>
      </c>
    </row>
    <row r="81" spans="1:8" x14ac:dyDescent="0.35">
      <c r="A81" s="17">
        <f t="shared" si="1"/>
        <v>79</v>
      </c>
      <c r="B81" s="20" t="s">
        <v>765</v>
      </c>
      <c r="C81" s="20" t="s">
        <v>766</v>
      </c>
      <c r="D81" s="21">
        <v>5.9999999999999995E-4</v>
      </c>
      <c r="E81" s="24">
        <v>0.05</v>
      </c>
      <c r="F81" s="15">
        <v>82.15</v>
      </c>
      <c r="G81" s="16" t="s">
        <v>767</v>
      </c>
      <c r="H81" s="16" t="s">
        <v>768</v>
      </c>
    </row>
    <row r="82" spans="1:8" x14ac:dyDescent="0.35">
      <c r="A82" s="17">
        <f t="shared" si="1"/>
        <v>80</v>
      </c>
      <c r="B82" s="20" t="s">
        <v>769</v>
      </c>
      <c r="C82" s="20" t="s">
        <v>770</v>
      </c>
      <c r="D82" s="21">
        <v>-4.0000000000000001E-3</v>
      </c>
      <c r="E82" s="24">
        <v>-0.3</v>
      </c>
      <c r="F82" s="15">
        <v>74.150000000000006</v>
      </c>
      <c r="G82" s="16" t="s">
        <v>771</v>
      </c>
      <c r="H82" s="16" t="s">
        <v>772</v>
      </c>
    </row>
    <row r="83" spans="1:8" x14ac:dyDescent="0.35">
      <c r="A83" s="17">
        <f t="shared" si="1"/>
        <v>81</v>
      </c>
      <c r="B83" s="20" t="s">
        <v>773</v>
      </c>
      <c r="C83" s="20" t="s">
        <v>774</v>
      </c>
      <c r="D83" s="21">
        <v>1.5E-3</v>
      </c>
      <c r="E83" s="24">
        <v>0.01</v>
      </c>
      <c r="F83" s="15">
        <v>6.63</v>
      </c>
      <c r="G83" s="16" t="s">
        <v>775</v>
      </c>
      <c r="H83" s="16" t="s">
        <v>776</v>
      </c>
    </row>
    <row r="84" spans="1:8" x14ac:dyDescent="0.35">
      <c r="A84" s="17">
        <f t="shared" si="1"/>
        <v>82</v>
      </c>
      <c r="B84" s="20" t="s">
        <v>777</v>
      </c>
      <c r="C84" s="20" t="s">
        <v>778</v>
      </c>
      <c r="D84" s="21">
        <v>8.3000000000000001E-3</v>
      </c>
      <c r="E84" s="24">
        <v>0.12</v>
      </c>
      <c r="F84" s="15">
        <v>14.52</v>
      </c>
      <c r="G84" s="16" t="s">
        <v>779</v>
      </c>
      <c r="H84" s="16" t="s">
        <v>780</v>
      </c>
    </row>
    <row r="85" spans="1:8" x14ac:dyDescent="0.35">
      <c r="A85" s="17">
        <f t="shared" si="1"/>
        <v>83</v>
      </c>
      <c r="B85" s="20" t="s">
        <v>781</v>
      </c>
      <c r="C85" s="20" t="s">
        <v>782</v>
      </c>
      <c r="D85" s="21">
        <v>6.1999999999999998E-3</v>
      </c>
      <c r="E85" s="24">
        <v>0.49</v>
      </c>
      <c r="F85" s="15">
        <v>80.099999999999994</v>
      </c>
      <c r="G85" s="16" t="s">
        <v>783</v>
      </c>
      <c r="H85" s="16" t="s">
        <v>784</v>
      </c>
    </row>
    <row r="86" spans="1:8" x14ac:dyDescent="0.35">
      <c r="A86" s="17">
        <f t="shared" si="1"/>
        <v>84</v>
      </c>
      <c r="B86" s="20" t="s">
        <v>785</v>
      </c>
      <c r="C86" s="20" t="s">
        <v>786</v>
      </c>
      <c r="D86" s="21">
        <v>3.5999999999999999E-3</v>
      </c>
      <c r="E86" s="24">
        <v>0.01</v>
      </c>
      <c r="F86" s="15">
        <v>2.82</v>
      </c>
      <c r="G86" s="16" t="s">
        <v>787</v>
      </c>
      <c r="H86" s="16" t="s">
        <v>788</v>
      </c>
    </row>
    <row r="87" spans="1:8" x14ac:dyDescent="0.35">
      <c r="A87" s="17">
        <f t="shared" si="1"/>
        <v>85</v>
      </c>
      <c r="B87" s="20" t="s">
        <v>789</v>
      </c>
      <c r="C87" s="20" t="s">
        <v>790</v>
      </c>
      <c r="D87" s="21">
        <v>3.5000000000000001E-3</v>
      </c>
      <c r="E87" s="24">
        <v>0.19</v>
      </c>
      <c r="F87" s="15">
        <v>54.76</v>
      </c>
      <c r="G87" s="16" t="s">
        <v>791</v>
      </c>
      <c r="H87" s="16" t="s">
        <v>792</v>
      </c>
    </row>
    <row r="88" spans="1:8" x14ac:dyDescent="0.35">
      <c r="A88" s="17">
        <f t="shared" si="1"/>
        <v>86</v>
      </c>
      <c r="B88" s="20" t="s">
        <v>793</v>
      </c>
      <c r="C88" s="20" t="s">
        <v>794</v>
      </c>
      <c r="D88" s="21">
        <v>-3.0000000000000001E-3</v>
      </c>
      <c r="E88" s="24">
        <v>-0.03</v>
      </c>
      <c r="F88" s="15">
        <v>9.82</v>
      </c>
      <c r="G88" s="16" t="s">
        <v>795</v>
      </c>
      <c r="H88" s="16" t="s">
        <v>796</v>
      </c>
    </row>
    <row r="89" spans="1:8" x14ac:dyDescent="0.35">
      <c r="A89" s="17">
        <f t="shared" si="1"/>
        <v>87</v>
      </c>
      <c r="B89" s="20" t="s">
        <v>797</v>
      </c>
      <c r="C89" s="20" t="s">
        <v>798</v>
      </c>
      <c r="D89" s="21">
        <v>-9.4000000000000004E-3</v>
      </c>
      <c r="E89" s="24">
        <v>-0.14000000000000001</v>
      </c>
      <c r="F89" s="15">
        <v>14.74</v>
      </c>
      <c r="G89" s="16" t="s">
        <v>799</v>
      </c>
      <c r="H89" s="16" t="s">
        <v>800</v>
      </c>
    </row>
    <row r="90" spans="1:8" x14ac:dyDescent="0.35">
      <c r="A90" s="17">
        <f t="shared" si="1"/>
        <v>88</v>
      </c>
      <c r="B90" s="20" t="s">
        <v>801</v>
      </c>
      <c r="C90" s="20" t="s">
        <v>802</v>
      </c>
      <c r="D90" s="21">
        <v>2.0400000000000001E-2</v>
      </c>
      <c r="E90" s="24">
        <v>1.01</v>
      </c>
      <c r="F90" s="15">
        <v>50.48</v>
      </c>
      <c r="G90" s="16" t="s">
        <v>803</v>
      </c>
      <c r="H90" s="16" t="s">
        <v>804</v>
      </c>
    </row>
    <row r="91" spans="1:8" x14ac:dyDescent="0.35">
      <c r="A91" s="17">
        <f t="shared" si="1"/>
        <v>89</v>
      </c>
      <c r="B91" s="20" t="s">
        <v>805</v>
      </c>
      <c r="C91" s="20" t="s">
        <v>806</v>
      </c>
      <c r="D91" s="21">
        <v>1.55E-2</v>
      </c>
      <c r="E91" s="24">
        <v>0.19</v>
      </c>
      <c r="F91" s="15">
        <v>12.45</v>
      </c>
      <c r="G91" s="16" t="s">
        <v>807</v>
      </c>
      <c r="H91" s="16" t="s">
        <v>808</v>
      </c>
    </row>
    <row r="92" spans="1:8" x14ac:dyDescent="0.35">
      <c r="A92" s="17">
        <f t="shared" si="1"/>
        <v>90</v>
      </c>
      <c r="B92" s="20" t="s">
        <v>809</v>
      </c>
      <c r="C92" s="20" t="s">
        <v>810</v>
      </c>
      <c r="D92" s="21">
        <v>7.9000000000000008E-3</v>
      </c>
      <c r="E92" s="24">
        <v>0.14000000000000001</v>
      </c>
      <c r="F92" s="15">
        <v>17.149999999999999</v>
      </c>
      <c r="G92" s="16" t="s">
        <v>811</v>
      </c>
      <c r="H92" s="16" t="s">
        <v>812</v>
      </c>
    </row>
    <row r="93" spans="1:8" x14ac:dyDescent="0.35">
      <c r="A93" s="17">
        <f t="shared" si="1"/>
        <v>91</v>
      </c>
      <c r="B93" s="20" t="s">
        <v>813</v>
      </c>
      <c r="C93" s="20" t="s">
        <v>814</v>
      </c>
      <c r="D93" s="21">
        <v>3.8E-3</v>
      </c>
      <c r="E93" s="24">
        <v>0.18</v>
      </c>
      <c r="F93" s="15">
        <v>47.87</v>
      </c>
      <c r="G93" s="16" t="s">
        <v>815</v>
      </c>
      <c r="H93" s="16" t="s">
        <v>816</v>
      </c>
    </row>
    <row r="94" spans="1:8" x14ac:dyDescent="0.35">
      <c r="A94" s="17">
        <f t="shared" si="1"/>
        <v>92</v>
      </c>
      <c r="B94" s="20" t="s">
        <v>817</v>
      </c>
      <c r="C94" s="20" t="s">
        <v>818</v>
      </c>
      <c r="D94" s="21">
        <v>-4.1000000000000003E-3</v>
      </c>
      <c r="E94" s="24">
        <v>-0.02</v>
      </c>
      <c r="F94" s="15">
        <v>4.83</v>
      </c>
      <c r="G94" s="16" t="s">
        <v>819</v>
      </c>
      <c r="H94" s="16" t="s">
        <v>820</v>
      </c>
    </row>
    <row r="95" spans="1:8" x14ac:dyDescent="0.35">
      <c r="A95" s="17">
        <f t="shared" si="1"/>
        <v>93</v>
      </c>
      <c r="B95" s="20" t="s">
        <v>821</v>
      </c>
      <c r="C95" s="20" t="s">
        <v>822</v>
      </c>
      <c r="D95" s="21">
        <v>3.4599999999999999E-2</v>
      </c>
      <c r="E95" s="24">
        <v>0.44</v>
      </c>
      <c r="F95" s="15">
        <v>13.14</v>
      </c>
      <c r="G95" s="16" t="s">
        <v>823</v>
      </c>
      <c r="H95" s="16" t="s">
        <v>824</v>
      </c>
    </row>
    <row r="96" spans="1:8" x14ac:dyDescent="0.35">
      <c r="A96" s="17">
        <f t="shared" si="1"/>
        <v>94</v>
      </c>
      <c r="B96" s="20" t="s">
        <v>825</v>
      </c>
      <c r="C96" s="20" t="s">
        <v>826</v>
      </c>
      <c r="D96" s="21">
        <v>-1.2699999999999999E-2</v>
      </c>
      <c r="E96" s="24">
        <v>-0.08</v>
      </c>
      <c r="F96" s="15">
        <v>6.2</v>
      </c>
      <c r="G96" s="16" t="s">
        <v>827</v>
      </c>
      <c r="H96" s="16" t="s">
        <v>828</v>
      </c>
    </row>
    <row r="97" spans="1:8" x14ac:dyDescent="0.35">
      <c r="A97" s="17">
        <f t="shared" si="1"/>
        <v>95</v>
      </c>
      <c r="B97" s="20" t="s">
        <v>829</v>
      </c>
      <c r="C97" s="20" t="s">
        <v>830</v>
      </c>
      <c r="D97" s="21">
        <v>2.2499999999999999E-2</v>
      </c>
      <c r="E97" s="24">
        <v>3.18</v>
      </c>
      <c r="F97" s="15">
        <v>144.76</v>
      </c>
      <c r="G97" s="16" t="s">
        <v>831</v>
      </c>
      <c r="H97" s="16" t="s">
        <v>832</v>
      </c>
    </row>
    <row r="98" spans="1:8" x14ac:dyDescent="0.35">
      <c r="A98" s="17">
        <f t="shared" si="1"/>
        <v>96</v>
      </c>
      <c r="B98" s="20" t="s">
        <v>833</v>
      </c>
      <c r="C98" s="20" t="s">
        <v>834</v>
      </c>
      <c r="D98" s="21">
        <v>-1.18E-2</v>
      </c>
      <c r="E98" s="24">
        <v>-0.08</v>
      </c>
      <c r="F98" s="15">
        <v>6.72</v>
      </c>
      <c r="G98" s="16" t="s">
        <v>835</v>
      </c>
      <c r="H98" s="16" t="s">
        <v>836</v>
      </c>
    </row>
    <row r="99" spans="1:8" x14ac:dyDescent="0.35">
      <c r="A99" s="17">
        <f t="shared" si="1"/>
        <v>97</v>
      </c>
      <c r="B99" s="20" t="s">
        <v>837</v>
      </c>
      <c r="C99" s="20" t="s">
        <v>838</v>
      </c>
      <c r="D99" s="21">
        <v>4.0000000000000001E-3</v>
      </c>
      <c r="E99" s="24">
        <v>0.18</v>
      </c>
      <c r="F99" s="15">
        <v>44.78</v>
      </c>
      <c r="G99" s="16" t="s">
        <v>839</v>
      </c>
      <c r="H99" s="16" t="s">
        <v>840</v>
      </c>
    </row>
    <row r="100" spans="1:8" x14ac:dyDescent="0.35">
      <c r="A100" s="17">
        <f t="shared" si="1"/>
        <v>98</v>
      </c>
      <c r="B100" s="20" t="s">
        <v>841</v>
      </c>
      <c r="C100" s="20" t="s">
        <v>842</v>
      </c>
      <c r="D100" s="21">
        <v>2.9399999999999999E-2</v>
      </c>
      <c r="E100" s="24">
        <v>1.32</v>
      </c>
      <c r="F100" s="15">
        <v>46.26</v>
      </c>
      <c r="G100" s="16" t="s">
        <v>843</v>
      </c>
      <c r="H100" s="16" t="s">
        <v>844</v>
      </c>
    </row>
    <row r="101" spans="1:8" x14ac:dyDescent="0.35">
      <c r="A101" s="17">
        <f t="shared" si="1"/>
        <v>99</v>
      </c>
      <c r="B101" s="20" t="s">
        <v>845</v>
      </c>
      <c r="C101" s="20" t="s">
        <v>846</v>
      </c>
      <c r="D101" s="21">
        <v>4.5999999999999999E-3</v>
      </c>
      <c r="E101" s="24">
        <v>0.32</v>
      </c>
      <c r="F101" s="15">
        <v>69.569999999999993</v>
      </c>
      <c r="G101" s="16" t="s">
        <v>847</v>
      </c>
      <c r="H101" s="16" t="s">
        <v>848</v>
      </c>
    </row>
    <row r="102" spans="1:8" x14ac:dyDescent="0.35">
      <c r="A102" s="17">
        <f t="shared" si="1"/>
        <v>100</v>
      </c>
      <c r="B102" s="20" t="s">
        <v>849</v>
      </c>
      <c r="C102" s="20" t="s">
        <v>850</v>
      </c>
      <c r="D102" s="21">
        <v>-1.6000000000000001E-3</v>
      </c>
      <c r="E102" s="24">
        <v>-0.01</v>
      </c>
      <c r="F102" s="15">
        <v>6.39</v>
      </c>
      <c r="G102" s="16" t="s">
        <v>851</v>
      </c>
      <c r="H102" s="16" t="s">
        <v>852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0BCBA-020E-4638-9077-647F246731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Gainers</vt:lpstr>
      <vt:lpstr>Indexfunds</vt:lpstr>
      <vt:lpstr>Losers</vt:lpstr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Rivers Snyder</dc:creator>
  <cp:lastModifiedBy>Rivers Snyder</cp:lastModifiedBy>
  <dcterms:created xsi:type="dcterms:W3CDTF">2024-10-11T18:55:26Z</dcterms:created>
  <dcterms:modified xsi:type="dcterms:W3CDTF">2024-10-13T23:52:32Z</dcterms:modified>
</cp:coreProperties>
</file>