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C:\Users\ricky\Desktop\Master-Thesis\Questionnaire\EUQ\"/>
    </mc:Choice>
  </mc:AlternateContent>
  <xr:revisionPtr revIDLastSave="0" documentId="13_ncr:1_{31494D61-C5B7-4893-A150-BB307B874873}" xr6:coauthVersionLast="47" xr6:coauthVersionMax="47" xr10:uidLastSave="{00000000-0000-0000-0000-000000000000}"/>
  <bookViews>
    <workbookView xWindow="19095" yWindow="0" windowWidth="19410" windowHeight="20985"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B12" i="3" s="1"/>
  <c r="K9" i="4"/>
  <c r="C14" i="2"/>
  <c r="D14" i="2" s="1"/>
  <c r="C16" i="3" s="1"/>
  <c r="E16" i="3" s="1"/>
  <c r="B15" i="4"/>
  <c r="B14" i="2"/>
  <c r="B16" i="3" s="1"/>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<sst xmlns="http://schemas.openxmlformats.org/spreadsheetml/2006/main" count="2565" uniqueCount="2272">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</sst>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8" xfId="0" applyFont="1" applyBorder="1" applyAlignment="1">
      <alignment horizontal="center" wrapText="1"/>
    </xf>
    <xf numFmtId="0" fontId="26" fillId="0" borderId="9"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2.75</c:v>
                </c:pt>
                <c:pt idx="1">
                  <c:v>2.75</c:v>
                </c:pt>
                <c:pt idx="2">
                  <c:v>2.375</c:v>
                </c:pt>
                <c:pt idx="3">
                  <c:v>2.375</c:v>
                </c:pt>
                <c:pt idx="4">
                  <c:v>2.375</c:v>
                </c:pt>
                <c:pt idx="5">
                  <c:v>2.25</c:v>
                </c:pt>
                <c:pt idx="6">
                  <c:v>2.5</c:v>
                </c:pt>
                <c:pt idx="7">
                  <c:v>1.5</c:v>
                </c:pt>
                <c:pt idx="8">
                  <c:v>1.5</c:v>
                </c:pt>
                <c:pt idx="9">
                  <c:v>2.5</c:v>
                </c:pt>
                <c:pt idx="10">
                  <c:v>2.625</c:v>
                </c:pt>
                <c:pt idx="11">
                  <c:v>2.625</c:v>
                </c:pt>
                <c:pt idx="12">
                  <c:v>2.5</c:v>
                </c:pt>
                <c:pt idx="13">
                  <c:v>2.5</c:v>
                </c:pt>
                <c:pt idx="14">
                  <c:v>2.375</c:v>
                </c:pt>
                <c:pt idx="15">
                  <c:v>2.375</c:v>
                </c:pt>
                <c:pt idx="16">
                  <c:v>2.875</c:v>
                </c:pt>
                <c:pt idx="17">
                  <c:v>2.75</c:v>
                </c:pt>
                <c:pt idx="18">
                  <c:v>2.875</c:v>
                </c:pt>
                <c:pt idx="19">
                  <c:v>2.375</c:v>
                </c:pt>
                <c:pt idx="20">
                  <c:v>2.625</c:v>
                </c:pt>
                <c:pt idx="21">
                  <c:v>2.625</c:v>
                </c:pt>
                <c:pt idx="22">
                  <c:v>2.5</c:v>
                </c:pt>
                <c:pt idx="23">
                  <c:v>2.75</c:v>
                </c:pt>
                <c:pt idx="24">
                  <c:v>2.75</c:v>
                </c:pt>
                <c:pt idx="25">
                  <c:v>2.875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0.14803068449002901</c:v>
                  </c:pt>
                  <c:pt idx="1">
                    <c:v>0.20181613691971922</c:v>
                  </c:pt>
                  <c:pt idx="2">
                    <c:v>0.39286680645884881</c:v>
                  </c:pt>
                  <c:pt idx="3">
                    <c:v>0.19506451266200972</c:v>
                  </c:pt>
                  <c:pt idx="4">
                    <c:v>0.21592787908857011</c:v>
                  </c:pt>
                  <c:pt idx="5">
                    <c:v>0.3265695072125287</c:v>
                  </c:pt>
                </c:numCache>
              </c:numRef>
            </c:plus>
            <c:minus>
              <c:numRef>
                <c:f>Confidence_Intervals!$M$5:$M$10</c:f>
                <c:numCache>
                  <c:formatCode>General</c:formatCode>
                  <c:ptCount val="6"/>
                  <c:pt idx="0">
                    <c:v>0.14803068449002901</c:v>
                  </c:pt>
                  <c:pt idx="1">
                    <c:v>0.20181613691971922</c:v>
                  </c:pt>
                  <c:pt idx="2">
                    <c:v>0.39286680645884881</c:v>
                  </c:pt>
                  <c:pt idx="3">
                    <c:v>0.19506451266200972</c:v>
                  </c:pt>
                  <c:pt idx="4">
                    <c:v>0.21592787908857011</c:v>
                  </c:pt>
                  <c:pt idx="5">
                    <c:v>0.3265695072125287</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2.6250000000000004</c:v>
                </c:pt>
                <c:pt idx="1">
                  <c:v>2.5625</c:v>
                </c:pt>
                <c:pt idx="2">
                  <c:v>2.25</c:v>
                </c:pt>
                <c:pt idx="3">
                  <c:v>2.46875</c:v>
                </c:pt>
                <c:pt idx="4">
                  <c:v>2.46875</c:v>
                </c:pt>
                <c:pt idx="5">
                  <c:v>2.53125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2.6250000000000004</c:v>
                </c:pt>
                <c:pt idx="1">
                  <c:v>2.5625</c:v>
                </c:pt>
                <c:pt idx="2">
                  <c:v>2.25</c:v>
                </c:pt>
                <c:pt idx="3">
                  <c:v>2.46875</c:v>
                </c:pt>
                <c:pt idx="4">
                  <c:v>2.46875</c:v>
                </c:pt>
                <c:pt idx="5">
                  <c:v>2.53125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2.6250000000000004</c:v>
                </c:pt>
                <c:pt idx="1">
                  <c:v>2.4270833333333335</c:v>
                </c:pt>
                <c:pt idx="2">
                  <c:v>2.5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1</c:v>
                </c:pt>
                <c:pt idx="3">
                  <c:v>0</c:v>
                </c:pt>
                <c:pt idx="4">
                  <c:v>1</c:v>
                </c:pt>
                <c:pt idx="5">
                  <c:v>1</c:v>
                </c:pt>
                <c:pt idx="6">
                  <c:v>1</c:v>
                </c:pt>
                <c:pt idx="7">
                  <c:v>3</c:v>
                </c:pt>
                <c:pt idx="8">
                  <c:v>1</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2</c:v>
                </c:pt>
                <c:pt idx="2">
                  <c:v>3</c:v>
                </c:pt>
                <c:pt idx="3">
                  <c:v>5</c:v>
                </c:pt>
                <c:pt idx="4">
                  <c:v>3</c:v>
                </c:pt>
                <c:pt idx="5">
                  <c:v>4</c:v>
                </c:pt>
                <c:pt idx="6">
                  <c:v>2</c:v>
                </c:pt>
                <c:pt idx="7">
                  <c:v>3</c:v>
                </c:pt>
                <c:pt idx="8">
                  <c:v>5</c:v>
                </c:pt>
                <c:pt idx="9">
                  <c:v>1</c:v>
                </c:pt>
                <c:pt idx="10">
                  <c:v>3</c:v>
                </c:pt>
                <c:pt idx="11">
                  <c:v>3</c:v>
                </c:pt>
                <c:pt idx="12">
                  <c:v>4</c:v>
                </c:pt>
                <c:pt idx="13">
                  <c:v>4</c:v>
                </c:pt>
                <c:pt idx="14">
                  <c:v>2</c:v>
                </c:pt>
                <c:pt idx="15">
                  <c:v>5</c:v>
                </c:pt>
                <c:pt idx="16">
                  <c:v>1</c:v>
                </c:pt>
                <c:pt idx="17">
                  <c:v>2</c:v>
                </c:pt>
                <c:pt idx="18">
                  <c:v>1</c:v>
                </c:pt>
                <c:pt idx="19">
                  <c:v>3</c:v>
                </c:pt>
                <c:pt idx="20">
                  <c:v>3</c:v>
                </c:pt>
                <c:pt idx="21">
                  <c:v>3</c:v>
                </c:pt>
                <c:pt idx="22">
                  <c:v>4</c:v>
                </c:pt>
                <c:pt idx="23">
                  <c:v>2</c:v>
                </c:pt>
                <c:pt idx="24">
                  <c:v>2</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7</c:v>
                </c:pt>
                <c:pt idx="1">
                  <c:v>6</c:v>
                </c:pt>
                <c:pt idx="2">
                  <c:v>4</c:v>
                </c:pt>
                <c:pt idx="3">
                  <c:v>3</c:v>
                </c:pt>
                <c:pt idx="4">
                  <c:v>4</c:v>
                </c:pt>
                <c:pt idx="5">
                  <c:v>3</c:v>
                </c:pt>
                <c:pt idx="6">
                  <c:v>5</c:v>
                </c:pt>
                <c:pt idx="7">
                  <c:v>1</c:v>
                </c:pt>
                <c:pt idx="8">
                  <c:v>1</c:v>
                </c:pt>
                <c:pt idx="9">
                  <c:v>6</c:v>
                </c:pt>
                <c:pt idx="10">
                  <c:v>5</c:v>
                </c:pt>
                <c:pt idx="11">
                  <c:v>5</c:v>
                </c:pt>
                <c:pt idx="12">
                  <c:v>4</c:v>
                </c:pt>
                <c:pt idx="13">
                  <c:v>4</c:v>
                </c:pt>
                <c:pt idx="14">
                  <c:v>5</c:v>
                </c:pt>
                <c:pt idx="15">
                  <c:v>3</c:v>
                </c:pt>
                <c:pt idx="16">
                  <c:v>7</c:v>
                </c:pt>
                <c:pt idx="17">
                  <c:v>6</c:v>
                </c:pt>
                <c:pt idx="18">
                  <c:v>7</c:v>
                </c:pt>
                <c:pt idx="19">
                  <c:v>4</c:v>
                </c:pt>
                <c:pt idx="20">
                  <c:v>5</c:v>
                </c:pt>
                <c:pt idx="21">
                  <c:v>5</c:v>
                </c:pt>
                <c:pt idx="22">
                  <c:v>4</c:v>
                </c:pt>
                <c:pt idx="23">
                  <c:v>6</c:v>
                </c:pt>
                <c:pt idx="24">
                  <c:v>6</c:v>
                </c:pt>
                <c:pt idx="25">
                  <c:v>7</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2.6250000000000004</c:v>
                </c:pt>
                <c:pt idx="1">
                  <c:v>2.5625</c:v>
                </c:pt>
                <c:pt idx="2">
                  <c:v>2.25</c:v>
                </c:pt>
                <c:pt idx="3">
                  <c:v>2.46875</c:v>
                </c:pt>
                <c:pt idx="4">
                  <c:v>2.46875</c:v>
                </c:pt>
                <c:pt idx="5">
                  <c:v>2.53125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0.14803068449002901</c:v>
                  </c:pt>
                  <c:pt idx="1">
                    <c:v>0.20181613691971922</c:v>
                  </c:pt>
                  <c:pt idx="2">
                    <c:v>0.39286680645884881</c:v>
                  </c:pt>
                  <c:pt idx="3">
                    <c:v>0.19506451266200972</c:v>
                  </c:pt>
                  <c:pt idx="4">
                    <c:v>0.21592787908857011</c:v>
                  </c:pt>
                  <c:pt idx="5">
                    <c:v>0.3265695072125287</c:v>
                  </c:pt>
                </c:numCache>
              </c:numRef>
            </c:plus>
            <c:minus>
              <c:numRef>
                <c:f>Confidence_Intervals!$M$5:$M$10</c:f>
                <c:numCache>
                  <c:formatCode>General</c:formatCode>
                  <c:ptCount val="6"/>
                  <c:pt idx="0">
                    <c:v>0.14803068449002901</c:v>
                  </c:pt>
                  <c:pt idx="1">
                    <c:v>0.20181613691971922</c:v>
                  </c:pt>
                  <c:pt idx="2">
                    <c:v>0.39286680645884881</c:v>
                  </c:pt>
                  <c:pt idx="3">
                    <c:v>0.19506451266200972</c:v>
                  </c:pt>
                  <c:pt idx="4">
                    <c:v>0.21592787908857011</c:v>
                  </c:pt>
                  <c:pt idx="5">
                    <c:v>0.3265695072125287</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2.6250000000000004</c:v>
                </c:pt>
                <c:pt idx="1">
                  <c:v>2.5625</c:v>
                </c:pt>
                <c:pt idx="2">
                  <c:v>2.25</c:v>
                </c:pt>
                <c:pt idx="3">
                  <c:v>2.46875</c:v>
                </c:pt>
                <c:pt idx="4">
                  <c:v>2.46875</c:v>
                </c:pt>
                <c:pt idx="5">
                  <c:v>2.53125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A11" sqref="AA11"/>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6</v>
      </c>
      <c r="C4" s="52">
        <v>1</v>
      </c>
      <c r="D4" s="52">
        <v>1</v>
      </c>
      <c r="E4" s="52">
        <v>1</v>
      </c>
      <c r="F4" s="52">
        <v>6</v>
      </c>
      <c r="G4" s="52">
        <v>6</v>
      </c>
      <c r="H4" s="52">
        <v>5</v>
      </c>
      <c r="I4" s="52">
        <v>2</v>
      </c>
      <c r="J4" s="52">
        <v>1</v>
      </c>
      <c r="K4" s="52">
        <v>6</v>
      </c>
      <c r="L4" s="52">
        <v>1</v>
      </c>
      <c r="M4" s="52">
        <v>6</v>
      </c>
      <c r="N4" s="52">
        <v>6</v>
      </c>
      <c r="O4" s="52">
        <v>4</v>
      </c>
      <c r="P4" s="52">
        <v>6</v>
      </c>
      <c r="Q4" s="52">
        <v>1</v>
      </c>
      <c r="R4" s="52">
        <v>1</v>
      </c>
      <c r="S4" s="52">
        <v>1</v>
      </c>
      <c r="T4" s="52">
        <v>7</v>
      </c>
      <c r="U4" s="52">
        <v>1</v>
      </c>
      <c r="V4" s="52">
        <v>6</v>
      </c>
      <c r="W4" s="52">
        <v>1</v>
      </c>
      <c r="X4" s="52">
        <v>1</v>
      </c>
      <c r="Y4" s="52">
        <v>1</v>
      </c>
      <c r="Z4" s="52">
        <v>6</v>
      </c>
    </row>
    <row r="5" spans="1:27">
      <c r="A5" s="47">
        <v>7</v>
      </c>
      <c r="B5" s="47">
        <v>7</v>
      </c>
      <c r="C5" s="47">
        <v>2</v>
      </c>
      <c r="D5" s="47">
        <v>2</v>
      </c>
      <c r="E5" s="47">
        <v>2</v>
      </c>
      <c r="F5" s="47">
        <v>6</v>
      </c>
      <c r="G5" s="47">
        <v>6</v>
      </c>
      <c r="H5" s="47">
        <v>6</v>
      </c>
      <c r="I5" s="47">
        <v>2</v>
      </c>
      <c r="J5" s="47">
        <v>2</v>
      </c>
      <c r="K5" s="47">
        <v>7</v>
      </c>
      <c r="L5" s="47">
        <v>2</v>
      </c>
      <c r="M5" s="47">
        <v>7</v>
      </c>
      <c r="N5" s="47">
        <v>7</v>
      </c>
      <c r="O5" s="47">
        <v>6</v>
      </c>
      <c r="P5" s="47">
        <v>7</v>
      </c>
      <c r="Q5" s="47">
        <v>2</v>
      </c>
      <c r="R5" s="47">
        <v>2</v>
      </c>
      <c r="S5" s="47">
        <v>1</v>
      </c>
      <c r="T5" s="47">
        <v>7</v>
      </c>
      <c r="U5" s="47">
        <v>2</v>
      </c>
      <c r="V5" s="47">
        <v>7</v>
      </c>
      <c r="W5" s="47">
        <v>2</v>
      </c>
      <c r="X5" s="47">
        <v>2</v>
      </c>
      <c r="Y5" s="47">
        <v>2</v>
      </c>
      <c r="Z5" s="47">
        <v>7</v>
      </c>
    </row>
    <row r="6" spans="1:27">
      <c r="A6" s="47">
        <v>7</v>
      </c>
      <c r="B6" s="47">
        <v>7</v>
      </c>
      <c r="C6" s="47">
        <v>1</v>
      </c>
      <c r="D6" s="47">
        <v>2</v>
      </c>
      <c r="E6" s="47">
        <v>2</v>
      </c>
      <c r="F6" s="47">
        <v>6</v>
      </c>
      <c r="G6" s="47">
        <v>5</v>
      </c>
      <c r="H6" s="47">
        <v>5</v>
      </c>
      <c r="I6" s="47">
        <v>2</v>
      </c>
      <c r="J6" s="47">
        <v>1</v>
      </c>
      <c r="K6" s="47">
        <v>7</v>
      </c>
      <c r="L6" s="47">
        <v>2</v>
      </c>
      <c r="M6" s="47">
        <v>6</v>
      </c>
      <c r="N6" s="47">
        <v>6</v>
      </c>
      <c r="O6" s="47">
        <v>6</v>
      </c>
      <c r="P6" s="47">
        <v>6</v>
      </c>
      <c r="Q6" s="47">
        <v>1</v>
      </c>
      <c r="R6" s="47">
        <v>1</v>
      </c>
      <c r="S6" s="47">
        <v>1</v>
      </c>
      <c r="T6" s="47">
        <v>7</v>
      </c>
      <c r="U6" s="47">
        <v>1</v>
      </c>
      <c r="V6" s="47">
        <v>7</v>
      </c>
      <c r="W6" s="47">
        <v>1</v>
      </c>
      <c r="X6" s="47">
        <v>1</v>
      </c>
      <c r="Y6" s="47">
        <v>1</v>
      </c>
      <c r="Z6" s="47">
        <v>7</v>
      </c>
    </row>
    <row r="7" spans="1:27">
      <c r="A7" s="47">
        <v>7</v>
      </c>
      <c r="B7" s="47">
        <v>7</v>
      </c>
      <c r="C7" s="47">
        <v>2</v>
      </c>
      <c r="D7" s="47">
        <v>1</v>
      </c>
      <c r="E7" s="47">
        <v>1</v>
      </c>
      <c r="F7" s="47">
        <v>7</v>
      </c>
      <c r="G7" s="47">
        <v>7</v>
      </c>
      <c r="H7" s="47">
        <v>6</v>
      </c>
      <c r="I7" s="47">
        <v>3</v>
      </c>
      <c r="J7" s="47">
        <v>1</v>
      </c>
      <c r="K7" s="47">
        <v>7</v>
      </c>
      <c r="L7" s="47">
        <v>1</v>
      </c>
      <c r="M7" s="47">
        <v>7</v>
      </c>
      <c r="N7" s="47">
        <v>7</v>
      </c>
      <c r="O7" s="47">
        <v>7</v>
      </c>
      <c r="P7" s="47">
        <v>7</v>
      </c>
      <c r="Q7" s="47">
        <v>1</v>
      </c>
      <c r="R7" s="47">
        <v>2</v>
      </c>
      <c r="S7" s="47">
        <v>1</v>
      </c>
      <c r="T7" s="47">
        <v>6</v>
      </c>
      <c r="U7" s="47">
        <v>1</v>
      </c>
      <c r="V7" s="47">
        <v>7</v>
      </c>
      <c r="W7" s="47">
        <v>2</v>
      </c>
      <c r="X7" s="47">
        <v>1</v>
      </c>
      <c r="Y7" s="47">
        <v>1</v>
      </c>
      <c r="Z7" s="47">
        <v>7</v>
      </c>
    </row>
    <row r="8" spans="1:27">
      <c r="A8" s="47">
        <v>7</v>
      </c>
      <c r="B8" s="47">
        <v>7</v>
      </c>
      <c r="C8" s="47">
        <v>1</v>
      </c>
      <c r="D8" s="47">
        <v>2</v>
      </c>
      <c r="E8" s="47">
        <v>3</v>
      </c>
      <c r="F8" s="47">
        <v>7</v>
      </c>
      <c r="G8" s="47">
        <v>7</v>
      </c>
      <c r="H8" s="47">
        <v>4</v>
      </c>
      <c r="I8" s="47">
        <v>6</v>
      </c>
      <c r="J8" s="47">
        <v>1</v>
      </c>
      <c r="K8" s="47">
        <v>7</v>
      </c>
      <c r="L8" s="47">
        <v>1</v>
      </c>
      <c r="M8" s="47">
        <v>6</v>
      </c>
      <c r="N8" s="47">
        <v>6</v>
      </c>
      <c r="O8" s="47">
        <v>7</v>
      </c>
      <c r="P8" s="47">
        <v>7</v>
      </c>
      <c r="Q8" s="47">
        <v>1</v>
      </c>
      <c r="R8" s="47">
        <v>1</v>
      </c>
      <c r="S8" s="47">
        <v>1</v>
      </c>
      <c r="T8" s="47">
        <v>5</v>
      </c>
      <c r="U8" s="47">
        <v>2</v>
      </c>
      <c r="V8" s="47">
        <v>6</v>
      </c>
      <c r="W8" s="47">
        <v>1</v>
      </c>
      <c r="X8" s="47">
        <v>1</v>
      </c>
      <c r="Y8" s="47">
        <v>1</v>
      </c>
      <c r="Z8" s="47">
        <v>7</v>
      </c>
    </row>
    <row r="9" spans="1:27">
      <c r="A9" s="47">
        <v>7</v>
      </c>
      <c r="B9" s="47">
        <v>7</v>
      </c>
      <c r="C9" s="47">
        <v>2</v>
      </c>
      <c r="D9" s="47">
        <v>1</v>
      </c>
      <c r="E9" s="47">
        <v>1</v>
      </c>
      <c r="F9" s="47">
        <v>6</v>
      </c>
      <c r="G9" s="47">
        <v>7</v>
      </c>
      <c r="H9" s="47">
        <v>6</v>
      </c>
      <c r="I9" s="47">
        <v>2</v>
      </c>
      <c r="J9" s="47">
        <v>1</v>
      </c>
      <c r="K9" s="47">
        <v>7</v>
      </c>
      <c r="L9" s="47">
        <v>1</v>
      </c>
      <c r="M9" s="47">
        <v>7</v>
      </c>
      <c r="N9" s="47">
        <v>7</v>
      </c>
      <c r="O9" s="47">
        <v>7</v>
      </c>
      <c r="P9" s="47">
        <v>6</v>
      </c>
      <c r="Q9" s="47">
        <v>1</v>
      </c>
      <c r="R9" s="47">
        <v>1</v>
      </c>
      <c r="S9" s="47">
        <v>1</v>
      </c>
      <c r="T9" s="47">
        <v>6</v>
      </c>
      <c r="U9" s="47">
        <v>1</v>
      </c>
      <c r="V9" s="47">
        <v>7</v>
      </c>
      <c r="W9" s="47">
        <v>2</v>
      </c>
      <c r="X9" s="47">
        <v>1</v>
      </c>
      <c r="Y9" s="47">
        <v>2</v>
      </c>
      <c r="Z9" s="47">
        <v>7</v>
      </c>
    </row>
    <row r="10" spans="1:27">
      <c r="A10" s="47">
        <v>7</v>
      </c>
      <c r="B10" s="47">
        <v>7</v>
      </c>
      <c r="C10" s="47">
        <v>3</v>
      </c>
      <c r="D10" s="47">
        <v>2</v>
      </c>
      <c r="E10" s="47">
        <v>2</v>
      </c>
      <c r="F10" s="47">
        <v>7</v>
      </c>
      <c r="G10" s="47">
        <v>7</v>
      </c>
      <c r="H10" s="47">
        <v>5</v>
      </c>
      <c r="I10" s="47">
        <v>2</v>
      </c>
      <c r="J10" s="47">
        <v>4</v>
      </c>
      <c r="K10" s="47">
        <v>6</v>
      </c>
      <c r="L10" s="47">
        <v>2</v>
      </c>
      <c r="M10" s="47">
        <v>7</v>
      </c>
      <c r="N10" s="47">
        <v>6</v>
      </c>
      <c r="O10" s="47">
        <v>7</v>
      </c>
      <c r="P10" s="47">
        <v>6</v>
      </c>
      <c r="Q10" s="47">
        <v>1</v>
      </c>
      <c r="R10" s="47">
        <v>1</v>
      </c>
      <c r="S10" s="47">
        <v>2</v>
      </c>
      <c r="T10" s="47">
        <v>6</v>
      </c>
      <c r="U10" s="47">
        <v>2</v>
      </c>
      <c r="V10" s="47">
        <v>7</v>
      </c>
      <c r="W10" s="47">
        <v>2</v>
      </c>
      <c r="X10" s="47">
        <v>1</v>
      </c>
      <c r="Y10" s="47">
        <v>1</v>
      </c>
      <c r="Z10" s="47">
        <v>7</v>
      </c>
    </row>
    <row r="11" spans="1:27">
      <c r="A11" s="47">
        <v>7</v>
      </c>
      <c r="B11" s="47">
        <v>6</v>
      </c>
      <c r="C11" s="47">
        <v>1</v>
      </c>
      <c r="D11" s="47">
        <v>2</v>
      </c>
      <c r="E11" s="47">
        <v>1</v>
      </c>
      <c r="F11" s="47">
        <v>5</v>
      </c>
      <c r="G11" s="47">
        <v>7</v>
      </c>
      <c r="H11" s="47">
        <v>7</v>
      </c>
      <c r="I11" s="47">
        <v>1</v>
      </c>
      <c r="J11" s="47">
        <v>1</v>
      </c>
      <c r="K11" s="47">
        <v>6</v>
      </c>
      <c r="L11" s="47">
        <v>1</v>
      </c>
      <c r="M11" s="47">
        <v>6</v>
      </c>
      <c r="N11" s="47">
        <v>7</v>
      </c>
      <c r="O11" s="47">
        <v>7</v>
      </c>
      <c r="P11" s="47">
        <v>6</v>
      </c>
      <c r="Q11" s="47">
        <v>1</v>
      </c>
      <c r="R11" s="47">
        <v>1</v>
      </c>
      <c r="S11" s="47">
        <v>1</v>
      </c>
      <c r="T11" s="47">
        <v>7</v>
      </c>
      <c r="U11" s="47">
        <v>1</v>
      </c>
      <c r="V11" s="47">
        <v>6</v>
      </c>
      <c r="W11" s="47">
        <v>1</v>
      </c>
      <c r="X11" s="47">
        <v>2</v>
      </c>
      <c r="Y11" s="47">
        <v>1</v>
      </c>
      <c r="Z11" s="47">
        <v>7</v>
      </c>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54">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5">
        <f t="shared" ref="AC4:AC68" si="0">IF(COUNT(A4,L4,N4,P4,X4,Y4)&gt;0,AVERAGE(A4,L4,N4,P4,X4,Y4),"")</f>
        <v>2.3333333333333335</v>
      </c>
      <c r="AD4" s="55">
        <f>IF(COUNT(B4,D4,M4,U4)&gt;0,AVERAGE(B4,D4,M4,U4),"")</f>
        <v>2.5</v>
      </c>
      <c r="AE4" s="55">
        <f>IF(COUNT(I4,T4,V4,W4)&gt;0,AVERAGE(I4,T4,V4,W4),"")</f>
        <v>2.5</v>
      </c>
      <c r="AF4" s="55">
        <f>IF(COUNT(H4,K4,Q4,S4)&gt;0,AVERAGE(H4,K4,Q4,S4),"")</f>
        <v>2.25</v>
      </c>
      <c r="AG4" s="55">
        <f>IF(COUNT(E4,F4,G4,R4)&gt;0,AVERAGE(E4,F4,G4,R4),"")</f>
        <v>2.5</v>
      </c>
      <c r="AH4" s="55">
        <f>IF(COUNT(C4,J4,O4,Z4)&gt;0,AVERAGE(C4,J4,O4,Z4),"")</f>
        <v>2</v>
      </c>
    </row>
    <row r="5" spans="1:34">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6">
        <f t="shared" si="0"/>
        <v>2.5</v>
      </c>
      <c r="AD5" s="6">
        <f t="shared" ref="AD5:AD68" si="1">IF(COUNT(B5,D5,M5,U5)&gt;0,AVERAGE(B5,D5,M5,U5),"")</f>
        <v>2.5</v>
      </c>
      <c r="AE5" s="6">
        <f t="shared" ref="AE5:AE68" si="2">IF(COUNT(I5,T5,V5,W5)&gt;0,AVERAGE(I5,T5,V5,W5),"")</f>
        <v>2.5</v>
      </c>
      <c r="AF5" s="6">
        <f t="shared" ref="AF5:AF68" si="3">IF(COUNT(H5,K5,Q5,S5)&gt;0,AVERAGE(H5,K5,Q5,S5),"")</f>
        <v>2.5</v>
      </c>
      <c r="AG5" s="6">
        <f t="shared" ref="AG5:AG68" si="4">IF(COUNT(E5,F5,G5,R5)&gt;0,AVERAGE(E5,F5,G5,R5),"")</f>
        <v>2</v>
      </c>
      <c r="AH5" s="6">
        <f t="shared" ref="AH5:AH68" si="5">IF(COUNT(C5,J5,O5,Z5)&gt;0,AVERAGE(C5,J5,O5,Z5),"")</f>
        <v>2.25</v>
      </c>
    </row>
    <row r="6" spans="1:34">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2.5</v>
      </c>
      <c r="AD6" s="6">
        <f t="shared" si="1"/>
        <v>2.5</v>
      </c>
      <c r="AE6" s="6">
        <f t="shared" si="2"/>
        <v>2.75</v>
      </c>
      <c r="AF6" s="6">
        <f t="shared" si="3"/>
        <v>2.5</v>
      </c>
      <c r="AG6" s="6">
        <f t="shared" si="4"/>
        <v>2</v>
      </c>
      <c r="AH6" s="6">
        <f t="shared" si="5"/>
        <v>2.75</v>
      </c>
    </row>
    <row r="7" spans="1:34">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6">
        <f t="shared" si="0"/>
        <v>3</v>
      </c>
      <c r="AD7" s="6">
        <f t="shared" si="1"/>
        <v>3</v>
      </c>
      <c r="AE7" s="6">
        <f t="shared" si="2"/>
        <v>2</v>
      </c>
      <c r="AF7" s="6">
        <f t="shared" si="3"/>
        <v>2.75</v>
      </c>
      <c r="AG7" s="6">
        <f t="shared" si="4"/>
        <v>2.75</v>
      </c>
      <c r="AH7" s="6">
        <f t="shared" si="5"/>
        <v>2.75</v>
      </c>
    </row>
    <row r="8" spans="1:34">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6">
        <f t="shared" si="0"/>
        <v>2.8333333333333335</v>
      </c>
      <c r="AD8" s="6">
        <f t="shared" si="1"/>
        <v>2.25</v>
      </c>
      <c r="AE8" s="6">
        <f t="shared" si="2"/>
        <v>1</v>
      </c>
      <c r="AF8" s="6">
        <f t="shared" si="3"/>
        <v>2.25</v>
      </c>
      <c r="AG8" s="6">
        <f t="shared" si="4"/>
        <v>2.5</v>
      </c>
      <c r="AH8" s="6">
        <f t="shared" si="5"/>
        <v>3</v>
      </c>
    </row>
    <row r="9" spans="1:34">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6">
        <f t="shared" si="0"/>
        <v>2.6666666666666665</v>
      </c>
      <c r="AD9" s="6">
        <f t="shared" si="1"/>
        <v>3</v>
      </c>
      <c r="AE9" s="6">
        <f t="shared" si="2"/>
        <v>2.25</v>
      </c>
      <c r="AF9" s="6">
        <f t="shared" si="3"/>
        <v>2.75</v>
      </c>
      <c r="AG9" s="6">
        <f t="shared" si="4"/>
        <v>2.75</v>
      </c>
      <c r="AH9" s="6">
        <f t="shared" si="5"/>
        <v>2.75</v>
      </c>
    </row>
    <row r="10" spans="1:34">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6">
        <f t="shared" si="0"/>
        <v>2.5</v>
      </c>
      <c r="AD10" s="6">
        <f t="shared" si="1"/>
        <v>2.5</v>
      </c>
      <c r="AE10" s="6">
        <f t="shared" si="2"/>
        <v>2.25</v>
      </c>
      <c r="AF10" s="6">
        <f t="shared" si="3"/>
        <v>2</v>
      </c>
      <c r="AG10" s="6">
        <f t="shared" si="4"/>
        <v>2.75</v>
      </c>
      <c r="AH10" s="6">
        <f t="shared" si="5"/>
        <v>1.75</v>
      </c>
    </row>
    <row r="11" spans="1:34">
      <c r="A11" s="1">
        <f>IF(Data!A11&gt;0,Data!A11-4,"")</f>
        <v>3</v>
      </c>
      <c r="B11" s="1">
        <f>IF(Data!B11&gt;0,Data!B11-4,"")</f>
        <v>2</v>
      </c>
      <c r="C11" s="1">
        <f>IF(Data!C11&gt;0,4-Data!C11,"")</f>
        <v>3</v>
      </c>
      <c r="D11" s="1">
        <f>IF(Data!D11&gt;0,4-Data!D11,"")</f>
        <v>2</v>
      </c>
      <c r="E11" s="1">
        <f>IF(Data!E11&gt;0,4-Data!E11,"")</f>
        <v>3</v>
      </c>
      <c r="F11" s="1">
        <f>IF(Data!F11&gt;0,Data!F11-4,"")</f>
        <v>1</v>
      </c>
      <c r="G11" s="1">
        <f>IF(Data!G11&gt;0,Data!G11-4,"")</f>
        <v>3</v>
      </c>
      <c r="H11" s="1">
        <f>IF(Data!H11&gt;0,Data!H11-4,"")</f>
        <v>3</v>
      </c>
      <c r="I11" s="1">
        <f>IF(Data!I11&gt;0,4-Data!I11,"")</f>
        <v>3</v>
      </c>
      <c r="J11" s="1">
        <f>IF(Data!J11&gt;0,4-Data!J11,"")</f>
        <v>3</v>
      </c>
      <c r="K11" s="1">
        <f>IF(Data!K11&gt;0,Data!K11-4,"")</f>
        <v>2</v>
      </c>
      <c r="L11" s="1">
        <f>IF(Data!L11&gt;0,4-Data!L11,"")</f>
        <v>3</v>
      </c>
      <c r="M11" s="1">
        <f>IF(Data!M11&gt;0,Data!M11-4,"")</f>
        <v>2</v>
      </c>
      <c r="N11" s="1">
        <f>IF(Data!N11&gt;0,Data!N11-4,"")</f>
        <v>3</v>
      </c>
      <c r="O11" s="1">
        <f>IF(Data!O11&gt;0,Data!O11-4,"")</f>
        <v>3</v>
      </c>
      <c r="P11" s="1">
        <f>IF(Data!P11&gt;0,Data!P11-4,"")</f>
        <v>2</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2</v>
      </c>
      <c r="Y11" s="1">
        <f>IF(Data!Y11&gt;0,4-Data!Y11,"")</f>
        <v>3</v>
      </c>
      <c r="Z11" s="1">
        <f>IF(Data!Z11&gt;0,Data!Z11-4,"")</f>
        <v>3</v>
      </c>
      <c r="AC11" s="6">
        <f t="shared" si="0"/>
        <v>2.6666666666666665</v>
      </c>
      <c r="AD11" s="6">
        <f t="shared" si="1"/>
        <v>2.25</v>
      </c>
      <c r="AE11" s="6">
        <f t="shared" si="2"/>
        <v>2.75</v>
      </c>
      <c r="AF11" s="6">
        <f t="shared" si="3"/>
        <v>2.75</v>
      </c>
      <c r="AG11" s="6">
        <f t="shared" si="4"/>
        <v>2.5</v>
      </c>
      <c r="AH11" s="6">
        <f t="shared" si="5"/>
        <v>3</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2.75</v>
      </c>
      <c r="C3" s="58">
        <f>VAR(DT!A4:A1004)</f>
        <v>0.5</v>
      </c>
      <c r="D3" s="58">
        <f>SQRT(C3)</f>
        <v>0.70710678118654757</v>
      </c>
      <c r="E3" s="59">
        <f>COUNTA(Data!A4:A1004)</f>
        <v>8</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2.6250000000000004</v>
      </c>
      <c r="M3" s="6">
        <f>VAR(DT!AC4:AC1004)</f>
        <v>4.5634920634920632E-2</v>
      </c>
      <c r="R3" s="5"/>
    </row>
    <row r="4" spans="1:18">
      <c r="A4" s="2">
        <v>2</v>
      </c>
      <c r="B4" s="3">
        <f>AVERAGE(DT!B4:B1004)</f>
        <v>2.75</v>
      </c>
      <c r="C4" s="3">
        <f>VAR(DT!B4:B1004)</f>
        <v>0.21428571428571427</v>
      </c>
      <c r="D4" s="3">
        <f t="shared" ref="D4:D28" si="0">SQRT(C4)</f>
        <v>0.46291004988627571</v>
      </c>
      <c r="E4" s="4">
        <f>COUNTA(Data!B4:B1004)</f>
        <v>8</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2.5625</v>
      </c>
      <c r="M4" s="6">
        <f>VAR(DT!AD4:AD1004)</f>
        <v>8.4821428571428575E-2</v>
      </c>
    </row>
    <row r="5" spans="1:18">
      <c r="A5" s="2">
        <v>3</v>
      </c>
      <c r="B5" s="3">
        <f>AVERAGE(DT!C4:C1004)</f>
        <v>2.375</v>
      </c>
      <c r="C5" s="3">
        <f>VAR(DT!C4:C1004)</f>
        <v>0.5535714285714286</v>
      </c>
      <c r="D5" s="3">
        <f t="shared" si="0"/>
        <v>0.74402380914284494</v>
      </c>
      <c r="E5" s="4">
        <f>COUNTA(Data!C4:C1004)</f>
        <v>8</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2.25</v>
      </c>
      <c r="M5" s="6">
        <f>VAR(DT!AE4:AE1004)</f>
        <v>0.32142857142857145</v>
      </c>
    </row>
    <row r="6" spans="1:18">
      <c r="A6" s="2">
        <v>4</v>
      </c>
      <c r="B6" s="3">
        <f>AVERAGE(DT!D4:D1004)</f>
        <v>2.375</v>
      </c>
      <c r="C6" s="3">
        <f>VAR(DT!D4:D1004)</f>
        <v>0.26785714285714285</v>
      </c>
      <c r="D6" s="3">
        <f t="shared" si="0"/>
        <v>0.51754916950676566</v>
      </c>
      <c r="E6" s="4">
        <f>COUNTA(Data!D4:D1004)</f>
        <v>8</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2.46875</v>
      </c>
      <c r="M6" s="6">
        <f>VAR(DT!AF4:AF1004)</f>
        <v>7.9241071428571425E-2</v>
      </c>
    </row>
    <row r="7" spans="1:18">
      <c r="A7" s="2">
        <v>5</v>
      </c>
      <c r="B7" s="3">
        <f>AVERAGE(DT!E4:E1004)</f>
        <v>2.375</v>
      </c>
      <c r="C7" s="3">
        <f>VAR(DT!E4:E1004)</f>
        <v>0.5535714285714286</v>
      </c>
      <c r="D7" s="3">
        <f t="shared" si="0"/>
        <v>0.74402380914284494</v>
      </c>
      <c r="E7" s="4">
        <f>COUNTA(Data!E4:E1004)</f>
        <v>8</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2.46875</v>
      </c>
      <c r="M7" s="6">
        <f>VAR(DT!AG4:AG1004)</f>
        <v>9.7098214285714288E-2</v>
      </c>
    </row>
    <row r="8" spans="1:18">
      <c r="A8" s="2">
        <v>6</v>
      </c>
      <c r="B8" s="3">
        <f>AVERAGE(DT!F4:F1004)</f>
        <v>2.25</v>
      </c>
      <c r="C8" s="3">
        <f>VAR(DT!F4:F1004)</f>
        <v>0.5</v>
      </c>
      <c r="D8" s="3">
        <f t="shared" si="0"/>
        <v>0.70710678118654757</v>
      </c>
      <c r="E8" s="4">
        <f>COUNTA(Data!F4:F1004)</f>
        <v>8</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2.53125</v>
      </c>
      <c r="M8" s="6">
        <f>VAR(DT!AH4:AH1004)</f>
        <v>0.22209821428571427</v>
      </c>
    </row>
    <row r="9" spans="1:18">
      <c r="A9" s="2">
        <v>7</v>
      </c>
      <c r="B9" s="3">
        <f>AVERAGE(DT!G4:G1004)</f>
        <v>2.5</v>
      </c>
      <c r="C9" s="3">
        <f>VAR(DT!G4:G1004)</f>
        <v>0.5714285714285714</v>
      </c>
      <c r="D9" s="3">
        <f t="shared" si="0"/>
        <v>0.7559289460184544</v>
      </c>
      <c r="E9" s="4">
        <f>COUNTA(Data!G4:G1004)</f>
        <v>8</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1.5</v>
      </c>
      <c r="C10" s="3">
        <f>VAR(DT!H4:H1004)</f>
        <v>0.8571428571428571</v>
      </c>
      <c r="D10" s="3">
        <f t="shared" si="0"/>
        <v>0.92582009977255142</v>
      </c>
      <c r="E10" s="4">
        <f>COUNTA(Data!H4:H1004)</f>
        <v>8</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1.5</v>
      </c>
      <c r="C11" s="3">
        <f>VAR(DT!I4:I1004)</f>
        <v>2.2857142857142856</v>
      </c>
      <c r="D11" s="3">
        <f t="shared" si="0"/>
        <v>1.5118578920369088</v>
      </c>
      <c r="E11" s="4">
        <f>COUNTA(Data!I4:I1004)</f>
        <v>8</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2.5</v>
      </c>
      <c r="C12" s="3">
        <f>VAR(DT!J4:J1004)</f>
        <v>1.1428571428571428</v>
      </c>
      <c r="D12" s="3">
        <f t="shared" si="0"/>
        <v>1.0690449676496976</v>
      </c>
      <c r="E12" s="4">
        <f>COUNTA(Data!J4:J1004)</f>
        <v>8</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2.625</v>
      </c>
      <c r="C13" s="3">
        <f>VAR(DT!K4:K1004)</f>
        <v>0.26785714285714285</v>
      </c>
      <c r="D13" s="3">
        <f t="shared" si="0"/>
        <v>0.51754916950676566</v>
      </c>
      <c r="E13" s="4">
        <f>COUNTA(Data!K4:K1004)</f>
        <v>8</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2.625</v>
      </c>
      <c r="C14" s="3">
        <f>VAR(DT!L4:L1004)</f>
        <v>0.26785714285714285</v>
      </c>
      <c r="D14" s="3">
        <f t="shared" si="0"/>
        <v>0.51754916950676566</v>
      </c>
      <c r="E14" s="4">
        <f>COUNTA(Data!L4:L1004)</f>
        <v>8</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2.5</v>
      </c>
      <c r="C15" s="3">
        <f>VAR(DT!M4:M1004)</f>
        <v>0.2857142857142857</v>
      </c>
      <c r="D15" s="3">
        <f t="shared" si="0"/>
        <v>0.53452248382484879</v>
      </c>
      <c r="E15" s="4">
        <f>COUNTA(Data!M4:M1004)</f>
        <v>8</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2.5</v>
      </c>
      <c r="C16" s="3">
        <f>VAR(DT!N4:N1004)</f>
        <v>0.2857142857142857</v>
      </c>
      <c r="D16" s="3">
        <f t="shared" si="0"/>
        <v>0.53452248382484879</v>
      </c>
      <c r="E16" s="4">
        <f>COUNTA(Data!N4:N1004)</f>
        <v>8</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2.375</v>
      </c>
      <c r="C17" s="3">
        <f>VAR(DT!O4:O1004)</f>
        <v>1.125</v>
      </c>
      <c r="D17" s="3">
        <f t="shared" si="0"/>
        <v>1.0606601717798212</v>
      </c>
      <c r="E17" s="4">
        <f>COUNTA(Data!O4:O1004)</f>
        <v>8</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2.375</v>
      </c>
      <c r="C18" s="3">
        <f>VAR(DT!P4:P1004)</f>
        <v>0.26785714285714285</v>
      </c>
      <c r="D18" s="3">
        <f t="shared" si="0"/>
        <v>0.51754916950676566</v>
      </c>
      <c r="E18" s="4">
        <f>COUNTA(Data!P4:P1004)</f>
        <v>8</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2.875</v>
      </c>
      <c r="C19" s="3">
        <f>VAR(DT!Q4:Q1004)</f>
        <v>0.125</v>
      </c>
      <c r="D19" s="3">
        <f t="shared" si="0"/>
        <v>0.35355339059327379</v>
      </c>
      <c r="E19" s="4">
        <f>COUNTA(Data!Q4:Q1004)</f>
        <v>8</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2.75</v>
      </c>
      <c r="C20" s="3">
        <f>VAR(DT!R4:R1004)</f>
        <v>0.21428571428571427</v>
      </c>
      <c r="D20" s="3">
        <f t="shared" si="0"/>
        <v>0.46291004988627571</v>
      </c>
      <c r="E20" s="4">
        <f>COUNTA(Data!R4:R1004)</f>
        <v>8</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2.875</v>
      </c>
      <c r="C21" s="3">
        <f>VAR(DT!S4:S1004)</f>
        <v>0.125</v>
      </c>
      <c r="D21" s="3">
        <f t="shared" si="0"/>
        <v>0.35355339059327379</v>
      </c>
      <c r="E21" s="4">
        <f>COUNTA(Data!S4:S1004)</f>
        <v>8</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2.375</v>
      </c>
      <c r="C22" s="3">
        <f>VAR(DT!T4:T1004)</f>
        <v>0.5535714285714286</v>
      </c>
      <c r="D22" s="3">
        <f t="shared" si="0"/>
        <v>0.74402380914284494</v>
      </c>
      <c r="E22" s="4">
        <f>COUNTA(Data!T4:T1004)</f>
        <v>8</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2.625</v>
      </c>
      <c r="C23" s="3">
        <f>VAR(DT!U4:U1004)</f>
        <v>0.26785714285714285</v>
      </c>
      <c r="D23" s="3">
        <f t="shared" si="0"/>
        <v>0.51754916950676566</v>
      </c>
      <c r="E23" s="4">
        <f>COUNTA(Data!U4:U1004)</f>
        <v>8</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2.625</v>
      </c>
      <c r="C24" s="3">
        <f>VAR(DT!V4:V1004)</f>
        <v>0.26785714285714285</v>
      </c>
      <c r="D24" s="3">
        <f t="shared" si="0"/>
        <v>0.51754916950676566</v>
      </c>
      <c r="E24" s="4">
        <f>COUNTA(Data!V4:V1004)</f>
        <v>8</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2.5</v>
      </c>
      <c r="C25" s="3">
        <f>VAR(DT!W4:W1004)</f>
        <v>0.2857142857142857</v>
      </c>
      <c r="D25" s="3">
        <f t="shared" si="0"/>
        <v>0.53452248382484879</v>
      </c>
      <c r="E25" s="4">
        <f>COUNTA(Data!W4:W1004)</f>
        <v>8</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2.75</v>
      </c>
      <c r="C26" s="3">
        <f>VAR(DT!X4:X1004)</f>
        <v>0.21428571428571427</v>
      </c>
      <c r="D26" s="3">
        <f t="shared" si="0"/>
        <v>0.46291004988627571</v>
      </c>
      <c r="E26" s="4">
        <f>COUNTA(Data!X4:X1004)</f>
        <v>8</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2.75</v>
      </c>
      <c r="C27" s="3">
        <f>VAR(DT!Y4:Y1004)</f>
        <v>0.21428571428571427</v>
      </c>
      <c r="D27" s="3">
        <f t="shared" si="0"/>
        <v>0.46291004988627571</v>
      </c>
      <c r="E27" s="4">
        <f>COUNTA(Data!Y4:Y1004)</f>
        <v>8</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2.875</v>
      </c>
      <c r="C28" s="3">
        <f>VAR(DT!Z4:Z1004)</f>
        <v>0.125</v>
      </c>
      <c r="D28" s="3">
        <f t="shared" si="0"/>
        <v>0.35355339059327379</v>
      </c>
      <c r="E28" s="4">
        <f>COUNTA(Data!Z4:Z1004)</f>
        <v>8</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2.6250000000000004</v>
      </c>
    </row>
    <row r="41" spans="11:15">
      <c r="K41" s="1" t="str">
        <f>VLOOKUP(Read_First!B5,Items!A1:BI50,60,FALSE)</f>
        <v>Pragmatic Quality</v>
      </c>
      <c r="L41" s="36">
        <f>(L4+L5+L6)/3</f>
        <v>2.4270833333333335</v>
      </c>
    </row>
    <row r="42" spans="11:15">
      <c r="K42" s="1" t="str">
        <f>VLOOKUP(Read_First!B5,Items!A1:BI50,61,FALSE)</f>
        <v>Hedonic Quality</v>
      </c>
      <c r="L42" s="36">
        <f>(L7+L8)/2</f>
        <v>2.5</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2.75</v>
      </c>
      <c r="C5" s="70">
        <f>Results!D3</f>
        <v>0.70710678118654757</v>
      </c>
      <c r="D5" s="59">
        <f>Results!E3</f>
        <v>8</v>
      </c>
      <c r="E5" s="70">
        <f t="shared" ref="E5:E24" si="0">CONFIDENCE(0.05, C5, D5)</f>
        <v>0.4899909961350134</v>
      </c>
      <c r="F5" s="70">
        <f t="shared" ref="F5:F24" si="1">B5-E5</f>
        <v>2.2600090038649867</v>
      </c>
      <c r="G5" s="70">
        <f t="shared" ref="G5:G24" si="2">B5+E5</f>
        <v>3.2399909961350133</v>
      </c>
      <c r="I5" s="72" t="str">
        <f>VLOOKUP(Read_First!B5,Items!A1:BI50,54,FALSE)</f>
        <v>Attractiveness</v>
      </c>
      <c r="J5" s="70">
        <f>AVERAGE(DT!AC4:AC1004)</f>
        <v>2.6250000000000004</v>
      </c>
      <c r="K5" s="70">
        <f>STDEV(DT!AC4:AC1004)</f>
        <v>0.21362331482055191</v>
      </c>
      <c r="L5" s="59">
        <f>MAX(D5:D24)</f>
        <v>8</v>
      </c>
      <c r="M5" s="70">
        <f>CONFIDENCE(0.05, K5, L5)</f>
        <v>0.14803068449002901</v>
      </c>
      <c r="N5" s="70">
        <f t="shared" ref="N5:N10" si="3">J5-M5</f>
        <v>2.4769693155099715</v>
      </c>
      <c r="O5" s="70">
        <f t="shared" ref="O5:O10" si="4">J5+M5</f>
        <v>2.7730306844900294</v>
      </c>
    </row>
    <row r="6" spans="1:15">
      <c r="A6" s="12">
        <v>2</v>
      </c>
      <c r="B6" s="10">
        <f>Results!B4</f>
        <v>2.75</v>
      </c>
      <c r="C6" s="10">
        <f>Results!D4</f>
        <v>0.46291004988627571</v>
      </c>
      <c r="D6" s="4">
        <f>Results!E4</f>
        <v>8</v>
      </c>
      <c r="E6" s="10">
        <f t="shared" si="0"/>
        <v>0.32077440423364473</v>
      </c>
      <c r="F6" s="10">
        <f t="shared" si="1"/>
        <v>2.4292255957663551</v>
      </c>
      <c r="G6" s="10">
        <f t="shared" si="2"/>
        <v>3.0707744042336449</v>
      </c>
      <c r="I6" s="9" t="str">
        <f>VLOOKUP(Read_First!B5,Items!A1:BI50,55,FALSE)</f>
        <v>Perspicuity</v>
      </c>
      <c r="J6" s="10">
        <f>AVERAGE(DT!AD4:AD1004)</f>
        <v>2.5625</v>
      </c>
      <c r="K6" s="10">
        <f>STDEV(DT!AD4:AD1004)</f>
        <v>0.29124118625535877</v>
      </c>
      <c r="L6" s="4">
        <f>L5</f>
        <v>8</v>
      </c>
      <c r="M6" s="10">
        <f t="shared" ref="M6:M10" si="5">CONFIDENCE(0.05, K6, L6)</f>
        <v>0.20181613691971922</v>
      </c>
      <c r="N6" s="10">
        <f t="shared" si="3"/>
        <v>2.3606838630802809</v>
      </c>
      <c r="O6" s="10">
        <f t="shared" si="4"/>
        <v>2.7643161369197191</v>
      </c>
    </row>
    <row r="7" spans="1:15">
      <c r="A7" s="12">
        <v>3</v>
      </c>
      <c r="B7" s="10">
        <f>Results!B5</f>
        <v>2.375</v>
      </c>
      <c r="C7" s="10">
        <f>Results!D5</f>
        <v>0.74402380914284494</v>
      </c>
      <c r="D7" s="4">
        <f>Results!E5</f>
        <v>8</v>
      </c>
      <c r="E7" s="10">
        <f t="shared" si="0"/>
        <v>0.51557272124914155</v>
      </c>
      <c r="F7" s="10">
        <f t="shared" si="1"/>
        <v>1.8594272787508586</v>
      </c>
      <c r="G7" s="10">
        <f t="shared" si="2"/>
        <v>2.8905727212491414</v>
      </c>
      <c r="I7" s="9" t="str">
        <f>VLOOKUP(Read_First!B5,Items!A1:BI50,56,FALSE)</f>
        <v>Efficiency</v>
      </c>
      <c r="J7" s="10">
        <f>AVERAGE(DT!AE4:AE1004)</f>
        <v>2.25</v>
      </c>
      <c r="K7" s="10">
        <f>STDEV(DT!AE4:AE1004)</f>
        <v>0.56694670951384085</v>
      </c>
      <c r="L7" s="4">
        <f>L6</f>
        <v>8</v>
      </c>
      <c r="M7" s="10">
        <f t="shared" si="5"/>
        <v>0.39286680645884881</v>
      </c>
      <c r="N7" s="10">
        <f t="shared" si="3"/>
        <v>1.8571331935411513</v>
      </c>
      <c r="O7" s="10">
        <f t="shared" si="4"/>
        <v>2.6428668064588487</v>
      </c>
    </row>
    <row r="8" spans="1:15">
      <c r="A8" s="12">
        <v>4</v>
      </c>
      <c r="B8" s="10">
        <f>Results!B6</f>
        <v>2.375</v>
      </c>
      <c r="C8" s="10">
        <f>Results!D6</f>
        <v>0.51754916950676566</v>
      </c>
      <c r="D8" s="4">
        <f>Results!E6</f>
        <v>8</v>
      </c>
      <c r="E8" s="10">
        <f t="shared" si="0"/>
        <v>0.35863668665421294</v>
      </c>
      <c r="F8" s="10">
        <f t="shared" si="1"/>
        <v>2.0163633133457872</v>
      </c>
      <c r="G8" s="10">
        <f t="shared" si="2"/>
        <v>2.7336366866542128</v>
      </c>
      <c r="I8" s="11" t="str">
        <f>VLOOKUP(Read_First!B5,Items!A1:BI50,57,FALSE)</f>
        <v>Dependability</v>
      </c>
      <c r="J8" s="10">
        <f>AVERAGE(DT!AF4:AF1004)</f>
        <v>2.46875</v>
      </c>
      <c r="K8" s="10">
        <f>STDEV(DT!AF4:AF1004)</f>
        <v>0.28149790661490082</v>
      </c>
      <c r="L8" s="4">
        <f>L7</f>
        <v>8</v>
      </c>
      <c r="M8" s="10">
        <f t="shared" si="5"/>
        <v>0.19506451266200972</v>
      </c>
      <c r="N8" s="10">
        <f t="shared" si="3"/>
        <v>2.2736854873379904</v>
      </c>
      <c r="O8" s="10">
        <f t="shared" si="4"/>
        <v>2.6638145126620096</v>
      </c>
    </row>
    <row r="9" spans="1:15">
      <c r="A9" s="12">
        <v>5</v>
      </c>
      <c r="B9" s="10">
        <f>Results!B7</f>
        <v>2.375</v>
      </c>
      <c r="C9" s="10">
        <f>Results!D7</f>
        <v>0.74402380914284494</v>
      </c>
      <c r="D9" s="4">
        <f>Results!E7</f>
        <v>8</v>
      </c>
      <c r="E9" s="10">
        <f t="shared" si="0"/>
        <v>0.51557272124914155</v>
      </c>
      <c r="F9" s="10">
        <f t="shared" si="1"/>
        <v>1.8594272787508586</v>
      </c>
      <c r="G9" s="10">
        <f t="shared" si="2"/>
        <v>2.8905727212491414</v>
      </c>
      <c r="I9" s="11" t="str">
        <f>VLOOKUP(Read_First!B5,Items!A1:BI50,58,FALSE)</f>
        <v>Stimulation</v>
      </c>
      <c r="J9" s="10">
        <f>AVERAGE(DT!AG4:AG1004)</f>
        <v>2.46875</v>
      </c>
      <c r="K9" s="10">
        <f>STDEV(DT!AG4:AG1004)</f>
        <v>0.31160586368955623</v>
      </c>
      <c r="L9" s="4">
        <f>L8</f>
        <v>8</v>
      </c>
      <c r="M9" s="10">
        <f t="shared" si="5"/>
        <v>0.21592787908857011</v>
      </c>
      <c r="N9" s="10">
        <f t="shared" si="3"/>
        <v>2.2528221209114299</v>
      </c>
      <c r="O9" s="10">
        <f t="shared" si="4"/>
        <v>2.6846778790885701</v>
      </c>
    </row>
    <row r="10" spans="1:15">
      <c r="A10" s="12">
        <v>6</v>
      </c>
      <c r="B10" s="10">
        <f>Results!B8</f>
        <v>2.25</v>
      </c>
      <c r="C10" s="10">
        <f>Results!D8</f>
        <v>0.70710678118654757</v>
      </c>
      <c r="D10" s="4">
        <f>Results!E8</f>
        <v>8</v>
      </c>
      <c r="E10" s="10">
        <f t="shared" si="0"/>
        <v>0.4899909961350134</v>
      </c>
      <c r="F10" s="10">
        <f t="shared" si="1"/>
        <v>1.7600090038649867</v>
      </c>
      <c r="G10" s="10">
        <f t="shared" si="2"/>
        <v>2.7399909961350133</v>
      </c>
      <c r="I10" s="9" t="str">
        <f>VLOOKUP(Read_First!B5,Items!A1:BI50,59,FALSE)</f>
        <v>Novelty</v>
      </c>
      <c r="J10" s="10">
        <f>AVERAGE(DT!AH4:AH1004)</f>
        <v>2.53125</v>
      </c>
      <c r="K10" s="10">
        <f>STDEV(DT!AH4:AH1004)</f>
        <v>0.47127297215702313</v>
      </c>
      <c r="L10" s="4">
        <f>L9</f>
        <v>8</v>
      </c>
      <c r="M10" s="10">
        <f t="shared" si="5"/>
        <v>0.3265695072125287</v>
      </c>
      <c r="N10" s="10">
        <f t="shared" si="3"/>
        <v>2.2046804927874715</v>
      </c>
      <c r="O10" s="10">
        <f t="shared" si="4"/>
        <v>2.8578195072125285</v>
      </c>
    </row>
    <row r="11" spans="1:15">
      <c r="A11" s="12">
        <v>7</v>
      </c>
      <c r="B11" s="10">
        <f>Results!B9</f>
        <v>2.5</v>
      </c>
      <c r="C11" s="10">
        <f>Results!D9</f>
        <v>0.7559289460184544</v>
      </c>
      <c r="D11" s="4">
        <f>Results!E9</f>
        <v>8</v>
      </c>
      <c r="E11" s="10">
        <f t="shared" si="0"/>
        <v>0.52382240861179841</v>
      </c>
      <c r="F11" s="10">
        <f t="shared" si="1"/>
        <v>1.9761775913882016</v>
      </c>
      <c r="G11" s="10">
        <f t="shared" si="2"/>
        <v>3.0238224086117986</v>
      </c>
    </row>
    <row r="12" spans="1:15">
      <c r="A12" s="12">
        <v>8</v>
      </c>
      <c r="B12" s="10">
        <f>Results!B10</f>
        <v>1.5</v>
      </c>
      <c r="C12" s="10">
        <f>Results!D10</f>
        <v>0.92582009977255142</v>
      </c>
      <c r="D12" s="4">
        <f>Results!E10</f>
        <v>8</v>
      </c>
      <c r="E12" s="10">
        <f t="shared" si="0"/>
        <v>0.64154880846728946</v>
      </c>
      <c r="F12" s="10">
        <f t="shared" si="1"/>
        <v>0.85845119153271054</v>
      </c>
      <c r="G12" s="10">
        <f t="shared" si="2"/>
        <v>2.1415488084672893</v>
      </c>
    </row>
    <row r="13" spans="1:15">
      <c r="A13" s="12">
        <v>9</v>
      </c>
      <c r="B13" s="10">
        <f>Results!B11</f>
        <v>1.5</v>
      </c>
      <c r="C13" s="10">
        <f>Results!D11</f>
        <v>1.5118578920369088</v>
      </c>
      <c r="D13" s="4">
        <f>Results!E11</f>
        <v>8</v>
      </c>
      <c r="E13" s="10">
        <f t="shared" si="0"/>
        <v>1.0476448172235968</v>
      </c>
      <c r="F13" s="10">
        <f t="shared" si="1"/>
        <v>0.45235518277640319</v>
      </c>
      <c r="G13" s="10">
        <f t="shared" si="2"/>
        <v>2.5476448172235968</v>
      </c>
    </row>
    <row r="14" spans="1:15">
      <c r="A14" s="12">
        <v>10</v>
      </c>
      <c r="B14" s="10">
        <f>Results!B12</f>
        <v>2.5</v>
      </c>
      <c r="C14" s="10">
        <f>Results!D12</f>
        <v>1.0690449676496976</v>
      </c>
      <c r="D14" s="4">
        <f>Results!E12</f>
        <v>8</v>
      </c>
      <c r="E14" s="10">
        <f t="shared" si="0"/>
        <v>0.74079675453374649</v>
      </c>
      <c r="F14" s="10">
        <f t="shared" si="1"/>
        <v>1.7592032454662534</v>
      </c>
      <c r="G14" s="10">
        <f t="shared" si="2"/>
        <v>3.2407967545337466</v>
      </c>
    </row>
    <row r="15" spans="1:15">
      <c r="A15" s="12">
        <v>11</v>
      </c>
      <c r="B15" s="10">
        <f>Results!B13</f>
        <v>2.625</v>
      </c>
      <c r="C15" s="10">
        <f>Results!D13</f>
        <v>0.51754916950676566</v>
      </c>
      <c r="D15" s="4">
        <f>Results!E13</f>
        <v>8</v>
      </c>
      <c r="E15" s="10">
        <f t="shared" si="0"/>
        <v>0.35863668665421294</v>
      </c>
      <c r="F15" s="10">
        <f t="shared" si="1"/>
        <v>2.2663633133457872</v>
      </c>
      <c r="G15" s="10">
        <f t="shared" si="2"/>
        <v>2.9836366866542128</v>
      </c>
      <c r="J15" s="69"/>
    </row>
    <row r="16" spans="1:15">
      <c r="A16" s="12">
        <v>12</v>
      </c>
      <c r="B16" s="10">
        <f>Results!B14</f>
        <v>2.625</v>
      </c>
      <c r="C16" s="10">
        <f>Results!D14</f>
        <v>0.51754916950676566</v>
      </c>
      <c r="D16" s="4">
        <f>Results!E14</f>
        <v>8</v>
      </c>
      <c r="E16" s="10">
        <f t="shared" si="0"/>
        <v>0.35863668665421294</v>
      </c>
      <c r="F16" s="10">
        <f t="shared" si="1"/>
        <v>2.2663633133457872</v>
      </c>
      <c r="G16" s="10">
        <f t="shared" si="2"/>
        <v>2.9836366866542128</v>
      </c>
    </row>
    <row r="17" spans="1:7">
      <c r="A17" s="12">
        <v>13</v>
      </c>
      <c r="B17" s="10">
        <f>Results!B15</f>
        <v>2.5</v>
      </c>
      <c r="C17" s="10">
        <f>Results!D15</f>
        <v>0.53452248382484879</v>
      </c>
      <c r="D17" s="4">
        <f>Results!E15</f>
        <v>8</v>
      </c>
      <c r="E17" s="10">
        <f t="shared" si="0"/>
        <v>0.37039837726687325</v>
      </c>
      <c r="F17" s="10">
        <f t="shared" si="1"/>
        <v>2.1296016227331269</v>
      </c>
      <c r="G17" s="10">
        <f t="shared" si="2"/>
        <v>2.8703983772668731</v>
      </c>
    </row>
    <row r="18" spans="1:7">
      <c r="A18" s="12">
        <v>14</v>
      </c>
      <c r="B18" s="10">
        <f>Results!B16</f>
        <v>2.5</v>
      </c>
      <c r="C18" s="10">
        <f>Results!D16</f>
        <v>0.53452248382484879</v>
      </c>
      <c r="D18" s="4">
        <f>Results!E16</f>
        <v>8</v>
      </c>
      <c r="E18" s="10">
        <f t="shared" si="0"/>
        <v>0.37039837726687325</v>
      </c>
      <c r="F18" s="10">
        <f t="shared" si="1"/>
        <v>2.1296016227331269</v>
      </c>
      <c r="G18" s="10">
        <f t="shared" si="2"/>
        <v>2.8703983772668731</v>
      </c>
    </row>
    <row r="19" spans="1:7">
      <c r="A19" s="12">
        <v>15</v>
      </c>
      <c r="B19" s="10">
        <f>Results!B17</f>
        <v>2.375</v>
      </c>
      <c r="C19" s="10">
        <f>Results!D17</f>
        <v>1.0606601717798212</v>
      </c>
      <c r="D19" s="4">
        <f>Results!E17</f>
        <v>8</v>
      </c>
      <c r="E19" s="10">
        <f t="shared" si="0"/>
        <v>0.73498649420252005</v>
      </c>
      <c r="F19" s="10">
        <f t="shared" si="1"/>
        <v>1.6400135057974801</v>
      </c>
      <c r="G19" s="10">
        <f t="shared" si="2"/>
        <v>3.1099864942025199</v>
      </c>
    </row>
    <row r="20" spans="1:7">
      <c r="A20" s="12">
        <v>16</v>
      </c>
      <c r="B20" s="10">
        <f>Results!B18</f>
        <v>2.375</v>
      </c>
      <c r="C20" s="10">
        <f>Results!D18</f>
        <v>0.51754916950676566</v>
      </c>
      <c r="D20" s="4">
        <f>Results!E18</f>
        <v>8</v>
      </c>
      <c r="E20" s="10">
        <f t="shared" si="0"/>
        <v>0.35863668665421294</v>
      </c>
      <c r="F20" s="10">
        <f t="shared" si="1"/>
        <v>2.0163633133457872</v>
      </c>
      <c r="G20" s="10">
        <f t="shared" si="2"/>
        <v>2.7336366866542128</v>
      </c>
    </row>
    <row r="21" spans="1:7">
      <c r="A21" s="12">
        <v>17</v>
      </c>
      <c r="B21" s="10">
        <f>Results!B19</f>
        <v>2.875</v>
      </c>
      <c r="C21" s="10">
        <f>Results!D19</f>
        <v>0.35355339059327379</v>
      </c>
      <c r="D21" s="4">
        <f>Results!E19</f>
        <v>8</v>
      </c>
      <c r="E21" s="10">
        <f t="shared" si="0"/>
        <v>0.2449954980675067</v>
      </c>
      <c r="F21" s="10">
        <f t="shared" si="1"/>
        <v>2.6300045019324934</v>
      </c>
      <c r="G21" s="10">
        <f t="shared" si="2"/>
        <v>3.1199954980675066</v>
      </c>
    </row>
    <row r="22" spans="1:7">
      <c r="A22" s="12">
        <v>18</v>
      </c>
      <c r="B22" s="10">
        <f>Results!B20</f>
        <v>2.75</v>
      </c>
      <c r="C22" s="10">
        <f>Results!D20</f>
        <v>0.46291004988627571</v>
      </c>
      <c r="D22" s="4">
        <f>Results!E20</f>
        <v>8</v>
      </c>
      <c r="E22" s="10">
        <f t="shared" si="0"/>
        <v>0.32077440423364473</v>
      </c>
      <c r="F22" s="10">
        <f t="shared" si="1"/>
        <v>2.4292255957663551</v>
      </c>
      <c r="G22" s="10">
        <f t="shared" si="2"/>
        <v>3.0707744042336449</v>
      </c>
    </row>
    <row r="23" spans="1:7">
      <c r="A23" s="12">
        <v>19</v>
      </c>
      <c r="B23" s="10">
        <f>Results!B21</f>
        <v>2.875</v>
      </c>
      <c r="C23" s="10">
        <f>Results!D21</f>
        <v>0.35355339059327379</v>
      </c>
      <c r="D23" s="4">
        <f>Results!E21</f>
        <v>8</v>
      </c>
      <c r="E23" s="10">
        <f t="shared" si="0"/>
        <v>0.2449954980675067</v>
      </c>
      <c r="F23" s="10">
        <f t="shared" si="1"/>
        <v>2.6300045019324934</v>
      </c>
      <c r="G23" s="10">
        <f t="shared" si="2"/>
        <v>3.1199954980675066</v>
      </c>
    </row>
    <row r="24" spans="1:7">
      <c r="A24" s="12">
        <v>20</v>
      </c>
      <c r="B24" s="10">
        <f>Results!B22</f>
        <v>2.375</v>
      </c>
      <c r="C24" s="10">
        <f>Results!D22</f>
        <v>0.74402380914284494</v>
      </c>
      <c r="D24" s="4">
        <f>Results!E22</f>
        <v>8</v>
      </c>
      <c r="E24" s="10">
        <f t="shared" si="0"/>
        <v>0.51557272124914155</v>
      </c>
      <c r="F24" s="10">
        <f t="shared" si="1"/>
        <v>1.8594272787508586</v>
      </c>
      <c r="G24" s="10">
        <f t="shared" si="2"/>
        <v>2.8905727212491414</v>
      </c>
    </row>
    <row r="25" spans="1:7">
      <c r="A25" s="12">
        <v>21</v>
      </c>
      <c r="B25" s="10">
        <f>Results!B23</f>
        <v>2.625</v>
      </c>
      <c r="C25" s="10">
        <f>Results!D23</f>
        <v>0.51754916950676566</v>
      </c>
      <c r="D25" s="4">
        <f>Results!E23</f>
        <v>8</v>
      </c>
      <c r="E25" s="10">
        <f t="shared" ref="E25:E30" si="6">CONFIDENCE(0.05, C25, D25)</f>
        <v>0.35863668665421294</v>
      </c>
      <c r="F25" s="10">
        <f t="shared" ref="F25:F30" si="7">B25-E25</f>
        <v>2.2663633133457872</v>
      </c>
      <c r="G25" s="10">
        <f t="shared" ref="G25:G30" si="8">B25+E25</f>
        <v>2.9836366866542128</v>
      </c>
    </row>
    <row r="26" spans="1:7">
      <c r="A26" s="12">
        <v>22</v>
      </c>
      <c r="B26" s="10">
        <f>Results!B24</f>
        <v>2.625</v>
      </c>
      <c r="C26" s="10">
        <f>Results!D24</f>
        <v>0.51754916950676566</v>
      </c>
      <c r="D26" s="4">
        <f>Results!E24</f>
        <v>8</v>
      </c>
      <c r="E26" s="10">
        <f t="shared" si="6"/>
        <v>0.35863668665421294</v>
      </c>
      <c r="F26" s="10">
        <f t="shared" si="7"/>
        <v>2.2663633133457872</v>
      </c>
      <c r="G26" s="10">
        <f t="shared" si="8"/>
        <v>2.9836366866542128</v>
      </c>
    </row>
    <row r="27" spans="1:7">
      <c r="A27" s="12">
        <v>23</v>
      </c>
      <c r="B27" s="10">
        <f>Results!B25</f>
        <v>2.5</v>
      </c>
      <c r="C27" s="10">
        <f>Results!D25</f>
        <v>0.53452248382484879</v>
      </c>
      <c r="D27" s="4">
        <f>Results!E25</f>
        <v>8</v>
      </c>
      <c r="E27" s="10">
        <f t="shared" si="6"/>
        <v>0.37039837726687325</v>
      </c>
      <c r="F27" s="10">
        <f t="shared" si="7"/>
        <v>2.1296016227331269</v>
      </c>
      <c r="G27" s="10">
        <f t="shared" si="8"/>
        <v>2.8703983772668731</v>
      </c>
    </row>
    <row r="28" spans="1:7">
      <c r="A28" s="12">
        <v>24</v>
      </c>
      <c r="B28" s="10">
        <f>Results!B26</f>
        <v>2.75</v>
      </c>
      <c r="C28" s="10">
        <f>Results!D26</f>
        <v>0.46291004988627571</v>
      </c>
      <c r="D28" s="4">
        <f>Results!E26</f>
        <v>8</v>
      </c>
      <c r="E28" s="10">
        <f t="shared" si="6"/>
        <v>0.32077440423364473</v>
      </c>
      <c r="F28" s="10">
        <f t="shared" si="7"/>
        <v>2.4292255957663551</v>
      </c>
      <c r="G28" s="10">
        <f t="shared" si="8"/>
        <v>3.0707744042336449</v>
      </c>
    </row>
    <row r="29" spans="1:7">
      <c r="A29" s="12">
        <v>25</v>
      </c>
      <c r="B29" s="10">
        <f>Results!B27</f>
        <v>2.75</v>
      </c>
      <c r="C29" s="10">
        <f>Results!D27</f>
        <v>0.46291004988627571</v>
      </c>
      <c r="D29" s="4">
        <f>Results!E27</f>
        <v>8</v>
      </c>
      <c r="E29" s="10">
        <f t="shared" si="6"/>
        <v>0.32077440423364473</v>
      </c>
      <c r="F29" s="10">
        <f t="shared" si="7"/>
        <v>2.4292255957663551</v>
      </c>
      <c r="G29" s="10">
        <f t="shared" si="8"/>
        <v>3.0707744042336449</v>
      </c>
    </row>
    <row r="30" spans="1:7">
      <c r="A30" s="12">
        <v>26</v>
      </c>
      <c r="B30" s="10">
        <f>Results!B28</f>
        <v>2.875</v>
      </c>
      <c r="C30" s="10">
        <f>Results!D28</f>
        <v>0.35355339059327379</v>
      </c>
      <c r="D30" s="4">
        <f>Results!E28</f>
        <v>8</v>
      </c>
      <c r="E30" s="10">
        <f t="shared" si="6"/>
        <v>0.2449954980675067</v>
      </c>
      <c r="F30" s="10">
        <f t="shared" si="7"/>
        <v>2.6300045019324934</v>
      </c>
      <c r="G30" s="10">
        <f t="shared" si="8"/>
        <v>3.1199954980675066</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14"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0</v>
      </c>
      <c r="I3" s="1">
        <f>COUNTIF(DT!A4:A1004,"3")</f>
        <v>7</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2</v>
      </c>
      <c r="I4" s="1">
        <f>COUNTIF(DT!B4:B1004,"3")</f>
        <v>6</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3</v>
      </c>
      <c r="I5" s="1">
        <f>COUNTIF(DT!C4:C1004,"3")</f>
        <v>4</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5</v>
      </c>
      <c r="I6" s="1">
        <f>COUNTIF(DT!D4:D1004,"3")</f>
        <v>3</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3</v>
      </c>
      <c r="I7" s="1">
        <f>COUNTIF(DT!E4:E1004,"3")</f>
        <v>4</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1</v>
      </c>
      <c r="H8" s="1">
        <f>COUNTIF(DT!F4:F1004,"2")</f>
        <v>4</v>
      </c>
      <c r="I8" s="1">
        <f>COUNTIF(DT!F4:F1004,"3")</f>
        <v>3</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2</v>
      </c>
      <c r="I9" s="1">
        <f>COUNTIF(DT!G4:G1004,"3")</f>
        <v>5</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1</v>
      </c>
      <c r="G10" s="1">
        <f>COUNTIF(DT!H4:H1004,"1")</f>
        <v>3</v>
      </c>
      <c r="H10" s="1">
        <f>COUNTIF(DT!H4:H1004,"2")</f>
        <v>3</v>
      </c>
      <c r="I10" s="1">
        <f>COUNTIF(DT!H4:H1004,"3")</f>
        <v>1</v>
      </c>
      <c r="J10" s="23" t="str">
        <f>Results!H10</f>
        <v>Dependability</v>
      </c>
    </row>
    <row r="11" spans="1:11">
      <c r="A11" s="2">
        <v>9</v>
      </c>
      <c r="B11" s="1" t="str">
        <f>_xlfn.CONCAT(Results!G11,"/",Results!F11)</f>
        <v>slow/fast</v>
      </c>
      <c r="C11" s="1">
        <f>COUNTIF(DT!I4:I1004,"-3")</f>
        <v>0</v>
      </c>
      <c r="D11" s="1">
        <f>COUNTIF(DT!I4:I1004,"-2")</f>
        <v>1</v>
      </c>
      <c r="E11" s="1">
        <f>COUNTIF(DT!I4:I1004,"-1")</f>
        <v>0</v>
      </c>
      <c r="F11" s="1">
        <f>COUNTIF(DT!I4:I1004,"0")</f>
        <v>0</v>
      </c>
      <c r="G11" s="1">
        <f>COUNTIF(DT!I4:I1004,"1")</f>
        <v>1</v>
      </c>
      <c r="H11" s="1">
        <f>COUNTIF(DT!I4:I1004,"2")</f>
        <v>5</v>
      </c>
      <c r="I11" s="1">
        <f>COUNTIF(DT!I4:I1004,"3")</f>
        <v>1</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1</v>
      </c>
      <c r="G12" s="1">
        <f>COUNTIF(DT!J4:J1004,"1")</f>
        <v>0</v>
      </c>
      <c r="H12" s="1">
        <f>COUNTIF(DT!J4:J1004,"2")</f>
        <v>1</v>
      </c>
      <c r="I12" s="1">
        <f>COUNTIF(DT!J4:J1004,"3")</f>
        <v>6</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3</v>
      </c>
      <c r="I13" s="1">
        <f>COUNTIF(DT!K4:K1004,"3")</f>
        <v>5</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3</v>
      </c>
      <c r="I14" s="1">
        <f>COUNTIF(DT!L4:L1004,"3")</f>
        <v>5</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4</v>
      </c>
      <c r="I15" s="1">
        <f>COUNTIF(DT!M4:M1004,"3")</f>
        <v>4</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4</v>
      </c>
      <c r="I16" s="1">
        <f>COUNTIF(DT!N4:N1004,"3")</f>
        <v>4</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0</v>
      </c>
      <c r="H17" s="1">
        <f>COUNTIF(DT!O4:O1004,"2")</f>
        <v>2</v>
      </c>
      <c r="I17" s="1">
        <f>COUNTIF(DT!O4:O1004,"3")</f>
        <v>5</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5</v>
      </c>
      <c r="I18" s="1">
        <f>COUNTIF(DT!P4:P1004,"3")</f>
        <v>3</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1</v>
      </c>
      <c r="I19" s="1">
        <f>COUNTIF(DT!Q4:Q1004,"3")</f>
        <v>7</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2</v>
      </c>
      <c r="I20" s="1">
        <f>COUNTIF(DT!R4:R1004,"3")</f>
        <v>6</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1</v>
      </c>
      <c r="I21" s="1">
        <f>COUNTIF(DT!S4:S1004,"3")</f>
        <v>7</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1</v>
      </c>
      <c r="H22" s="1">
        <f>COUNTIF(DT!T4:T1004,"2")</f>
        <v>3</v>
      </c>
      <c r="I22" s="1">
        <f>COUNTIF(DT!T4:T1004,"3")</f>
        <v>4</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3</v>
      </c>
      <c r="I23" s="1">
        <f>COUNTIF(DT!U4:U1004,"3")</f>
        <v>5</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3</v>
      </c>
      <c r="I24" s="1">
        <f>COUNTIF(DT!V4:V1004,"3")</f>
        <v>5</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4</v>
      </c>
      <c r="I25" s="1">
        <f>COUNTIF(DT!W4:W1004,"3")</f>
        <v>4</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2</v>
      </c>
      <c r="I26" s="1">
        <f>COUNTIF(DT!X4:X1004,"3")</f>
        <v>6</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6</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1</v>
      </c>
      <c r="I28" s="1">
        <f>COUNTIF(DT!Z4:Z1004,"3")</f>
        <v>7</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1"/>
      <c r="C1" s="161"/>
      <c r="D1" s="161"/>
      <c r="E1" s="161"/>
      <c r="F1" s="161"/>
      <c r="G1" s="161"/>
      <c r="H1" s="161"/>
      <c r="I1" s="161"/>
      <c r="J1" s="161"/>
      <c r="K1" s="161"/>
      <c r="L1" s="161"/>
      <c r="M1" s="161"/>
      <c r="N1" s="161"/>
      <c r="O1" s="161"/>
      <c r="P1" s="161"/>
      <c r="Q1" s="161"/>
      <c r="R1" s="161"/>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2"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-0.29277002188455992</v>
      </c>
      <c r="D7" s="79" t="s">
        <v>5</v>
      </c>
      <c r="E7" s="80">
        <f>CORREL(DT!B4:B1004,DT!D4:D1004)</f>
        <v>-0.14907119849998599</v>
      </c>
      <c r="G7" s="79" t="s">
        <v>11</v>
      </c>
      <c r="H7" s="80">
        <f>CORREL(DT!I4:I1004,DT!T4:T1004)</f>
        <v>0.82550082550123827</v>
      </c>
      <c r="J7" s="79" t="s">
        <v>17</v>
      </c>
      <c r="K7" s="80">
        <f>CORREL(DT!H4:H1004,DT!K4:K1004)</f>
        <v>-0.14907119849998599</v>
      </c>
      <c r="M7" s="79" t="s">
        <v>24</v>
      </c>
      <c r="N7" s="80">
        <f>CORREL(DT!E4:E1004,DT!F4:F1004)</f>
        <v>-0.47519096331149147</v>
      </c>
      <c r="P7" s="79" t="s">
        <v>34</v>
      </c>
      <c r="Q7" s="80">
        <f>CORREL(DT!C4:C1004,DT!J4:J1004)</f>
        <v>0.80822385912048711</v>
      </c>
    </row>
    <row r="8" spans="1:18">
      <c r="A8" s="31" t="s">
        <v>37</v>
      </c>
      <c r="B8" s="32">
        <f>CORREL(DT!A4:A1004,DT!N4:N1004)</f>
        <v>0.3779644730092272</v>
      </c>
      <c r="D8" s="31" t="s">
        <v>6</v>
      </c>
      <c r="E8" s="32">
        <f>CORREL(DT!B4:B1004,DT!M4:M1004)</f>
        <v>0.57735026918962584</v>
      </c>
      <c r="G8" s="31" t="s">
        <v>12</v>
      </c>
      <c r="H8" s="32">
        <f>CORREL(DT!I4:I1004,DT!V4:V1004)</f>
        <v>0.27386127875258304</v>
      </c>
      <c r="J8" s="31" t="s">
        <v>18</v>
      </c>
      <c r="K8" s="32">
        <f>CORREL(DT!H4:H1004,DT!Q4:Q1004)</f>
        <v>-0.21821789023599239</v>
      </c>
      <c r="M8" s="31" t="s">
        <v>25</v>
      </c>
      <c r="N8" s="32">
        <f>CORREL(DT!E4:E1004,DT!G4:G1004)</f>
        <v>0.1270001270001905</v>
      </c>
      <c r="P8" s="31" t="s">
        <v>33</v>
      </c>
      <c r="Q8" s="32">
        <f>CORREL(DT!C4:C1004,DT!O4:O1004)</f>
        <v>-0.38467839887120742</v>
      </c>
    </row>
    <row r="9" spans="1:18">
      <c r="A9" s="31" t="s">
        <v>38</v>
      </c>
      <c r="B9" s="32">
        <f>CORREL(DT!A4:A1004,DT!P4:P1004)</f>
        <v>0.29277002188455992</v>
      </c>
      <c r="D9" s="31" t="s">
        <v>7</v>
      </c>
      <c r="E9" s="32">
        <f>CORREL(DT!B4:B1004,DT!U4:U1004)</f>
        <v>-0.44721359549995798</v>
      </c>
      <c r="G9" s="31" t="s">
        <v>13</v>
      </c>
      <c r="H9" s="32">
        <f>CORREL(DT!I4:I1004,DT!W4:W1004)</f>
        <v>-0.17677669529663687</v>
      </c>
      <c r="J9" s="31" t="s">
        <v>19</v>
      </c>
      <c r="K9" s="32">
        <f>CORREL(DT!H4:H1004,DT!S4:S1004)</f>
        <v>0.21821789023599239</v>
      </c>
      <c r="M9" s="31" t="s">
        <v>26</v>
      </c>
      <c r="N9" s="32">
        <f>CORREL(DT!E4:E1004,DT!R4:R1004)</f>
        <v>-0.10369516947304255</v>
      </c>
      <c r="P9" s="31" t="s">
        <v>32</v>
      </c>
      <c r="Q9" s="32">
        <f>CORREL(DT!C4:C1004,DT!Z4:Z1004)</f>
        <v>-0.33942211665106536</v>
      </c>
    </row>
    <row r="10" spans="1:18">
      <c r="A10" s="31" t="s">
        <v>39</v>
      </c>
      <c r="B10" s="32">
        <f>CORREL(DT!A4:A1004,DT!X4:X1004)</f>
        <v>-0.21821789023599239</v>
      </c>
      <c r="D10" s="31" t="s">
        <v>8</v>
      </c>
      <c r="E10" s="32">
        <f>CORREL(DT!D4:D1004,DT!M4:M1004)</f>
        <v>0.2581988897471611</v>
      </c>
      <c r="G10" s="31" t="s">
        <v>14</v>
      </c>
      <c r="H10" s="32">
        <f>CORREL(DT!T4:T1004,DT!V4:V1004)</f>
        <v>4.6373889576016833E-2</v>
      </c>
      <c r="J10" s="31" t="s">
        <v>20</v>
      </c>
      <c r="K10" s="32">
        <f>CORREL(DT!K4:K1004,DT!Q4:Q1004)</f>
        <v>-0.29277002188455992</v>
      </c>
      <c r="M10" s="31" t="s">
        <v>27</v>
      </c>
      <c r="N10" s="32">
        <f>CORREL(DT!F4:F1004,DT!G4:G1004)</f>
        <v>0.26726124191242434</v>
      </c>
      <c r="P10" s="31" t="s">
        <v>31</v>
      </c>
      <c r="Q10" s="32">
        <f>CORREL(DT!J4:J1004,DT!O4:O1004)</f>
        <v>-0.1889822365046136</v>
      </c>
    </row>
    <row r="11" spans="1:18">
      <c r="A11" s="31" t="s">
        <v>40</v>
      </c>
      <c r="B11" s="32">
        <f>CORREL(DT!A4:A1004,DT!Y4:Y1004)</f>
        <v>-0.21821789023599239</v>
      </c>
      <c r="D11" s="31" t="s">
        <v>9</v>
      </c>
      <c r="E11" s="32">
        <f>CORREL(DT!D4:D1004,DT!U4:U1004)</f>
        <v>0.6</v>
      </c>
      <c r="G11" s="31" t="s">
        <v>15</v>
      </c>
      <c r="H11" s="32">
        <f>CORREL(DT!T4:T1004,DT!W4:W1004)</f>
        <v>0.17960530202677491</v>
      </c>
      <c r="J11" s="31" t="s">
        <v>21</v>
      </c>
      <c r="K11" s="32">
        <f>CORREL(DT!K4:K1004,DT!S4:S1004)</f>
        <v>0.48795003647426655</v>
      </c>
      <c r="M11" s="31" t="s">
        <v>28</v>
      </c>
      <c r="N11" s="32">
        <f>CORREL(DT!F4:F1004,DT!R4:R1004)</f>
        <v>-0.21821789023599239</v>
      </c>
      <c r="P11" s="31" t="s">
        <v>30</v>
      </c>
      <c r="Q11" s="32">
        <f>CORREL(DT!J4:J1004,DT!Z4:Z1004)</f>
        <v>-0.1889822365046136</v>
      </c>
    </row>
    <row r="12" spans="1:18">
      <c r="A12" s="31" t="s">
        <v>41</v>
      </c>
      <c r="B12" s="32">
        <f>CORREL(DT!L4:L1004,DT!N4:N1004)</f>
        <v>0.2581988897471611</v>
      </c>
      <c r="D12" s="31" t="s">
        <v>10</v>
      </c>
      <c r="E12" s="32">
        <f>CORREL(DT!M4:M1004,DT!U4:U1004)</f>
        <v>-0.2581988897471611</v>
      </c>
      <c r="G12" s="31" t="s">
        <v>16</v>
      </c>
      <c r="H12" s="32">
        <f>CORREL(DT!V4:V1004,DT!W4:W1004)</f>
        <v>-0.7745966692414834</v>
      </c>
      <c r="J12" s="31" t="s">
        <v>22</v>
      </c>
      <c r="K12" s="32">
        <f>CORREL(DT!Q4:Q1004,DT!S4:S1004)</f>
        <v>-0.14285714285714285</v>
      </c>
      <c r="M12" s="31" t="s">
        <v>23</v>
      </c>
      <c r="N12" s="32">
        <f>CORREL(DT!G4:G1004,DT!R4:R1004)</f>
        <v>0</v>
      </c>
      <c r="P12" s="31" t="s">
        <v>29</v>
      </c>
      <c r="Q12" s="32">
        <f>CORREL(DT!O4:O1004,DT!Z4:Z1004)</f>
        <v>0.90476190476190466</v>
      </c>
    </row>
    <row r="13" spans="1:18">
      <c r="A13" s="31" t="s">
        <v>42</v>
      </c>
      <c r="B13" s="32">
        <f>CORREL(DT!L4:L1004,DT!P4:P1004)</f>
        <v>6.6666666666666652E-2</v>
      </c>
      <c r="D13" s="33" t="s">
        <v>826</v>
      </c>
      <c r="E13" s="32">
        <f>AVERAGE(E7:E12)</f>
        <v>9.6844245864946985E-2</v>
      </c>
      <c r="G13" s="33" t="s">
        <v>826</v>
      </c>
      <c r="H13" s="32">
        <f>AVERAGE(H7:H12)</f>
        <v>6.2327988553082116E-2</v>
      </c>
      <c r="J13" s="33" t="s">
        <v>826</v>
      </c>
      <c r="K13" s="32">
        <f>AVERAGE(K7:K12)</f>
        <v>-1.6124721127903696E-2</v>
      </c>
      <c r="M13" s="33" t="s">
        <v>826</v>
      </c>
      <c r="N13" s="32">
        <f>AVERAGE(N7:N12)</f>
        <v>-6.7140442351318608E-2</v>
      </c>
      <c r="P13" s="33" t="s">
        <v>826</v>
      </c>
      <c r="Q13" s="32">
        <f>AVERAGE(Q7:Q12)</f>
        <v>0.10182012922514865</v>
      </c>
    </row>
    <row r="14" spans="1:18">
      <c r="A14" s="31" t="s">
        <v>43</v>
      </c>
      <c r="B14" s="32">
        <f>CORREL(DT!L4:L1004,DT!X4:X1004)</f>
        <v>0.14907119849998599</v>
      </c>
      <c r="C14" s="7"/>
      <c r="D14" s="44" t="s">
        <v>4</v>
      </c>
      <c r="E14" s="45">
        <f>(4*E13)/(1+(3*E13))</f>
        <v>0.30016827328359014</v>
      </c>
      <c r="F14" s="46"/>
      <c r="G14" s="44" t="s">
        <v>4</v>
      </c>
      <c r="H14" s="45">
        <f>(4*H13)/(1+(3*H13))</f>
        <v>0.21003818200177754</v>
      </c>
      <c r="I14" s="46"/>
      <c r="J14" s="44" t="s">
        <v>4</v>
      </c>
      <c r="K14" s="45">
        <f>(4*K13)/(1+(3*K13))</f>
        <v>-6.7777567642503797E-2</v>
      </c>
      <c r="L14" s="46"/>
      <c r="M14" s="44" t="s">
        <v>4</v>
      </c>
      <c r="N14" s="45">
        <f>(4*N13)/(1+(3*N13))</f>
        <v>-0.33629970158672112</v>
      </c>
      <c r="P14" s="44" t="s">
        <v>4</v>
      </c>
      <c r="Q14" s="45">
        <f>(4*Q13)/(1+(3*Q13))</f>
        <v>0.3119822866673222</v>
      </c>
    </row>
    <row r="15" spans="1:18">
      <c r="A15" s="31" t="s">
        <v>44</v>
      </c>
      <c r="B15" s="32">
        <f>CORREL(DT!L4:L1004,DT!Y4:Y1004)</f>
        <v>0.14907119849998599</v>
      </c>
      <c r="D15" s="166" t="s">
        <v>1462</v>
      </c>
      <c r="E15" s="36">
        <f>1-EXP(LN(1-E14)+1.96*SQRT(8/(3*(Results!E3-2))))</f>
        <v>-1.5850666821345056</v>
      </c>
      <c r="G15" s="166" t="s">
        <v>1462</v>
      </c>
      <c r="H15" s="36">
        <f>1-EXP(LN(1-H14)+1.96*SQRT(8/(3*(Results!E3-2))))</f>
        <v>-1.9179928515774782</v>
      </c>
      <c r="J15" s="166" t="s">
        <v>1462</v>
      </c>
      <c r="K15" s="36">
        <f>1-EXP(LN(1-K14)+1.96*SQRT(8/(3*(Results!E3-2))))</f>
        <v>-2.9441998821550945</v>
      </c>
      <c r="M15" s="166" t="s">
        <v>1462</v>
      </c>
      <c r="N15" s="36">
        <f>1-EXP(LN(1-N14)+1.96*SQRT(8/(3*(Results!E3-2))))</f>
        <v>-3.9360777799059958</v>
      </c>
      <c r="P15" s="166" t="s">
        <v>1462</v>
      </c>
      <c r="Q15" s="36">
        <f>1-EXP(LN(1-Q14)+1.96*SQRT(8/(3*(Results!E3-2))))</f>
        <v>-1.5414276026033882</v>
      </c>
    </row>
    <row r="16" spans="1:18">
      <c r="A16" s="31" t="s">
        <v>45</v>
      </c>
      <c r="B16" s="32">
        <f>CORREL(DT!N4:N1004,DT!P4:P1004)</f>
        <v>0.2581988897471611</v>
      </c>
      <c r="D16" s="167"/>
      <c r="E16" s="36">
        <f>1-EXP(LN(1-E14)-1.96*SQRT(8/(3*(Results!E3-2))))</f>
        <v>0.81054088503648569</v>
      </c>
      <c r="G16" s="167"/>
      <c r="H16" s="36">
        <f>1-EXP(LN(1-H14)-1.96*SQRT(8/(3*(Results!E3-2))))</f>
        <v>0.7861407804485544</v>
      </c>
      <c r="J16" s="167"/>
      <c r="K16" s="36">
        <f>1-EXP(LN(1-K14)-1.96*SQRT(8/(3*(Results!E3-2))))</f>
        <v>0.71093023476853578</v>
      </c>
      <c r="M16" s="167"/>
      <c r="N16" s="36">
        <f>1-EXP(LN(1-N14)-1.96*SQRT(8/(3*(Results!E3-2))))</f>
        <v>0.63823566562705825</v>
      </c>
      <c r="P16" s="167"/>
      <c r="Q16" s="36">
        <f>1-EXP(LN(1-Q14)-1.96*SQRT(8/(3*(Results!E3-2))))</f>
        <v>0.81373918604857454</v>
      </c>
    </row>
    <row r="17" spans="1:18">
      <c r="A17" s="31" t="s">
        <v>46</v>
      </c>
      <c r="B17" s="32">
        <f>CORREL(DT!N4:N1004,DT!X4:X1004)</f>
        <v>-0.57735026918962584</v>
      </c>
    </row>
    <row r="18" spans="1:18">
      <c r="A18" s="31" t="s">
        <v>47</v>
      </c>
      <c r="B18" s="32">
        <f>CORREL(DT!N4:N1004,DT!Y4:Y1004)</f>
        <v>-0.57735026918962584</v>
      </c>
    </row>
    <row r="19" spans="1:18">
      <c r="A19" s="31" t="s">
        <v>48</v>
      </c>
      <c r="B19" s="32">
        <f>CORREL(DT!P4:P1004,DT!X4:X1004)</f>
        <v>-0.14907119849998599</v>
      </c>
    </row>
    <row r="20" spans="1:18">
      <c r="A20" s="31" t="s">
        <v>116</v>
      </c>
      <c r="B20" s="32">
        <f>CORREL(DT!P4:P1004,DT!Y4:Y1004)</f>
        <v>-0.14907119849998599</v>
      </c>
    </row>
    <row r="21" spans="1:18">
      <c r="A21" s="31" t="s">
        <v>35</v>
      </c>
      <c r="B21" s="32">
        <f>CORREL(DT!X4:X1004,DT!Y4:Y1004)</f>
        <v>0.33333333333333337</v>
      </c>
    </row>
    <row r="22" spans="1:18">
      <c r="A22" s="33" t="s">
        <v>826</v>
      </c>
      <c r="B22" s="32">
        <f>AVERAGE(B7:B21)</f>
        <v>-1.9784937756512466E-2</v>
      </c>
    </row>
    <row r="23" spans="1:18">
      <c r="A23" s="44" t="s">
        <v>4</v>
      </c>
      <c r="B23" s="45">
        <f>(6*B22)/(1+(5*B22))</f>
        <v>-0.13174218077142399</v>
      </c>
    </row>
    <row r="24" spans="1:18">
      <c r="A24" s="166" t="s">
        <v>1462</v>
      </c>
      <c r="B24" s="36">
        <f>1-EXP(LN(1-B23)+1.96*SQRT(12/(5*(Results!E3-2))))</f>
        <v>-2.9093496925526936</v>
      </c>
    </row>
    <row r="25" spans="1:18">
      <c r="A25" s="167"/>
      <c r="B25" s="36">
        <f>1-EXP(LN(1-B23)-1.96*SQRT(12/(5*(Results!E3-2))))</f>
        <v>0.67236485234941812</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-6.5217391304347672E-2</v>
      </c>
      <c r="D30" s="41" t="s">
        <v>1277</v>
      </c>
      <c r="E30" s="41">
        <f>1-((Results!C4+Results!C6+Results!C15+Results!C23)/(16*(Results!M4)))</f>
        <v>0.23684210526315808</v>
      </c>
      <c r="G30" s="41" t="s">
        <v>1277</v>
      </c>
      <c r="H30" s="41">
        <f>1-((Results!C11+Results!C22+Results!C24+Results!C25)/(16*(Results!M5)))</f>
        <v>0.34027777777777779</v>
      </c>
      <c r="J30" s="41" t="s">
        <v>1277</v>
      </c>
      <c r="K30" s="41">
        <f>1-((Results!C10+Results!C13+Results!C19+Results!C21)/(16*(Results!M6)))</f>
        <v>-8.4507042253521236E-2</v>
      </c>
      <c r="M30" s="41" t="s">
        <v>1277</v>
      </c>
      <c r="N30" s="41">
        <f>1-((Results!C7+Results!C8+Results!C9+Results!C20)/(16*(Results!M7)))</f>
        <v>-0.18390804597701149</v>
      </c>
      <c r="P30" s="41" t="s">
        <v>1277</v>
      </c>
      <c r="Q30" s="41">
        <f>1-((Results!C5+Results!C12+Results!C17+Results!C28)/(16*(Results!M8)))</f>
        <v>0.17085427135678399</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8.7890625E-3</v>
      </c>
      <c r="D33" s="31" t="s">
        <v>5</v>
      </c>
      <c r="E33" s="32">
        <f>_xlfn.COVARIANCE.S(DT!B4:B1004,DT!D4:D1004)^2</f>
        <v>1.2755102040816326E-3</v>
      </c>
      <c r="G33" s="31" t="s">
        <v>11</v>
      </c>
      <c r="H33" s="32">
        <f>COVAR(DT!I4:I1004,DT!T4:T1004)^2</f>
        <v>0.66015625</v>
      </c>
      <c r="J33" s="31" t="s">
        <v>17</v>
      </c>
      <c r="K33" s="32">
        <f>COVAR(DT!H4:H1004,DT!K4:K1004)^2</f>
        <v>3.90625E-3</v>
      </c>
      <c r="M33" s="31" t="s">
        <v>24</v>
      </c>
      <c r="N33" s="32">
        <f>COVAR(DT!E4:E1004,DT!F4:F1004)^2</f>
        <v>4.78515625E-2</v>
      </c>
      <c r="P33" s="31" t="s">
        <v>34</v>
      </c>
      <c r="Q33" s="32">
        <f>COVAR(DT!C4:C1004,DT!J4:J1004)^2</f>
        <v>0.31640625</v>
      </c>
    </row>
    <row r="34" spans="1:17">
      <c r="A34" s="31" t="s">
        <v>37</v>
      </c>
      <c r="B34" s="32">
        <f>COVAR(DT!A4:A1004,DT!N4:N1004)^2</f>
        <v>1.5625E-2</v>
      </c>
      <c r="D34" s="31" t="s">
        <v>6</v>
      </c>
      <c r="E34" s="32">
        <f>_xlfn.COVARIANCE.S(DT!B4:B1004,DT!M4:M1004)^2</f>
        <v>2.0408163265306121E-2</v>
      </c>
      <c r="G34" s="31" t="s">
        <v>12</v>
      </c>
      <c r="H34" s="32">
        <f>COVAR(DT!I4:I1004,DT!V4:V1004)^2</f>
        <v>3.515625E-2</v>
      </c>
      <c r="J34" s="31" t="s">
        <v>18</v>
      </c>
      <c r="K34" s="32">
        <f>COVAR(DT!H4:H1004,DT!Q4:Q1004)^2</f>
        <v>3.90625E-3</v>
      </c>
      <c r="M34" s="31" t="s">
        <v>25</v>
      </c>
      <c r="N34" s="32">
        <f>COVAR(DT!E4:E1004,DT!G4:G1004)^2</f>
        <v>3.90625E-3</v>
      </c>
      <c r="P34" s="31" t="s">
        <v>33</v>
      </c>
      <c r="Q34" s="32">
        <f>COVAR(DT!C4:C1004,DT!O4:O1004)^2</f>
        <v>7.0556640625E-2</v>
      </c>
    </row>
    <row r="35" spans="1:17">
      <c r="A35" s="31" t="s">
        <v>38</v>
      </c>
      <c r="B35" s="32">
        <f>COVAR(DT!A4:A1004,DT!P4:P1004)^2</f>
        <v>8.7890625E-3</v>
      </c>
      <c r="D35" s="31" t="s">
        <v>7</v>
      </c>
      <c r="E35" s="32">
        <f>_xlfn.COVARIANCE.S(DT!B4:B1004,DT!U4:U1004)^2</f>
        <v>1.1479591836734693E-2</v>
      </c>
      <c r="G35" s="31" t="s">
        <v>13</v>
      </c>
      <c r="H35" s="32">
        <f>COVAR(DT!I4:I1004,DT!W4:W1004)^2</f>
        <v>1.5625E-2</v>
      </c>
      <c r="J35" s="31" t="s">
        <v>19</v>
      </c>
      <c r="K35" s="32">
        <f>COVAR(DT!H4:H1004,DT!S4:S1004)^2</f>
        <v>3.90625E-3</v>
      </c>
      <c r="M35" s="31" t="s">
        <v>26</v>
      </c>
      <c r="N35" s="32">
        <f>COVAR(DT!E4:E1004,DT!R4:R1004)^2</f>
        <v>9.765625E-4</v>
      </c>
      <c r="P35" s="31" t="s">
        <v>32</v>
      </c>
      <c r="Q35" s="32">
        <f>COVAR(DT!C4:C1004,DT!Z4:Z1004)^2</f>
        <v>6.103515625E-3</v>
      </c>
    </row>
    <row r="36" spans="1:17">
      <c r="A36" s="31" t="s">
        <v>39</v>
      </c>
      <c r="B36" s="32">
        <f>COVAR(DT!A4:A1004,DT!X4:X1004)^2</f>
        <v>3.90625E-3</v>
      </c>
      <c r="D36" s="31" t="s">
        <v>8</v>
      </c>
      <c r="E36" s="32">
        <f>_xlfn.COVARIANCE.S(DT!D4:D1004,DT!M4:M1004)^2</f>
        <v>5.1020408163265302E-3</v>
      </c>
      <c r="G36" s="31" t="s">
        <v>14</v>
      </c>
      <c r="H36" s="32">
        <f>COVAR(DT!T4:T1004,DT!V4:V1004)^2</f>
        <v>2.44140625E-4</v>
      </c>
      <c r="J36" s="31" t="s">
        <v>20</v>
      </c>
      <c r="K36" s="32">
        <f>COVAR(DT!K4:K1004,DT!Q4:Q1004)^2</f>
        <v>2.197265625E-3</v>
      </c>
      <c r="M36" s="31" t="s">
        <v>27</v>
      </c>
      <c r="N36" s="32">
        <f>COVAR(DT!F4:F1004,DT!G4:G1004)^2</f>
        <v>1.5625E-2</v>
      </c>
      <c r="P36" s="31" t="s">
        <v>31</v>
      </c>
      <c r="Q36" s="32">
        <f>COVAR(DT!J4:J1004,DT!O4:O1004)^2</f>
        <v>3.515625E-2</v>
      </c>
    </row>
    <row r="37" spans="1:17">
      <c r="A37" s="31" t="s">
        <v>40</v>
      </c>
      <c r="B37" s="32">
        <f>COVAR(DT!A4:A1004,DT!Y4:Y1004)^2</f>
        <v>3.90625E-3</v>
      </c>
      <c r="D37" s="31" t="s">
        <v>9</v>
      </c>
      <c r="E37" s="32">
        <f>_xlfn.COVARIANCE.S(DT!D4:D1004,DT!U4:U1004)^2</f>
        <v>2.5829081632653066E-2</v>
      </c>
      <c r="G37" s="31" t="s">
        <v>15</v>
      </c>
      <c r="H37" s="32">
        <f>COVAR(DT!T4:T1004,DT!W4:W1004)^2</f>
        <v>3.90625E-3</v>
      </c>
      <c r="J37" s="31" t="s">
        <v>21</v>
      </c>
      <c r="K37" s="32">
        <f>COVAR(DT!K4:K1004,DT!S4:S1004)^2</f>
        <v>6.103515625E-3</v>
      </c>
      <c r="M37" s="31" t="s">
        <v>28</v>
      </c>
      <c r="N37" s="32">
        <f>COVAR(DT!F4:F1004,DT!R4:R1004)^2</f>
        <v>3.90625E-3</v>
      </c>
      <c r="P37" s="31" t="s">
        <v>30</v>
      </c>
      <c r="Q37" s="32">
        <f>COVAR(DT!J4:J1004,DT!Z4:Z1004)^2</f>
        <v>3.90625E-3</v>
      </c>
    </row>
    <row r="38" spans="1:17">
      <c r="A38" s="31" t="s">
        <v>41</v>
      </c>
      <c r="B38" s="32">
        <f>COVAR(DT!L4:L1004,DT!N4:N1004)^2</f>
        <v>3.90625E-3</v>
      </c>
      <c r="D38" s="31" t="s">
        <v>10</v>
      </c>
      <c r="E38" s="32">
        <f>_xlfn.COVARIANCE.S(DT!M4:M1004,DT!U4:U1004)^2</f>
        <v>5.1020408163265302E-3</v>
      </c>
      <c r="G38" s="31" t="s">
        <v>16</v>
      </c>
      <c r="H38" s="32">
        <f>COVAR(DT!V4:V1004,DT!W4:W1004)^2</f>
        <v>3.515625E-2</v>
      </c>
      <c r="J38" s="31" t="s">
        <v>22</v>
      </c>
      <c r="K38" s="32">
        <f>COVAR(DT!Q4:Q1004,DT!S4:S1004)^2</f>
        <v>2.44140625E-4</v>
      </c>
      <c r="M38" s="31" t="s">
        <v>23</v>
      </c>
      <c r="N38" s="32">
        <f>COVAR(DT!G4:G1004,DT!R4:R1004)^2</f>
        <v>0</v>
      </c>
      <c r="P38" s="31" t="s">
        <v>29</v>
      </c>
      <c r="Q38" s="32">
        <f>COVAR(DT!O4:O1004,DT!Z4:Z1004)^2</f>
        <v>8.8134765625E-2</v>
      </c>
    </row>
    <row r="39" spans="1:17">
      <c r="A39" s="31" t="s">
        <v>42</v>
      </c>
      <c r="B39" s="32">
        <f>COVAR(DT!L4:L1004,DT!P4:P1004)^2</f>
        <v>2.44140625E-4</v>
      </c>
      <c r="D39" s="31" t="s">
        <v>1275</v>
      </c>
      <c r="E39" s="6">
        <f>SUM(E33:E38)</f>
        <v>6.9196428571428575E-2</v>
      </c>
      <c r="G39" s="31" t="s">
        <v>1275</v>
      </c>
      <c r="H39" s="6">
        <f>SUM(H33:H38)</f>
        <v>0.750244140625</v>
      </c>
      <c r="J39" s="31" t="s">
        <v>1275</v>
      </c>
      <c r="K39" s="6">
        <f>SUM(K33:K38)</f>
        <v>2.0263671875E-2</v>
      </c>
      <c r="M39" s="31" t="s">
        <v>1275</v>
      </c>
      <c r="N39" s="6">
        <f>SUM(N33:N38)</f>
        <v>7.2265625E-2</v>
      </c>
      <c r="P39" s="31" t="s">
        <v>1275</v>
      </c>
      <c r="Q39" s="6">
        <f>SUM(Q33:Q38)</f>
        <v>0.520263671875</v>
      </c>
    </row>
    <row r="40" spans="1:17">
      <c r="A40" s="31" t="s">
        <v>43</v>
      </c>
      <c r="B40" s="32">
        <f>COVAR(DT!L4:L1004,DT!X4:X1004)^2</f>
        <v>9.765625E-4</v>
      </c>
      <c r="D40" s="33" t="s">
        <v>1276</v>
      </c>
      <c r="E40" s="40">
        <f>E30+SQRT((4/3)*2*E39)/(16*(Results!M4))</f>
        <v>0.55336172899418812</v>
      </c>
      <c r="G40" s="33" t="s">
        <v>1276</v>
      </c>
      <c r="H40" s="40">
        <f>H30+SQRT((4/3)*2*H39)/(16*(Results!M5))</f>
        <v>0.61530850142861515</v>
      </c>
      <c r="J40" s="33" t="s">
        <v>1276</v>
      </c>
      <c r="K40" s="40">
        <f>K30+SQRT((4/3)*2*K39)/(16*(Results!M6))</f>
        <v>9.8839665764025447E-2</v>
      </c>
      <c r="M40" s="33" t="s">
        <v>1276</v>
      </c>
      <c r="N40" s="40">
        <f>N30+SQRT((4/3)*2*N39)/(16*(Results!M7))</f>
        <v>9.8657380344709444E-2</v>
      </c>
      <c r="P40" s="33" t="s">
        <v>1276</v>
      </c>
      <c r="Q40" s="40">
        <f>Q30+SQRT((4/3)*2*Q39)/(16*(Results!M8))</f>
        <v>0.50231422677306226</v>
      </c>
    </row>
    <row r="41" spans="1:17">
      <c r="A41" s="31" t="s">
        <v>44</v>
      </c>
      <c r="B41" s="32">
        <f>COVAR(DT!L4:L1004,DT!Y4:Y1004)^2</f>
        <v>9.765625E-4</v>
      </c>
    </row>
    <row r="42" spans="1:17">
      <c r="A42" s="31" t="s">
        <v>45</v>
      </c>
      <c r="B42" s="32">
        <f>COVAR(DT!N4:N1004,DT!P4:P1004)^2</f>
        <v>3.90625E-3</v>
      </c>
    </row>
    <row r="43" spans="1:17">
      <c r="A43" s="31" t="s">
        <v>46</v>
      </c>
      <c r="B43" s="32">
        <f>COVAR(DT!N4:N1004,DT!X4:X1004)^2</f>
        <v>1.5625E-2</v>
      </c>
    </row>
    <row r="44" spans="1:17">
      <c r="A44" s="31" t="s">
        <v>47</v>
      </c>
      <c r="B44" s="32">
        <f>COVAR(DT!N4:N1004,DT!Y4:Y1004)^2</f>
        <v>1.5625E-2</v>
      </c>
    </row>
    <row r="45" spans="1:17">
      <c r="A45" s="31" t="s">
        <v>48</v>
      </c>
      <c r="B45" s="32">
        <f>COVAR(DT!P4:P1004,DT!X4:X1004)^2</f>
        <v>9.765625E-4</v>
      </c>
    </row>
    <row r="46" spans="1:17">
      <c r="A46" s="31" t="s">
        <v>116</v>
      </c>
      <c r="B46" s="32">
        <f>COVAR(DT!P4:P1004,DT!Y4:Y1004)^2</f>
        <v>9.765625E-4</v>
      </c>
    </row>
    <row r="47" spans="1:17">
      <c r="A47" s="31" t="s">
        <v>35</v>
      </c>
      <c r="B47" s="32">
        <f>COVAR(DT!X4:X1004,DT!Y4:Y1004)^2</f>
        <v>3.90625E-3</v>
      </c>
    </row>
    <row r="48" spans="1:17">
      <c r="A48" s="31" t="s">
        <v>1275</v>
      </c>
      <c r="B48" s="6">
        <f>SUM(B33:B47)</f>
        <v>8.8134765625E-2</v>
      </c>
    </row>
    <row r="49" spans="1:2">
      <c r="A49" s="33" t="s">
        <v>1276</v>
      </c>
      <c r="B49" s="40">
        <f>B30+SQRT((6/5)*2*B48)/(36*(Results!M3))</f>
        <v>0.21473194839434062</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2"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2.6250000000000004</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2.5625</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2.25</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2.46875</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2.46875</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2.53125</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2.6250000000000004</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2.5625</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2.25</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2.46875</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2.46875</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2.53125</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1">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12</v>
      </c>
    </row>
    <row r="5" spans="1:37">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4" t="str">
        <f t="shared" si="4"/>
        <v/>
      </c>
      <c r="AD8" s="4" t="str">
        <f t="shared" si="5"/>
        <v/>
      </c>
      <c r="AE8" s="4">
        <f t="shared" si="6"/>
        <v>1</v>
      </c>
      <c r="AF8" s="4" t="str">
        <f t="shared" si="7"/>
        <v/>
      </c>
      <c r="AG8" s="4" t="str">
        <f t="shared" si="8"/>
        <v/>
      </c>
      <c r="AH8" s="4" t="str">
        <f t="shared" si="9"/>
        <v/>
      </c>
      <c r="AI8" s="2">
        <f t="shared" si="10"/>
        <v>1</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8</v>
      </c>
    </row>
    <row r="11" spans="1:37">
      <c r="A11" s="1">
        <f>IF(Data!A11&gt;0,Data!A11-4,"")</f>
        <v>3</v>
      </c>
      <c r="B11" s="1">
        <f>IF(Data!B11&gt;0,Data!B11-4,"")</f>
        <v>2</v>
      </c>
      <c r="C11" s="1">
        <f>IF(Data!C11&gt;0,4-Data!C11,"")</f>
        <v>3</v>
      </c>
      <c r="D11" s="1">
        <f>IF(Data!D11&gt;0,4-Data!D11,"")</f>
        <v>2</v>
      </c>
      <c r="E11" s="1">
        <f>IF(Data!E11&gt;0,4-Data!E11,"")</f>
        <v>3</v>
      </c>
      <c r="F11" s="1">
        <f>IF(Data!F11&gt;0,Data!F11-4,"")</f>
        <v>1</v>
      </c>
      <c r="G11" s="1">
        <f>IF(Data!G11&gt;0,Data!G11-4,"")</f>
        <v>3</v>
      </c>
      <c r="H11" s="1">
        <f>IF(Data!H11&gt;0,Data!H11-4,"")</f>
        <v>3</v>
      </c>
      <c r="I11" s="1">
        <f>IF(Data!I11&gt;0,4-Data!I11,"")</f>
        <v>3</v>
      </c>
      <c r="J11" s="1">
        <f>IF(Data!J11&gt;0,4-Data!J11,"")</f>
        <v>3</v>
      </c>
      <c r="K11" s="1">
        <f>IF(Data!K11&gt;0,Data!K11-4,"")</f>
        <v>2</v>
      </c>
      <c r="L11" s="1">
        <f>IF(Data!L11&gt;0,4-Data!L11,"")</f>
        <v>3</v>
      </c>
      <c r="M11" s="1">
        <f>IF(Data!M11&gt;0,Data!M11-4,"")</f>
        <v>2</v>
      </c>
      <c r="N11" s="1">
        <f>IF(Data!N11&gt;0,Data!N11-4,"")</f>
        <v>3</v>
      </c>
      <c r="O11" s="1">
        <f>IF(Data!O11&gt;0,Data!O11-4,"")</f>
        <v>3</v>
      </c>
      <c r="P11" s="1">
        <f>IF(Data!P11&gt;0,Data!P11-4,"")</f>
        <v>2</v>
      </c>
      <c r="Q11" s="1">
        <f>IF(Data!Q11&gt;0,4-Data!Q11,"")</f>
        <v>3</v>
      </c>
      <c r="R11" s="1">
        <f>IF(Data!R11&gt;0,4-Data!R11,"")</f>
        <v>3</v>
      </c>
      <c r="S11" s="1">
        <f>IF(Data!S11&gt;0,4-Data!S11,"")</f>
        <v>3</v>
      </c>
      <c r="T11" s="1">
        <f>IF(Data!T11&gt;0,Data!T11-4,"")</f>
        <v>3</v>
      </c>
      <c r="U11" s="1">
        <f>IF(Data!U11&gt;0,4-Data!U11,"")</f>
        <v>3</v>
      </c>
      <c r="V11" s="1">
        <f>IF(Data!V11&gt;0,Data!V11-4,"")</f>
        <v>2</v>
      </c>
      <c r="W11" s="1">
        <f>IF(Data!W11&gt;0,4-Data!W11,"")</f>
        <v>3</v>
      </c>
      <c r="X11" s="1">
        <f>IF(Data!X11&gt;0,4-Data!X11,"")</f>
        <v>2</v>
      </c>
      <c r="Y11" s="1">
        <f>IF(Data!Y11&gt;0,4-Data!Y11,"")</f>
        <v>3</v>
      </c>
      <c r="Z11" s="1">
        <f>IF(Data!Z11&gt;0,Data!Z11-4,"")</f>
        <v>3</v>
      </c>
      <c r="AC11" s="4" t="str">
        <f t="shared" si="4"/>
        <v/>
      </c>
      <c r="AD11" s="4" t="str">
        <f t="shared" si="5"/>
        <v/>
      </c>
      <c r="AE11" s="4" t="str">
        <f t="shared" si="6"/>
        <v/>
      </c>
      <c r="AF11" s="4" t="str">
        <f t="shared" si="7"/>
        <v/>
      </c>
      <c r="AG11" s="4" t="str">
        <f t="shared" si="8"/>
        <v/>
      </c>
      <c r="AH11" s="4" t="str">
        <f t="shared" si="9"/>
        <v/>
      </c>
      <c r="AI11" s="2">
        <f t="shared" si="10"/>
        <v>0</v>
      </c>
      <c r="AK11" s="2">
        <f>IF(MAX(COUNTIF(Data!A11:Z11,1),COUNTIF(Data!A11:Z11,2),COUNTIF(Data!A11:Z11,3),COUNTIF(Data!A11:Z11,4),COUNTIF(Data!A11:Z11,5),COUNTIF(Data!A11:Z11,6),COUNTIF(Data!A11:Z11,7))&gt;0,MAX(COUNTIF(Data!A11:Z11,1),COUNTIF(Data!A11:Z11,2),COUNTIF(Data!A11:Z11,3),COUNTIF(Data!A11:Z11,4),COUNTIF(Data!A11:Z11,5),COUNTIF(Data!A11:Z11,6),COUNTIF(Data!A11:Z11,7)),"")</f>
        <v>11</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0.21362331482055191</v>
      </c>
    </row>
    <row r="5" spans="1:7">
      <c r="A5" s="9" t="str">
        <f>VLOOKUP(Read_First!B5,Items!A1:BI50,55,FALSE)</f>
        <v>Perspicuity</v>
      </c>
      <c r="B5" s="6">
        <f>SQRT(VAR(DT!AD4:AD1004))</f>
        <v>0.29124118625535877</v>
      </c>
    </row>
    <row r="6" spans="1:7">
      <c r="A6" s="9" t="str">
        <f>VLOOKUP(Read_First!B5,Items!A1:BI50,56,FALSE)</f>
        <v>Efficiency</v>
      </c>
      <c r="B6" s="6">
        <f>SQRT(VAR(DT!AE4:AE1004))</f>
        <v>0.56694670951384085</v>
      </c>
    </row>
    <row r="7" spans="1:7">
      <c r="A7" s="9" t="str">
        <f>VLOOKUP(Read_First!B5,Items!A1:BI50,57,FALSE)</f>
        <v>Dependability</v>
      </c>
      <c r="B7" s="6">
        <f>SQRT(VAR(DT!AF4:AF1004))</f>
        <v>0.28149790661490082</v>
      </c>
    </row>
    <row r="8" spans="1:7">
      <c r="A8" s="9" t="str">
        <f>VLOOKUP(Read_First!B5,Items!A1:BI50,58,FALSE)</f>
        <v>Stimulation</v>
      </c>
      <c r="B8" s="6">
        <f>SQRT(VAR(DT!AG4:AG1004))</f>
        <v>0.31160586368955623</v>
      </c>
    </row>
    <row r="9" spans="1:7">
      <c r="A9" s="9" t="str">
        <f>VLOOKUP(Read_First!B5,Items!A1:BI50,59,FALSE)</f>
        <v>Novelty</v>
      </c>
      <c r="B9" s="6">
        <f>SQRT(VAR(DT!AH4:AH1004))</f>
        <v>0.47127297215702313</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0.49696428571428569</v>
      </c>
      <c r="C12" s="4">
        <f>POWER((1.65*B5)/0.5,2)</f>
        <v>0.92370535714285729</v>
      </c>
      <c r="D12" s="4">
        <f>POWER((1.65*B6)/0.5,2)</f>
        <v>3.5003571428571427</v>
      </c>
      <c r="E12" s="4">
        <f>POWER((1.65*B7)/0.5,2)</f>
        <v>0.8629352678571427</v>
      </c>
      <c r="F12" s="4">
        <f>POWER((1.65*B8)/0.5,2)</f>
        <v>1.0573995535714287</v>
      </c>
      <c r="G12" s="4">
        <f>POWER((1.65*B9)/0.5,2)</f>
        <v>2.4186495535714285</v>
      </c>
    </row>
    <row r="13" spans="1:7">
      <c r="A13" s="90" t="s">
        <v>832</v>
      </c>
      <c r="B13" s="4">
        <f>POWER((1.96*B4)/0.5,2)</f>
        <v>0.70124444444444445</v>
      </c>
      <c r="C13" s="4">
        <f>POWER((1.96*B5)/0.5,2)</f>
        <v>1.3034000000000001</v>
      </c>
      <c r="D13" s="4">
        <f>POWER((1.96*B6)/0.5,2)</f>
        <v>4.9391999999999996</v>
      </c>
      <c r="E13" s="4">
        <f>POWER((1.96*B7)/0.5,2)</f>
        <v>1.2176500000000001</v>
      </c>
      <c r="F13" s="4">
        <f>POWER((1.96*B8)/0.5,2)</f>
        <v>1.4920500000000001</v>
      </c>
      <c r="G13" s="4">
        <f>POWER((1.96*B9)/0.5,2)</f>
        <v>3.4128499999999997</v>
      </c>
    </row>
    <row r="14" spans="1:7">
      <c r="A14" s="90" t="s">
        <v>833</v>
      </c>
      <c r="B14" s="4">
        <f>POWER((2.58*B4)/0.5,2)</f>
        <v>1.2150571428571431</v>
      </c>
      <c r="C14" s="4">
        <f>POWER((2.58*B5)/0.5,2)</f>
        <v>2.2584214285714288</v>
      </c>
      <c r="D14" s="4">
        <f>POWER((2.58*B6)/0.5,2)</f>
        <v>8.5582285714285717</v>
      </c>
      <c r="E14" s="4">
        <f>POWER((2.58*B7)/0.5,2)</f>
        <v>2.1098410714285714</v>
      </c>
      <c r="F14" s="4">
        <f>POWER((2.58*B8)/0.5,2)</f>
        <v>2.5852982142857148</v>
      </c>
      <c r="G14" s="4">
        <f>POWER((2.58*B9)/0.5,2)</f>
        <v>5.9134982142857142</v>
      </c>
    </row>
    <row r="15" spans="1:7">
      <c r="A15" s="90" t="s">
        <v>834</v>
      </c>
      <c r="B15" s="4">
        <f>POWER((1.65*B4)/0.25,2)</f>
        <v>1.9878571428571428</v>
      </c>
      <c r="C15" s="4">
        <f>POWER((1.65*B5)/0.25,2)</f>
        <v>3.6948214285714291</v>
      </c>
      <c r="D15" s="4">
        <f>POWER((1.65*B6)/0.25,2)</f>
        <v>14.001428571428571</v>
      </c>
      <c r="E15" s="4">
        <f>POWER((1.65*B7)/0.25,2)</f>
        <v>3.4517410714285708</v>
      </c>
      <c r="F15" s="4">
        <f>POWER((1.65*B8)/0.25,2)</f>
        <v>4.2295982142857147</v>
      </c>
      <c r="G15" s="4">
        <f>POWER((1.65*B9)/0.25,2)</f>
        <v>9.6745982142857141</v>
      </c>
    </row>
    <row r="16" spans="1:7">
      <c r="A16" s="90" t="s">
        <v>835</v>
      </c>
      <c r="B16" s="4">
        <f>POWER((1.96*B4)/0.25,2)</f>
        <v>2.8049777777777778</v>
      </c>
      <c r="C16" s="4">
        <f>POWER((1.96*B5)/0.25,2)</f>
        <v>5.2136000000000005</v>
      </c>
      <c r="D16" s="4">
        <f>POWER((1.96*B6)/0.25,2)</f>
        <v>19.756799999999998</v>
      </c>
      <c r="E16" s="4">
        <f>POWER((1.96*B7)/0.25,2)</f>
        <v>4.8706000000000005</v>
      </c>
      <c r="F16" s="4">
        <f>POWER((1.96*B8)/0.25,2)</f>
        <v>5.9682000000000004</v>
      </c>
      <c r="G16" s="4">
        <f>POWER((1.96*B9)/0.25,2)</f>
        <v>13.651399999999999</v>
      </c>
    </row>
    <row r="17" spans="1:7">
      <c r="A17" s="90" t="s">
        <v>836</v>
      </c>
      <c r="B17" s="4">
        <f>POWER((2.58*B4)/0.25,2)</f>
        <v>4.8602285714285722</v>
      </c>
      <c r="C17" s="4">
        <f>POWER((2.58*B5)/0.25,2)</f>
        <v>9.0336857142857152</v>
      </c>
      <c r="D17" s="4">
        <f>POWER((2.58*B6)/0.25,2)</f>
        <v>34.232914285714287</v>
      </c>
      <c r="E17" s="4">
        <f>POWER((2.58*B7)/0.25,2)</f>
        <v>8.4393642857142854</v>
      </c>
      <c r="F17" s="4">
        <f>POWER((2.58*B8)/0.25,2)</f>
        <v>10.341192857142859</v>
      </c>
      <c r="G17" s="4">
        <f>POWER((2.58*B9)/0.25,2)</f>
        <v>23.653992857142857</v>
      </c>
    </row>
    <row r="18" spans="1:7">
      <c r="A18" s="90" t="s">
        <v>837</v>
      </c>
      <c r="B18" s="4">
        <f>POWER((1.65*B4)/0.1,2)</f>
        <v>12.424107142857141</v>
      </c>
      <c r="C18" s="4">
        <f>POWER((1.65*B5)/0.1,2)</f>
        <v>23.092633928571431</v>
      </c>
      <c r="D18" s="4">
        <f>POWER((1.65*B6)/0.1,2)</f>
        <v>87.508928571428555</v>
      </c>
      <c r="E18" s="4">
        <f>POWER((1.65*B7)/0.1,2)</f>
        <v>21.573381696428566</v>
      </c>
      <c r="F18" s="4">
        <f>POWER((1.65*B8)/0.1,2)</f>
        <v>26.434988839285715</v>
      </c>
      <c r="G18" s="4">
        <f>POWER((1.65*B9)/0.1,2)</f>
        <v>60.466238839285708</v>
      </c>
    </row>
    <row r="19" spans="1:7">
      <c r="A19" s="90" t="s">
        <v>838</v>
      </c>
      <c r="B19" s="4">
        <f>POWER((1.96*B4)/0.1,2)</f>
        <v>17.531111111111112</v>
      </c>
      <c r="C19" s="4">
        <f>POWER((1.96*B5)/0.1,2)</f>
        <v>32.585000000000001</v>
      </c>
      <c r="D19" s="4">
        <f>POWER((1.96*B6)/0.1,2)</f>
        <v>123.47999999999996</v>
      </c>
      <c r="E19" s="4">
        <f>POWER((1.96*B7)/0.1,2)</f>
        <v>30.44125</v>
      </c>
      <c r="F19" s="4">
        <f>POWER((1.96*B8)/0.1,2)</f>
        <v>37.301250000000003</v>
      </c>
      <c r="G19" s="4">
        <f>POWER((1.96*B9)/0.1,2)</f>
        <v>85.321249999999978</v>
      </c>
    </row>
    <row r="20" spans="1:7">
      <c r="A20" s="91" t="s">
        <v>839</v>
      </c>
      <c r="B20" s="4">
        <f>POWER((2.58*B4)/0.1,2)</f>
        <v>30.376428571428573</v>
      </c>
      <c r="C20" s="4">
        <f>POWER((2.58*B5)/0.1,2)</f>
        <v>56.460535714285712</v>
      </c>
      <c r="D20" s="4">
        <f>POWER((2.58*B6)/0.1,2)</f>
        <v>213.95571428571427</v>
      </c>
      <c r="E20" s="4">
        <f>POWER((2.58*B7)/0.1,2)</f>
        <v>52.746026785714285</v>
      </c>
      <c r="F20" s="4">
        <f>POWER((2.58*B8)/0.1,2)</f>
        <v>64.632455357142859</v>
      </c>
      <c r="G20" s="4">
        <f>POWER((2.58*B9)/0.1,2)</f>
        <v>147.83745535714286</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2.357843137254902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2.375</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2.5</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2.6833333333333331</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2.2430555555555554</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2.6790123456790123</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2.270833333333333</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f>IF(G11&gt;0,DT!AC11*I11+DT!AD11*J11+DT!AE11*K11+DT!AF11*L11+DT!AG11*M11+DT!AH11*N11,"")</f>
        <v>2.661111111111111</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t="e">
        <f>IF(G12&gt;0,DT!AC12*I12+DT!AD12*J12+DT!AE12*K12+DT!AF12*L12+DT!AG12*M12+DT!AH12*N12,"")</f>
        <v>#VALUE!</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t="e">
        <f>IF(G13&gt;0,DT!AC13*I13+DT!AD13*J13+DT!AE13*K13+DT!AF13*L13+DT!AG13*M13+DT!AH13*N13,"")</f>
        <v>#VALUE!</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2024-07-01T14:17:38Z</dcterms:modified>
</cp:coreProperties>
</file>