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C:\Users\ricky\Desktop\Master-Thesis\Questionnaire\EUQ\"/>
    </mc:Choice>
  </mc:AlternateContent>
  <xr:revisionPtr revIDLastSave="0" documentId="13_ncr:1_{030D9E88-2481-437D-AF09-E9E92A5462B2}" xr6:coauthVersionLast="47" xr6:coauthVersionMax="47" xr10:uidLastSave="{00000000-0000-0000-0000-000000000000}"/>
  <bookViews>
    <workbookView xWindow="-38520" yWindow="1455" windowWidth="38640" windowHeight="2112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45" i="7"/>
  <c r="AC53" i="7"/>
  <c r="AC61" i="7"/>
  <c r="AC69" i="7"/>
  <c r="AC77" i="7"/>
  <c r="AC85" i="7"/>
  <c r="AC93" i="7"/>
  <c r="AC101" i="7"/>
  <c r="AC109" i="7"/>
  <c r="AC117" i="7"/>
  <c r="AC125" i="7"/>
  <c r="AC133" i="7"/>
  <c r="AC141" i="7"/>
  <c r="AC149" i="7"/>
  <c r="AC157" i="7"/>
  <c r="AC165" i="7"/>
  <c r="AC173" i="7"/>
  <c r="AC181" i="7"/>
  <c r="AC189" i="7"/>
  <c r="AC197" i="7"/>
  <c r="AC213" i="7"/>
  <c r="AC221" i="7"/>
  <c r="AC229" i="7"/>
  <c r="AC237" i="7"/>
  <c r="AC245" i="7"/>
  <c r="AC253" i="7"/>
  <c r="AE257" i="7"/>
  <c r="AC29" i="7"/>
  <c r="AC21"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AH990" i="7"/>
  <c r="AH994" i="7"/>
  <c r="AH998" i="7"/>
  <c r="K8" i="4"/>
  <c r="K7" i="4"/>
  <c r="C10" i="2"/>
  <c r="D10" i="2" s="1"/>
  <c r="C12" i="3" s="1"/>
  <c r="E12" i="3" s="1"/>
  <c r="B10" i="2"/>
  <c r="B12" i="3" s="1"/>
  <c r="K9" i="4"/>
  <c r="C14" i="2"/>
  <c r="D14" i="2" s="1"/>
  <c r="C16" i="3" s="1"/>
  <c r="E16" i="3" s="1"/>
  <c r="B15" i="4"/>
  <c r="B14" i="2"/>
  <c r="B16" i="3" s="1"/>
  <c r="B14" i="4"/>
  <c r="B13" i="4"/>
  <c r="B12" i="4"/>
  <c r="C23" i="2"/>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28" i="2"/>
  <c r="C30" i="3" s="1"/>
  <c r="E30"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D4" i="11"/>
  <c r="C4" i="11"/>
  <c r="N10" i="3"/>
  <c r="D7" i="11"/>
  <c r="C7" i="11"/>
  <c r="C5" i="11"/>
  <c r="D5" i="11"/>
  <c r="D8" i="11"/>
  <c r="C8"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<sst xmlns="http://schemas.openxmlformats.org/spreadsheetml/2006/main" count="2565" uniqueCount="2272">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</sst>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8" xfId="0" applyFont="1" applyBorder="1" applyAlignment="1">
      <alignment horizontal="center" wrapText="1"/>
    </xf>
    <xf numFmtId="0" fontId="26" fillId="0" borderId="9"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e"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2.7</c:v>
                </c:pt>
                <c:pt idx="1">
                  <c:v>2.7</c:v>
                </c:pt>
                <c:pt idx="2">
                  <c:v>2.2999999999999998</c:v>
                </c:pt>
                <c:pt idx="3">
                  <c:v>2.5</c:v>
                </c:pt>
                <c:pt idx="4">
                  <c:v>2.4</c:v>
                </c:pt>
                <c:pt idx="5">
                  <c:v>2.1</c:v>
                </c:pt>
                <c:pt idx="6">
                  <c:v>2.2999999999999998</c:v>
                </c:pt>
                <c:pt idx="7">
                  <c:v>1.4</c:v>
                </c:pt>
                <c:pt idx="8">
                  <c:v>1.7</c:v>
                </c:pt>
                <c:pt idx="9">
                  <c:v>2.6</c:v>
                </c:pt>
                <c:pt idx="10">
                  <c:v>2.4</c:v>
                </c:pt>
                <c:pt idx="11">
                  <c:v>2.7</c:v>
                </c:pt>
                <c:pt idx="12">
                  <c:v>2.6</c:v>
                </c:pt>
                <c:pt idx="13">
                  <c:v>2.6</c:v>
                </c:pt>
                <c:pt idx="14">
                  <c:v>2.2999999999999998</c:v>
                </c:pt>
                <c:pt idx="15">
                  <c:v>2.5</c:v>
                </c:pt>
                <c:pt idx="16">
                  <c:v>2.9</c:v>
                </c:pt>
                <c:pt idx="17">
                  <c:v>2.8</c:v>
                </c:pt>
                <c:pt idx="18">
                  <c:v>2.9</c:v>
                </c:pt>
                <c:pt idx="19">
                  <c:v>2.5</c:v>
                </c:pt>
                <c:pt idx="20">
                  <c:v>2.6</c:v>
                </c:pt>
                <c:pt idx="21">
                  <c:v>2.5</c:v>
                </c:pt>
                <c:pt idx="22">
                  <c:v>2.5</c:v>
                </c:pt>
                <c:pt idx="23">
                  <c:v>2.8</c:v>
                </c:pt>
                <c:pt idx="24">
                  <c:v>2.8</c:v>
                </c:pt>
                <c:pt idx="25">
                  <c:v>2.9</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0.14155295443900387</c:v>
                  </c:pt>
                  <c:pt idx="1">
                    <c:v>0.18187696042587467</c:v>
                  </c:pt>
                  <c:pt idx="2">
                    <c:v>0.32502325696646456</c:v>
                  </c:pt>
                  <c:pt idx="3">
                    <c:v>0.20916488156506449</c:v>
                  </c:pt>
                  <c:pt idx="4">
                    <c:v>0.19599639845400518</c:v>
                  </c:pt>
                  <c:pt idx="5">
                    <c:v>0.25773091673520493</c:v>
                  </c:pt>
                </c:numCache>
              </c:numRef>
            </c:plus>
            <c:minus>
              <c:numRef>
                <c:f>Confidence_Intervals!$M$5:$M$10</c:f>
                <c:numCache>
                  <c:formatCode>General</c:formatCode>
                  <c:ptCount val="6"/>
                  <c:pt idx="0">
                    <c:v>0.14155295443900387</c:v>
                  </c:pt>
                  <c:pt idx="1">
                    <c:v>0.18187696042587467</c:v>
                  </c:pt>
                  <c:pt idx="2">
                    <c:v>0.32502325696646456</c:v>
                  </c:pt>
                  <c:pt idx="3">
                    <c:v>0.20916488156506449</c:v>
                  </c:pt>
                  <c:pt idx="4">
                    <c:v>0.19599639845400518</c:v>
                  </c:pt>
                  <c:pt idx="5">
                    <c:v>0.25773091673520493</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2.6833333333333336</c:v>
                </c:pt>
                <c:pt idx="1">
                  <c:v>2.6</c:v>
                </c:pt>
                <c:pt idx="2">
                  <c:v>2.2999999999999998</c:v>
                </c:pt>
                <c:pt idx="3">
                  <c:v>2.4</c:v>
                </c:pt>
                <c:pt idx="4">
                  <c:v>2.4</c:v>
                </c:pt>
                <c:pt idx="5">
                  <c:v>2.5249999999999999</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2.6833333333333336</c:v>
                </c:pt>
                <c:pt idx="1">
                  <c:v>2.6</c:v>
                </c:pt>
                <c:pt idx="2">
                  <c:v>2.2999999999999998</c:v>
                </c:pt>
                <c:pt idx="3">
                  <c:v>2.4</c:v>
                </c:pt>
                <c:pt idx="4">
                  <c:v>2.4</c:v>
                </c:pt>
                <c:pt idx="5">
                  <c:v>2.5249999999999999</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2.6833333333333336</c:v>
                </c:pt>
                <c:pt idx="1">
                  <c:v>2.4333333333333336</c:v>
                </c:pt>
                <c:pt idx="2">
                  <c:v>2.4624999999999999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2</c:v>
                </c:pt>
                <c:pt idx="8">
                  <c:v>0</c:v>
                </c:pt>
                <c:pt idx="9">
                  <c:v>1</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0</c:v>
                </c:pt>
                <c:pt idx="2">
                  <c:v>1</c:v>
                </c:pt>
                <c:pt idx="3">
                  <c:v>0</c:v>
                </c:pt>
                <c:pt idx="4">
                  <c:v>1</c:v>
                </c:pt>
                <c:pt idx="5">
                  <c:v>2</c:v>
                </c:pt>
                <c:pt idx="6">
                  <c:v>2</c:v>
                </c:pt>
                <c:pt idx="7">
                  <c:v>3</c:v>
                </c:pt>
                <c:pt idx="8">
                  <c:v>1</c:v>
                </c:pt>
                <c:pt idx="9">
                  <c:v>0</c:v>
                </c:pt>
                <c:pt idx="10">
                  <c:v>1</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1</c:v>
                </c:pt>
                <c:pt idx="1">
                  <c:v>3</c:v>
                </c:pt>
                <c:pt idx="2">
                  <c:v>5</c:v>
                </c:pt>
                <c:pt idx="3">
                  <c:v>5</c:v>
                </c:pt>
                <c:pt idx="4">
                  <c:v>4</c:v>
                </c:pt>
                <c:pt idx="5">
                  <c:v>5</c:v>
                </c:pt>
                <c:pt idx="6">
                  <c:v>3</c:v>
                </c:pt>
                <c:pt idx="7">
                  <c:v>4</c:v>
                </c:pt>
                <c:pt idx="8">
                  <c:v>6</c:v>
                </c:pt>
                <c:pt idx="9">
                  <c:v>1</c:v>
                </c:pt>
                <c:pt idx="10">
                  <c:v>4</c:v>
                </c:pt>
                <c:pt idx="11">
                  <c:v>3</c:v>
                </c:pt>
                <c:pt idx="12">
                  <c:v>4</c:v>
                </c:pt>
                <c:pt idx="13">
                  <c:v>4</c:v>
                </c:pt>
                <c:pt idx="14">
                  <c:v>4</c:v>
                </c:pt>
                <c:pt idx="15">
                  <c:v>5</c:v>
                </c:pt>
                <c:pt idx="16">
                  <c:v>1</c:v>
                </c:pt>
                <c:pt idx="17">
                  <c:v>2</c:v>
                </c:pt>
                <c:pt idx="18">
                  <c:v>1</c:v>
                </c:pt>
                <c:pt idx="19">
                  <c:v>3</c:v>
                </c:pt>
                <c:pt idx="20">
                  <c:v>4</c:v>
                </c:pt>
                <c:pt idx="21">
                  <c:v>5</c:v>
                </c:pt>
                <c:pt idx="22">
                  <c:v>5</c:v>
                </c:pt>
                <c:pt idx="23">
                  <c:v>2</c:v>
                </c:pt>
                <c:pt idx="24">
                  <c:v>2</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8</c:v>
                </c:pt>
                <c:pt idx="1">
                  <c:v>7</c:v>
                </c:pt>
                <c:pt idx="2">
                  <c:v>4</c:v>
                </c:pt>
                <c:pt idx="3">
                  <c:v>5</c:v>
                </c:pt>
                <c:pt idx="4">
                  <c:v>5</c:v>
                </c:pt>
                <c:pt idx="5">
                  <c:v>3</c:v>
                </c:pt>
                <c:pt idx="6">
                  <c:v>5</c:v>
                </c:pt>
                <c:pt idx="7">
                  <c:v>1</c:v>
                </c:pt>
                <c:pt idx="8">
                  <c:v>2</c:v>
                </c:pt>
                <c:pt idx="9">
                  <c:v>8</c:v>
                </c:pt>
                <c:pt idx="10">
                  <c:v>5</c:v>
                </c:pt>
                <c:pt idx="11">
                  <c:v>7</c:v>
                </c:pt>
                <c:pt idx="12">
                  <c:v>6</c:v>
                </c:pt>
                <c:pt idx="13">
                  <c:v>6</c:v>
                </c:pt>
                <c:pt idx="14">
                  <c:v>5</c:v>
                </c:pt>
                <c:pt idx="15">
                  <c:v>5</c:v>
                </c:pt>
                <c:pt idx="16">
                  <c:v>9</c:v>
                </c:pt>
                <c:pt idx="17">
                  <c:v>8</c:v>
                </c:pt>
                <c:pt idx="18">
                  <c:v>9</c:v>
                </c:pt>
                <c:pt idx="19">
                  <c:v>6</c:v>
                </c:pt>
                <c:pt idx="20">
                  <c:v>6</c:v>
                </c:pt>
                <c:pt idx="21">
                  <c:v>5</c:v>
                </c:pt>
                <c:pt idx="22">
                  <c:v>5</c:v>
                </c:pt>
                <c:pt idx="23">
                  <c:v>8</c:v>
                </c:pt>
                <c:pt idx="24">
                  <c:v>8</c:v>
                </c:pt>
                <c:pt idx="25">
                  <c:v>9</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2.6833333333333336</c:v>
                </c:pt>
                <c:pt idx="1">
                  <c:v>2.6</c:v>
                </c:pt>
                <c:pt idx="2">
                  <c:v>2.2999999999999998</c:v>
                </c:pt>
                <c:pt idx="3">
                  <c:v>2.4</c:v>
                </c:pt>
                <c:pt idx="4">
                  <c:v>2.4</c:v>
                </c:pt>
                <c:pt idx="5">
                  <c:v>2.5249999999999999</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0.14155295443900387</c:v>
                  </c:pt>
                  <c:pt idx="1">
                    <c:v>0.18187696042587467</c:v>
                  </c:pt>
                  <c:pt idx="2">
                    <c:v>0.32502325696646456</c:v>
                  </c:pt>
                  <c:pt idx="3">
                    <c:v>0.20916488156506449</c:v>
                  </c:pt>
                  <c:pt idx="4">
                    <c:v>0.19599639845400518</c:v>
                  </c:pt>
                  <c:pt idx="5">
                    <c:v>0.25773091673520493</c:v>
                  </c:pt>
                </c:numCache>
              </c:numRef>
            </c:plus>
            <c:minus>
              <c:numRef>
                <c:f>Confidence_Intervals!$M$5:$M$10</c:f>
                <c:numCache>
                  <c:formatCode>General</c:formatCode>
                  <c:ptCount val="6"/>
                  <c:pt idx="0">
                    <c:v>0.14155295443900387</c:v>
                  </c:pt>
                  <c:pt idx="1">
                    <c:v>0.18187696042587467</c:v>
                  </c:pt>
                  <c:pt idx="2">
                    <c:v>0.32502325696646456</c:v>
                  </c:pt>
                  <c:pt idx="3">
                    <c:v>0.20916488156506449</c:v>
                  </c:pt>
                  <c:pt idx="4">
                    <c:v>0.19599639845400518</c:v>
                  </c:pt>
                  <c:pt idx="5">
                    <c:v>0.25773091673520493</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2.6833333333333336</c:v>
                </c:pt>
                <c:pt idx="1">
                  <c:v>2.6</c:v>
                </c:pt>
                <c:pt idx="2">
                  <c:v>2.2999999999999998</c:v>
                </c:pt>
                <c:pt idx="3">
                  <c:v>2.4</c:v>
                </c:pt>
                <c:pt idx="4">
                  <c:v>2.4</c:v>
                </c:pt>
                <c:pt idx="5">
                  <c:v>2.5249999999999999</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A13" sqref="AA13"/>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5</v>
      </c>
      <c r="B4" s="52">
        <v>6</v>
      </c>
      <c r="C4" s="52">
        <v>1</v>
      </c>
      <c r="D4" s="52">
        <v>1</v>
      </c>
      <c r="E4" s="52">
        <v>1</v>
      </c>
      <c r="F4" s="52">
        <v>6</v>
      </c>
      <c r="G4" s="52">
        <v>6</v>
      </c>
      <c r="H4" s="52">
        <v>5</v>
      </c>
      <c r="I4" s="52">
        <v>2</v>
      </c>
      <c r="J4" s="52">
        <v>1</v>
      </c>
      <c r="K4" s="52">
        <v>6</v>
      </c>
      <c r="L4" s="52">
        <v>1</v>
      </c>
      <c r="M4" s="52">
        <v>6</v>
      </c>
      <c r="N4" s="52">
        <v>6</v>
      </c>
      <c r="O4" s="52">
        <v>4</v>
      </c>
      <c r="P4" s="52">
        <v>6</v>
      </c>
      <c r="Q4" s="52">
        <v>1</v>
      </c>
      <c r="R4" s="52">
        <v>1</v>
      </c>
      <c r="S4" s="52">
        <v>1</v>
      </c>
      <c r="T4" s="52">
        <v>7</v>
      </c>
      <c r="U4" s="52">
        <v>1</v>
      </c>
      <c r="V4" s="52">
        <v>6</v>
      </c>
      <c r="W4" s="52">
        <v>1</v>
      </c>
      <c r="X4" s="52">
        <v>1</v>
      </c>
      <c r="Y4" s="52">
        <v>1</v>
      </c>
      <c r="Z4" s="52">
        <v>6</v>
      </c>
    </row>
    <row r="5" spans="1:27">
      <c r="A5" s="47">
        <v>7</v>
      </c>
      <c r="B5" s="47">
        <v>7</v>
      </c>
      <c r="C5" s="47">
        <v>2</v>
      </c>
      <c r="D5" s="47">
        <v>2</v>
      </c>
      <c r="E5" s="47">
        <v>2</v>
      </c>
      <c r="F5" s="47">
        <v>6</v>
      </c>
      <c r="G5" s="47">
        <v>6</v>
      </c>
      <c r="H5" s="47">
        <v>6</v>
      </c>
      <c r="I5" s="47">
        <v>2</v>
      </c>
      <c r="J5" s="47">
        <v>2</v>
      </c>
      <c r="K5" s="47">
        <v>7</v>
      </c>
      <c r="L5" s="47">
        <v>2</v>
      </c>
      <c r="M5" s="47">
        <v>7</v>
      </c>
      <c r="N5" s="47">
        <v>7</v>
      </c>
      <c r="O5" s="47">
        <v>6</v>
      </c>
      <c r="P5" s="47">
        <v>7</v>
      </c>
      <c r="Q5" s="47">
        <v>2</v>
      </c>
      <c r="R5" s="47">
        <v>2</v>
      </c>
      <c r="S5" s="47">
        <v>1</v>
      </c>
      <c r="T5" s="47">
        <v>7</v>
      </c>
      <c r="U5" s="47">
        <v>2</v>
      </c>
      <c r="V5" s="47">
        <v>7</v>
      </c>
      <c r="W5" s="47">
        <v>2</v>
      </c>
      <c r="X5" s="47">
        <v>2</v>
      </c>
      <c r="Y5" s="47">
        <v>2</v>
      </c>
      <c r="Z5" s="47">
        <v>7</v>
      </c>
    </row>
    <row r="6" spans="1:27">
      <c r="A6" s="47">
        <v>7</v>
      </c>
      <c r="B6" s="47">
        <v>7</v>
      </c>
      <c r="C6" s="47">
        <v>1</v>
      </c>
      <c r="D6" s="47">
        <v>2</v>
      </c>
      <c r="E6" s="47">
        <v>2</v>
      </c>
      <c r="F6" s="47">
        <v>6</v>
      </c>
      <c r="G6" s="47">
        <v>5</v>
      </c>
      <c r="H6" s="47">
        <v>5</v>
      </c>
      <c r="I6" s="47">
        <v>2</v>
      </c>
      <c r="J6" s="47">
        <v>1</v>
      </c>
      <c r="K6" s="47">
        <v>7</v>
      </c>
      <c r="L6" s="47">
        <v>2</v>
      </c>
      <c r="M6" s="47">
        <v>6</v>
      </c>
      <c r="N6" s="47">
        <v>6</v>
      </c>
      <c r="O6" s="47">
        <v>6</v>
      </c>
      <c r="P6" s="47">
        <v>6</v>
      </c>
      <c r="Q6" s="47">
        <v>1</v>
      </c>
      <c r="R6" s="47">
        <v>1</v>
      </c>
      <c r="S6" s="47">
        <v>1</v>
      </c>
      <c r="T6" s="47">
        <v>7</v>
      </c>
      <c r="U6" s="47">
        <v>1</v>
      </c>
      <c r="V6" s="47">
        <v>7</v>
      </c>
      <c r="W6" s="47">
        <v>1</v>
      </c>
      <c r="X6" s="47">
        <v>1</v>
      </c>
      <c r="Y6" s="47">
        <v>1</v>
      </c>
      <c r="Z6" s="47">
        <v>7</v>
      </c>
    </row>
    <row r="7" spans="1:27">
      <c r="A7" s="47">
        <v>7</v>
      </c>
      <c r="B7" s="47">
        <v>7</v>
      </c>
      <c r="C7" s="47">
        <v>2</v>
      </c>
      <c r="D7" s="47">
        <v>1</v>
      </c>
      <c r="E7" s="47">
        <v>1</v>
      </c>
      <c r="F7" s="47">
        <v>7</v>
      </c>
      <c r="G7" s="47">
        <v>7</v>
      </c>
      <c r="H7" s="47">
        <v>6</v>
      </c>
      <c r="I7" s="47">
        <v>3</v>
      </c>
      <c r="J7" s="47">
        <v>1</v>
      </c>
      <c r="K7" s="47">
        <v>7</v>
      </c>
      <c r="L7" s="47">
        <v>1</v>
      </c>
      <c r="M7" s="47">
        <v>7</v>
      </c>
      <c r="N7" s="47">
        <v>7</v>
      </c>
      <c r="O7" s="47">
        <v>7</v>
      </c>
      <c r="P7" s="47">
        <v>7</v>
      </c>
      <c r="Q7" s="47">
        <v>1</v>
      </c>
      <c r="R7" s="47">
        <v>2</v>
      </c>
      <c r="S7" s="47">
        <v>1</v>
      </c>
      <c r="T7" s="47">
        <v>6</v>
      </c>
      <c r="U7" s="47">
        <v>1</v>
      </c>
      <c r="V7" s="47">
        <v>7</v>
      </c>
      <c r="W7" s="47">
        <v>2</v>
      </c>
      <c r="X7" s="47">
        <v>1</v>
      </c>
      <c r="Y7" s="47">
        <v>1</v>
      </c>
      <c r="Z7" s="47">
        <v>7</v>
      </c>
    </row>
    <row r="8" spans="1:27">
      <c r="A8" s="47">
        <v>7</v>
      </c>
      <c r="B8" s="47">
        <v>7</v>
      </c>
      <c r="C8" s="47">
        <v>1</v>
      </c>
      <c r="D8" s="47">
        <v>2</v>
      </c>
      <c r="E8" s="47">
        <v>3</v>
      </c>
      <c r="F8" s="47">
        <v>7</v>
      </c>
      <c r="G8" s="47">
        <v>7</v>
      </c>
      <c r="H8" s="47">
        <v>4</v>
      </c>
      <c r="I8" s="47">
        <v>6</v>
      </c>
      <c r="J8" s="47">
        <v>1</v>
      </c>
      <c r="K8" s="47">
        <v>7</v>
      </c>
      <c r="L8" s="47">
        <v>1</v>
      </c>
      <c r="M8" s="47">
        <v>6</v>
      </c>
      <c r="N8" s="47">
        <v>6</v>
      </c>
      <c r="O8" s="47">
        <v>7</v>
      </c>
      <c r="P8" s="47">
        <v>7</v>
      </c>
      <c r="Q8" s="47">
        <v>1</v>
      </c>
      <c r="R8" s="47">
        <v>1</v>
      </c>
      <c r="S8" s="47">
        <v>1</v>
      </c>
      <c r="T8" s="47">
        <v>5</v>
      </c>
      <c r="U8" s="47">
        <v>2</v>
      </c>
      <c r="V8" s="47">
        <v>6</v>
      </c>
      <c r="W8" s="47">
        <v>1</v>
      </c>
      <c r="X8" s="47">
        <v>1</v>
      </c>
      <c r="Y8" s="47">
        <v>1</v>
      </c>
      <c r="Z8" s="47">
        <v>7</v>
      </c>
    </row>
    <row r="9" spans="1:27">
      <c r="A9" s="47">
        <v>7</v>
      </c>
      <c r="B9" s="47">
        <v>7</v>
      </c>
      <c r="C9" s="47">
        <v>2</v>
      </c>
      <c r="D9" s="47">
        <v>1</v>
      </c>
      <c r="E9" s="47">
        <v>1</v>
      </c>
      <c r="F9" s="47">
        <v>6</v>
      </c>
      <c r="G9" s="47">
        <v>7</v>
      </c>
      <c r="H9" s="47">
        <v>6</v>
      </c>
      <c r="I9" s="47">
        <v>2</v>
      </c>
      <c r="J9" s="47">
        <v>1</v>
      </c>
      <c r="K9" s="47">
        <v>7</v>
      </c>
      <c r="L9" s="47">
        <v>1</v>
      </c>
      <c r="M9" s="47">
        <v>7</v>
      </c>
      <c r="N9" s="47">
        <v>7</v>
      </c>
      <c r="O9" s="47">
        <v>7</v>
      </c>
      <c r="P9" s="47">
        <v>6</v>
      </c>
      <c r="Q9" s="47">
        <v>1</v>
      </c>
      <c r="R9" s="47">
        <v>1</v>
      </c>
      <c r="S9" s="47">
        <v>1</v>
      </c>
      <c r="T9" s="47">
        <v>6</v>
      </c>
      <c r="U9" s="47">
        <v>1</v>
      </c>
      <c r="V9" s="47">
        <v>7</v>
      </c>
      <c r="W9" s="47">
        <v>2</v>
      </c>
      <c r="X9" s="47">
        <v>1</v>
      </c>
      <c r="Y9" s="47">
        <v>2</v>
      </c>
      <c r="Z9" s="47">
        <v>7</v>
      </c>
    </row>
    <row r="10" spans="1:27">
      <c r="A10" s="47">
        <v>7</v>
      </c>
      <c r="B10" s="47">
        <v>7</v>
      </c>
      <c r="C10" s="47">
        <v>3</v>
      </c>
      <c r="D10" s="47">
        <v>2</v>
      </c>
      <c r="E10" s="47">
        <v>2</v>
      </c>
      <c r="F10" s="47">
        <v>7</v>
      </c>
      <c r="G10" s="47">
        <v>7</v>
      </c>
      <c r="H10" s="47">
        <v>5</v>
      </c>
      <c r="I10" s="47">
        <v>2</v>
      </c>
      <c r="J10" s="47">
        <v>4</v>
      </c>
      <c r="K10" s="47">
        <v>6</v>
      </c>
      <c r="L10" s="47">
        <v>2</v>
      </c>
      <c r="M10" s="47">
        <v>7</v>
      </c>
      <c r="N10" s="47">
        <v>6</v>
      </c>
      <c r="O10" s="47">
        <v>7</v>
      </c>
      <c r="P10" s="47">
        <v>6</v>
      </c>
      <c r="Q10" s="47">
        <v>1</v>
      </c>
      <c r="R10" s="47">
        <v>1</v>
      </c>
      <c r="S10" s="47">
        <v>2</v>
      </c>
      <c r="T10" s="47">
        <v>6</v>
      </c>
      <c r="U10" s="47">
        <v>2</v>
      </c>
      <c r="V10" s="47">
        <v>7</v>
      </c>
      <c r="W10" s="47">
        <v>2</v>
      </c>
      <c r="X10" s="47">
        <v>1</v>
      </c>
      <c r="Y10" s="47">
        <v>1</v>
      </c>
      <c r="Z10" s="47">
        <v>7</v>
      </c>
    </row>
    <row r="11" spans="1:27">
      <c r="A11" s="47">
        <v>7</v>
      </c>
      <c r="B11" s="47">
        <v>6</v>
      </c>
      <c r="C11" s="47">
        <v>1</v>
      </c>
      <c r="D11" s="47">
        <v>2</v>
      </c>
      <c r="E11" s="47">
        <v>1</v>
      </c>
      <c r="F11" s="47">
        <v>5</v>
      </c>
      <c r="G11" s="47">
        <v>7</v>
      </c>
      <c r="H11" s="47">
        <v>7</v>
      </c>
      <c r="I11" s="47">
        <v>1</v>
      </c>
      <c r="J11" s="47">
        <v>1</v>
      </c>
      <c r="K11" s="47">
        <v>6</v>
      </c>
      <c r="L11" s="47">
        <v>1</v>
      </c>
      <c r="M11" s="47">
        <v>6</v>
      </c>
      <c r="N11" s="47">
        <v>7</v>
      </c>
      <c r="O11" s="47">
        <v>7</v>
      </c>
      <c r="P11" s="47">
        <v>6</v>
      </c>
      <c r="Q11" s="47">
        <v>1</v>
      </c>
      <c r="R11" s="47">
        <v>1</v>
      </c>
      <c r="S11" s="47">
        <v>1</v>
      </c>
      <c r="T11" s="47">
        <v>7</v>
      </c>
      <c r="U11" s="47">
        <v>1</v>
      </c>
      <c r="V11" s="47">
        <v>6</v>
      </c>
      <c r="W11" s="47">
        <v>1</v>
      </c>
      <c r="X11" s="47">
        <v>2</v>
      </c>
      <c r="Y11" s="47">
        <v>1</v>
      </c>
      <c r="Z11" s="47">
        <v>7</v>
      </c>
    </row>
    <row r="12" spans="1:27">
      <c r="A12" s="47">
        <v>6</v>
      </c>
      <c r="B12" s="47">
        <v>6</v>
      </c>
      <c r="C12" s="47">
        <v>2</v>
      </c>
      <c r="D12" s="47">
        <v>1</v>
      </c>
      <c r="E12" s="47">
        <v>2</v>
      </c>
      <c r="F12" s="47">
        <v>5</v>
      </c>
      <c r="G12" s="47">
        <v>6</v>
      </c>
      <c r="H12" s="47">
        <v>4</v>
      </c>
      <c r="I12" s="47">
        <v>2</v>
      </c>
      <c r="J12" s="47">
        <v>1</v>
      </c>
      <c r="K12" s="47">
        <v>5</v>
      </c>
      <c r="L12" s="47">
        <v>1</v>
      </c>
      <c r="M12" s="47">
        <v>7</v>
      </c>
      <c r="N12" s="47">
        <v>7</v>
      </c>
      <c r="O12" s="47">
        <v>6</v>
      </c>
      <c r="P12" s="47">
        <v>7</v>
      </c>
      <c r="Q12" s="47">
        <v>1</v>
      </c>
      <c r="R12" s="47">
        <v>1</v>
      </c>
      <c r="S12" s="47">
        <v>1</v>
      </c>
      <c r="T12" s="47">
        <v>7</v>
      </c>
      <c r="U12" s="47">
        <v>2</v>
      </c>
      <c r="V12" s="47">
        <v>6</v>
      </c>
      <c r="W12" s="47">
        <v>2</v>
      </c>
      <c r="X12" s="47">
        <v>1</v>
      </c>
      <c r="Y12" s="47">
        <v>1</v>
      </c>
      <c r="Z12" s="47">
        <v>7</v>
      </c>
    </row>
    <row r="13" spans="1:27">
      <c r="A13" s="47">
        <v>7</v>
      </c>
      <c r="B13" s="47">
        <v>7</v>
      </c>
      <c r="C13" s="47">
        <v>2</v>
      </c>
      <c r="D13" s="47">
        <v>1</v>
      </c>
      <c r="E13" s="47">
        <v>1</v>
      </c>
      <c r="F13" s="47">
        <v>6</v>
      </c>
      <c r="G13" s="47">
        <v>5</v>
      </c>
      <c r="H13" s="47">
        <v>6</v>
      </c>
      <c r="I13" s="47">
        <v>1</v>
      </c>
      <c r="J13" s="47">
        <v>1</v>
      </c>
      <c r="K13" s="47">
        <v>6</v>
      </c>
      <c r="L13" s="47">
        <v>1</v>
      </c>
      <c r="M13" s="47">
        <v>7</v>
      </c>
      <c r="N13" s="47">
        <v>7</v>
      </c>
      <c r="O13" s="47">
        <v>6</v>
      </c>
      <c r="P13" s="47">
        <v>7</v>
      </c>
      <c r="Q13" s="47">
        <v>1</v>
      </c>
      <c r="R13" s="47">
        <v>1</v>
      </c>
      <c r="S13" s="47">
        <v>1</v>
      </c>
      <c r="T13" s="47">
        <v>7</v>
      </c>
      <c r="U13" s="47">
        <v>1</v>
      </c>
      <c r="V13" s="47">
        <v>6</v>
      </c>
      <c r="W13" s="47">
        <v>1</v>
      </c>
      <c r="X13" s="47">
        <v>1</v>
      </c>
      <c r="Y13" s="47">
        <v>1</v>
      </c>
      <c r="Z13" s="47">
        <v>7</v>
      </c>
    </row>
    <row r="14" spans="1:27">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7">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7">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54">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5">
        <f t="shared" ref="AC4:AC68" si="0">IF(COUNT(A4,L4,N4,P4,X4,Y4)&gt;0,AVERAGE(A4,L4,N4,P4,X4,Y4),"")</f>
        <v>2.3333333333333335</v>
      </c>
      <c r="AD4" s="55">
        <f>IF(COUNT(B4,D4,M4,U4)&gt;0,AVERAGE(B4,D4,M4,U4),"")</f>
        <v>2.5</v>
      </c>
      <c r="AE4" s="55">
        <f>IF(COUNT(I4,T4,V4,W4)&gt;0,AVERAGE(I4,T4,V4,W4),"")</f>
        <v>2.5</v>
      </c>
      <c r="AF4" s="55">
        <f>IF(COUNT(H4,K4,Q4,S4)&gt;0,AVERAGE(H4,K4,Q4,S4),"")</f>
        <v>2.25</v>
      </c>
      <c r="AG4" s="55">
        <f>IF(COUNT(E4,F4,G4,R4)&gt;0,AVERAGE(E4,F4,G4,R4),"")</f>
        <v>2.5</v>
      </c>
      <c r="AH4" s="55">
        <f>IF(COUNT(C4,J4,O4,Z4)&gt;0,AVERAGE(C4,J4,O4,Z4),"")</f>
        <v>2</v>
      </c>
    </row>
    <row r="5" spans="1:34">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6">
        <f t="shared" si="0"/>
        <v>2.5</v>
      </c>
      <c r="AD5" s="6">
        <f t="shared" ref="AD5:AD68" si="1">IF(COUNT(B5,D5,M5,U5)&gt;0,AVERAGE(B5,D5,M5,U5),"")</f>
        <v>2.5</v>
      </c>
      <c r="AE5" s="6">
        <f t="shared" ref="AE5:AE68" si="2">IF(COUNT(I5,T5,V5,W5)&gt;0,AVERAGE(I5,T5,V5,W5),"")</f>
        <v>2.5</v>
      </c>
      <c r="AF5" s="6">
        <f t="shared" ref="AF5:AF68" si="3">IF(COUNT(H5,K5,Q5,S5)&gt;0,AVERAGE(H5,K5,Q5,S5),"")</f>
        <v>2.5</v>
      </c>
      <c r="AG5" s="6">
        <f t="shared" ref="AG5:AG68" si="4">IF(COUNT(E5,F5,G5,R5)&gt;0,AVERAGE(E5,F5,G5,R5),"")</f>
        <v>2</v>
      </c>
      <c r="AH5" s="6">
        <f t="shared" ref="AH5:AH68" si="5">IF(COUNT(C5,J5,O5,Z5)&gt;0,AVERAGE(C5,J5,O5,Z5),"")</f>
        <v>2.25</v>
      </c>
    </row>
    <row r="6" spans="1:34">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6">
        <f t="shared" si="0"/>
        <v>2.5</v>
      </c>
      <c r="AD6" s="6">
        <f t="shared" si="1"/>
        <v>2.5</v>
      </c>
      <c r="AE6" s="6">
        <f t="shared" si="2"/>
        <v>2.75</v>
      </c>
      <c r="AF6" s="6">
        <f t="shared" si="3"/>
        <v>2.5</v>
      </c>
      <c r="AG6" s="6">
        <f t="shared" si="4"/>
        <v>2</v>
      </c>
      <c r="AH6" s="6">
        <f t="shared" si="5"/>
        <v>2.75</v>
      </c>
    </row>
    <row r="7" spans="1:34">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6">
        <f t="shared" si="0"/>
        <v>3</v>
      </c>
      <c r="AD7" s="6">
        <f t="shared" si="1"/>
        <v>3</v>
      </c>
      <c r="AE7" s="6">
        <f t="shared" si="2"/>
        <v>2</v>
      </c>
      <c r="AF7" s="6">
        <f t="shared" si="3"/>
        <v>2.75</v>
      </c>
      <c r="AG7" s="6">
        <f t="shared" si="4"/>
        <v>2.75</v>
      </c>
      <c r="AH7" s="6">
        <f t="shared" si="5"/>
        <v>2.75</v>
      </c>
    </row>
    <row r="8" spans="1:34">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6">
        <f t="shared" si="0"/>
        <v>2.8333333333333335</v>
      </c>
      <c r="AD8" s="6">
        <f t="shared" si="1"/>
        <v>2.25</v>
      </c>
      <c r="AE8" s="6">
        <f t="shared" si="2"/>
        <v>1</v>
      </c>
      <c r="AF8" s="6">
        <f t="shared" si="3"/>
        <v>2.25</v>
      </c>
      <c r="AG8" s="6">
        <f t="shared" si="4"/>
        <v>2.5</v>
      </c>
      <c r="AH8" s="6">
        <f t="shared" si="5"/>
        <v>3</v>
      </c>
    </row>
    <row r="9" spans="1:34">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6">
        <f t="shared" si="0"/>
        <v>2.6666666666666665</v>
      </c>
      <c r="AD9" s="6">
        <f t="shared" si="1"/>
        <v>3</v>
      </c>
      <c r="AE9" s="6">
        <f t="shared" si="2"/>
        <v>2.25</v>
      </c>
      <c r="AF9" s="6">
        <f t="shared" si="3"/>
        <v>2.75</v>
      </c>
      <c r="AG9" s="6">
        <f t="shared" si="4"/>
        <v>2.75</v>
      </c>
      <c r="AH9" s="6">
        <f t="shared" si="5"/>
        <v>2.75</v>
      </c>
    </row>
    <row r="10" spans="1:34">
      <c r="A10" s="1">
        <f>IF(Data!A10&gt;0,Data!A10-4,"")</f>
        <v>3</v>
      </c>
      <c r="B10" s="1">
        <f>IF(Data!B10&gt;0,Data!B10-4,"")</f>
        <v>3</v>
      </c>
      <c r="C10" s="1">
        <f>IF(Data!C10&gt;0,4-Data!C10,"")</f>
        <v>1</v>
      </c>
      <c r="D10" s="1">
        <f>IF(Data!D10&gt;0,4-Data!D10,"")</f>
        <v>2</v>
      </c>
      <c r="E10" s="1">
        <f>IF(Data!E10&gt;0,4-Data!E10,"")</f>
        <v>2</v>
      </c>
      <c r="F10" s="1">
        <f>IF(Data!F10&gt;0,Data!F10-4,"")</f>
        <v>3</v>
      </c>
      <c r="G10" s="1">
        <f>IF(Data!G10&gt;0,Data!G10-4,"")</f>
        <v>3</v>
      </c>
      <c r="H10" s="1">
        <f>IF(Data!H10&gt;0,Data!H10-4,"")</f>
        <v>1</v>
      </c>
      <c r="I10" s="1">
        <f>IF(Data!I10&gt;0,4-Data!I10,"")</f>
        <v>2</v>
      </c>
      <c r="J10" s="1">
        <f>IF(Data!J10&gt;0,4-Data!J10,"")</f>
        <v>0</v>
      </c>
      <c r="K10" s="1">
        <f>IF(Data!K10&gt;0,Data!K10-4,"")</f>
        <v>2</v>
      </c>
      <c r="L10" s="1">
        <f>IF(Data!L10&gt;0,4-Data!L10,"")</f>
        <v>2</v>
      </c>
      <c r="M10" s="1">
        <f>IF(Data!M10&gt;0,Data!M10-4,"")</f>
        <v>3</v>
      </c>
      <c r="N10" s="1">
        <f>IF(Data!N10&gt;0,Data!N10-4,"")</f>
        <v>2</v>
      </c>
      <c r="O10" s="1">
        <f>IF(Data!O10&gt;0,Data!O10-4,"")</f>
        <v>3</v>
      </c>
      <c r="P10" s="1">
        <f>IF(Data!P10&gt;0,Data!P10-4,"")</f>
        <v>2</v>
      </c>
      <c r="Q10" s="1">
        <f>IF(Data!Q10&gt;0,4-Data!Q10,"")</f>
        <v>3</v>
      </c>
      <c r="R10" s="1">
        <f>IF(Data!R10&gt;0,4-Data!R10,"")</f>
        <v>3</v>
      </c>
      <c r="S10" s="1">
        <f>IF(Data!S10&gt;0,4-Data!S10,"")</f>
        <v>2</v>
      </c>
      <c r="T10" s="1">
        <f>IF(Data!T10&gt;0,Data!T10-4,"")</f>
        <v>2</v>
      </c>
      <c r="U10" s="1">
        <f>IF(Data!U10&gt;0,4-Data!U10,"")</f>
        <v>2</v>
      </c>
      <c r="V10" s="1">
        <f>IF(Data!V10&gt;0,Data!V10-4,"")</f>
        <v>3</v>
      </c>
      <c r="W10" s="1">
        <f>IF(Data!W10&gt;0,4-Data!W10,"")</f>
        <v>2</v>
      </c>
      <c r="X10" s="1">
        <f>IF(Data!X10&gt;0,4-Data!X10,"")</f>
        <v>3</v>
      </c>
      <c r="Y10" s="1">
        <f>IF(Data!Y10&gt;0,4-Data!Y10,"")</f>
        <v>3</v>
      </c>
      <c r="Z10" s="1">
        <f>IF(Data!Z10&gt;0,Data!Z10-4,"")</f>
        <v>3</v>
      </c>
      <c r="AC10" s="6">
        <f t="shared" si="0"/>
        <v>2.5</v>
      </c>
      <c r="AD10" s="6">
        <f t="shared" si="1"/>
        <v>2.5</v>
      </c>
      <c r="AE10" s="6">
        <f t="shared" si="2"/>
        <v>2.25</v>
      </c>
      <c r="AF10" s="6">
        <f t="shared" si="3"/>
        <v>2</v>
      </c>
      <c r="AG10" s="6">
        <f t="shared" si="4"/>
        <v>2.75</v>
      </c>
      <c r="AH10" s="6">
        <f t="shared" si="5"/>
        <v>1.75</v>
      </c>
    </row>
    <row r="11" spans="1:34">
      <c r="A11" s="1">
        <f>IF(Data!A11&gt;0,Data!A11-4,"")</f>
        <v>3</v>
      </c>
      <c r="B11" s="1">
        <f>IF(Data!B11&gt;0,Data!B11-4,"")</f>
        <v>2</v>
      </c>
      <c r="C11" s="1">
        <f>IF(Data!C11&gt;0,4-Data!C11,"")</f>
        <v>3</v>
      </c>
      <c r="D11" s="1">
        <f>IF(Data!D11&gt;0,4-Data!D11,"")</f>
        <v>2</v>
      </c>
      <c r="E11" s="1">
        <f>IF(Data!E11&gt;0,4-Data!E11,"")</f>
        <v>3</v>
      </c>
      <c r="F11" s="1">
        <f>IF(Data!F11&gt;0,Data!F11-4,"")</f>
        <v>1</v>
      </c>
      <c r="G11" s="1">
        <f>IF(Data!G11&gt;0,Data!G11-4,"")</f>
        <v>3</v>
      </c>
      <c r="H11" s="1">
        <f>IF(Data!H11&gt;0,Data!H11-4,"")</f>
        <v>3</v>
      </c>
      <c r="I11" s="1">
        <f>IF(Data!I11&gt;0,4-Data!I11,"")</f>
        <v>3</v>
      </c>
      <c r="J11" s="1">
        <f>IF(Data!J11&gt;0,4-Data!J11,"")</f>
        <v>3</v>
      </c>
      <c r="K11" s="1">
        <f>IF(Data!K11&gt;0,Data!K11-4,"")</f>
        <v>2</v>
      </c>
      <c r="L11" s="1">
        <f>IF(Data!L11&gt;0,4-Data!L11,"")</f>
        <v>3</v>
      </c>
      <c r="M11" s="1">
        <f>IF(Data!M11&gt;0,Data!M11-4,"")</f>
        <v>2</v>
      </c>
      <c r="N11" s="1">
        <f>IF(Data!N11&gt;0,Data!N11-4,"")</f>
        <v>3</v>
      </c>
      <c r="O11" s="1">
        <f>IF(Data!O11&gt;0,Data!O11-4,"")</f>
        <v>3</v>
      </c>
      <c r="P11" s="1">
        <f>IF(Data!P11&gt;0,Data!P11-4,"")</f>
        <v>2</v>
      </c>
      <c r="Q11" s="1">
        <f>IF(Data!Q11&gt;0,4-Data!Q11,"")</f>
        <v>3</v>
      </c>
      <c r="R11" s="1">
        <f>IF(Data!R11&gt;0,4-Data!R11,"")</f>
        <v>3</v>
      </c>
      <c r="S11" s="1">
        <f>IF(Data!S11&gt;0,4-Data!S11,"")</f>
        <v>3</v>
      </c>
      <c r="T11" s="1">
        <f>IF(Data!T11&gt;0,Data!T11-4,"")</f>
        <v>3</v>
      </c>
      <c r="U11" s="1">
        <f>IF(Data!U11&gt;0,4-Data!U11,"")</f>
        <v>3</v>
      </c>
      <c r="V11" s="1">
        <f>IF(Data!V11&gt;0,Data!V11-4,"")</f>
        <v>2</v>
      </c>
      <c r="W11" s="1">
        <f>IF(Data!W11&gt;0,4-Data!W11,"")</f>
        <v>3</v>
      </c>
      <c r="X11" s="1">
        <f>IF(Data!X11&gt;0,4-Data!X11,"")</f>
        <v>2</v>
      </c>
      <c r="Y11" s="1">
        <f>IF(Data!Y11&gt;0,4-Data!Y11,"")</f>
        <v>3</v>
      </c>
      <c r="Z11" s="1">
        <f>IF(Data!Z11&gt;0,Data!Z11-4,"")</f>
        <v>3</v>
      </c>
      <c r="AC11" s="6">
        <f t="shared" si="0"/>
        <v>2.6666666666666665</v>
      </c>
      <c r="AD11" s="6">
        <f t="shared" si="1"/>
        <v>2.25</v>
      </c>
      <c r="AE11" s="6">
        <f t="shared" si="2"/>
        <v>2.75</v>
      </c>
      <c r="AF11" s="6">
        <f t="shared" si="3"/>
        <v>2.75</v>
      </c>
      <c r="AG11" s="6">
        <f t="shared" si="4"/>
        <v>2.5</v>
      </c>
      <c r="AH11" s="6">
        <f t="shared" si="5"/>
        <v>3</v>
      </c>
    </row>
    <row r="12" spans="1:34">
      <c r="A12" s="1">
        <f>IF(Data!A12&gt;0,Data!A12-4,"")</f>
        <v>2</v>
      </c>
      <c r="B12" s="1">
        <f>IF(Data!B12&gt;0,Data!B12-4,"")</f>
        <v>2</v>
      </c>
      <c r="C12" s="1">
        <f>IF(Data!C12&gt;0,4-Data!C12,"")</f>
        <v>2</v>
      </c>
      <c r="D12" s="1">
        <f>IF(Data!D12&gt;0,4-Data!D12,"")</f>
        <v>3</v>
      </c>
      <c r="E12" s="1">
        <f>IF(Data!E12&gt;0,4-Data!E12,"")</f>
        <v>2</v>
      </c>
      <c r="F12" s="1">
        <f>IF(Data!F12&gt;0,Data!F12-4,"")</f>
        <v>1</v>
      </c>
      <c r="G12" s="1">
        <f>IF(Data!G12&gt;0,Data!G12-4,"")</f>
        <v>2</v>
      </c>
      <c r="H12" s="1">
        <f>IF(Data!H12&gt;0,Data!H12-4,"")</f>
        <v>0</v>
      </c>
      <c r="I12" s="1">
        <f>IF(Data!I12&gt;0,4-Data!I12,"")</f>
        <v>2</v>
      </c>
      <c r="J12" s="1">
        <f>IF(Data!J12&gt;0,4-Data!J12,"")</f>
        <v>3</v>
      </c>
      <c r="K12" s="1">
        <f>IF(Data!K12&gt;0,Data!K12-4,"")</f>
        <v>1</v>
      </c>
      <c r="L12" s="1">
        <f>IF(Data!L12&gt;0,4-Data!L12,"")</f>
        <v>3</v>
      </c>
      <c r="M12" s="1">
        <f>IF(Data!M12&gt;0,Data!M12-4,"")</f>
        <v>3</v>
      </c>
      <c r="N12" s="1">
        <f>IF(Data!N12&gt;0,Data!N12-4,"")</f>
        <v>3</v>
      </c>
      <c r="O12" s="1">
        <f>IF(Data!O12&gt;0,Data!O12-4,"")</f>
        <v>2</v>
      </c>
      <c r="P12" s="1">
        <f>IF(Data!P12&gt;0,Data!P12-4,"")</f>
        <v>3</v>
      </c>
      <c r="Q12" s="1">
        <f>IF(Data!Q12&gt;0,4-Data!Q12,"")</f>
        <v>3</v>
      </c>
      <c r="R12" s="1">
        <f>IF(Data!R12&gt;0,4-Data!R12,"")</f>
        <v>3</v>
      </c>
      <c r="S12" s="1">
        <f>IF(Data!S12&gt;0,4-Data!S12,"")</f>
        <v>3</v>
      </c>
      <c r="T12" s="1">
        <f>IF(Data!T12&gt;0,Data!T12-4,"")</f>
        <v>3</v>
      </c>
      <c r="U12" s="1">
        <f>IF(Data!U12&gt;0,4-Data!U12,"")</f>
        <v>2</v>
      </c>
      <c r="V12" s="1">
        <f>IF(Data!V12&gt;0,Data!V12-4,"")</f>
        <v>2</v>
      </c>
      <c r="W12" s="1">
        <f>IF(Data!W12&gt;0,4-Data!W12,"")</f>
        <v>2</v>
      </c>
      <c r="X12" s="1">
        <f>IF(Data!X12&gt;0,4-Data!X12,"")</f>
        <v>3</v>
      </c>
      <c r="Y12" s="1">
        <f>IF(Data!Y12&gt;0,4-Data!Y12,"")</f>
        <v>3</v>
      </c>
      <c r="Z12" s="1">
        <f>IF(Data!Z12&gt;0,Data!Z12-4,"")</f>
        <v>3</v>
      </c>
      <c r="AC12" s="6">
        <f t="shared" si="0"/>
        <v>2.8333333333333335</v>
      </c>
      <c r="AD12" s="6">
        <f t="shared" si="1"/>
        <v>2.5</v>
      </c>
      <c r="AE12" s="6">
        <f t="shared" si="2"/>
        <v>2.25</v>
      </c>
      <c r="AF12" s="6">
        <f t="shared" si="3"/>
        <v>1.75</v>
      </c>
      <c r="AG12" s="6">
        <f t="shared" si="4"/>
        <v>2</v>
      </c>
      <c r="AH12" s="6">
        <f t="shared" si="5"/>
        <v>2.5</v>
      </c>
    </row>
    <row r="13" spans="1:34">
      <c r="A13" s="1">
        <f>IF(Data!A13&gt;0,Data!A13-4,"")</f>
        <v>3</v>
      </c>
      <c r="B13" s="1">
        <f>IF(Data!B13&gt;0,Data!B13-4,"")</f>
        <v>3</v>
      </c>
      <c r="C13" s="1">
        <f>IF(Data!C13&gt;0,4-Data!C13,"")</f>
        <v>2</v>
      </c>
      <c r="D13" s="1">
        <f>IF(Data!D13&gt;0,4-Data!D13,"")</f>
        <v>3</v>
      </c>
      <c r="E13" s="1">
        <f>IF(Data!E13&gt;0,4-Data!E13,"")</f>
        <v>3</v>
      </c>
      <c r="F13" s="1">
        <f>IF(Data!F13&gt;0,Data!F13-4,"")</f>
        <v>2</v>
      </c>
      <c r="G13" s="1">
        <f>IF(Data!G13&gt;0,Data!G13-4,"")</f>
        <v>1</v>
      </c>
      <c r="H13" s="1">
        <f>IF(Data!H13&gt;0,Data!H13-4,"")</f>
        <v>2</v>
      </c>
      <c r="I13" s="1">
        <f>IF(Data!I13&gt;0,4-Data!I13,"")</f>
        <v>3</v>
      </c>
      <c r="J13" s="1">
        <f>IF(Data!J13&gt;0,4-Data!J13,"")</f>
        <v>3</v>
      </c>
      <c r="K13" s="1">
        <f>IF(Data!K13&gt;0,Data!K13-4,"")</f>
        <v>2</v>
      </c>
      <c r="L13" s="1">
        <f>IF(Data!L13&gt;0,4-Data!L13,"")</f>
        <v>3</v>
      </c>
      <c r="M13" s="1">
        <f>IF(Data!M13&gt;0,Data!M13-4,"")</f>
        <v>3</v>
      </c>
      <c r="N13" s="1">
        <f>IF(Data!N13&gt;0,Data!N13-4,"")</f>
        <v>3</v>
      </c>
      <c r="O13" s="1">
        <f>IF(Data!O13&gt;0,Data!O13-4,"")</f>
        <v>2</v>
      </c>
      <c r="P13" s="1">
        <f>IF(Data!P13&gt;0,Data!P13-4,"")</f>
        <v>3</v>
      </c>
      <c r="Q13" s="1">
        <f>IF(Data!Q13&gt;0,4-Data!Q13,"")</f>
        <v>3</v>
      </c>
      <c r="R13" s="1">
        <f>IF(Data!R13&gt;0,4-Data!R13,"")</f>
        <v>3</v>
      </c>
      <c r="S13" s="1">
        <f>IF(Data!S13&gt;0,4-Data!S13,"")</f>
        <v>3</v>
      </c>
      <c r="T13" s="1">
        <f>IF(Data!T13&gt;0,Data!T13-4,"")</f>
        <v>3</v>
      </c>
      <c r="U13" s="1">
        <f>IF(Data!U13&gt;0,4-Data!U13,"")</f>
        <v>3</v>
      </c>
      <c r="V13" s="1">
        <f>IF(Data!V13&gt;0,Data!V13-4,"")</f>
        <v>2</v>
      </c>
      <c r="W13" s="1">
        <f>IF(Data!W13&gt;0,4-Data!W13,"")</f>
        <v>3</v>
      </c>
      <c r="X13" s="1">
        <f>IF(Data!X13&gt;0,4-Data!X13,"")</f>
        <v>3</v>
      </c>
      <c r="Y13" s="1">
        <f>IF(Data!Y13&gt;0,4-Data!Y13,"")</f>
        <v>3</v>
      </c>
      <c r="Z13" s="1">
        <f>IF(Data!Z13&gt;0,Data!Z13-4,"")</f>
        <v>3</v>
      </c>
      <c r="AC13" s="6">
        <f t="shared" si="0"/>
        <v>3</v>
      </c>
      <c r="AD13" s="6">
        <f t="shared" si="1"/>
        <v>3</v>
      </c>
      <c r="AE13" s="6">
        <f t="shared" si="2"/>
        <v>2.75</v>
      </c>
      <c r="AF13" s="6">
        <f t="shared" si="3"/>
        <v>2.5</v>
      </c>
      <c r="AG13" s="6">
        <f t="shared" si="4"/>
        <v>2.25</v>
      </c>
      <c r="AH13" s="6">
        <f t="shared" si="5"/>
        <v>2.5</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10" workbookViewId="0">
      <selection activeCell="I3" sqref="I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2.7</v>
      </c>
      <c r="C3" s="58">
        <f>VAR(DT!A4:A1004)</f>
        <v>0.45555555555555494</v>
      </c>
      <c r="D3" s="58">
        <f>SQRT(C3)</f>
        <v>0.6749485577105524</v>
      </c>
      <c r="E3" s="59">
        <f>COUNTA(Data!A4:A1004)</f>
        <v>10</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2.6833333333333336</v>
      </c>
      <c r="M3" s="6">
        <f>VAR(DT!AC4:AC1004)</f>
        <v>5.2160493827160488E-2</v>
      </c>
      <c r="R3" s="5"/>
    </row>
    <row r="4" spans="1:18">
      <c r="A4" s="2">
        <v>2</v>
      </c>
      <c r="B4" s="3">
        <f>AVERAGE(DT!B4:B1004)</f>
        <v>2.7</v>
      </c>
      <c r="C4" s="3">
        <f>VAR(DT!B4:B1004)</f>
        <v>0.2333333333333327</v>
      </c>
      <c r="D4" s="3">
        <f t="shared" ref="D4:D28" si="0">SQRT(C4)</f>
        <v>0.48304589153964728</v>
      </c>
      <c r="E4" s="4">
        <f>COUNTA(Data!B4:B1004)</f>
        <v>10</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2.6</v>
      </c>
      <c r="M4" s="6">
        <f>VAR(DT!AD4:AD1004)</f>
        <v>8.6111111111111749E-2</v>
      </c>
    </row>
    <row r="5" spans="1:18">
      <c r="A5" s="2">
        <v>3</v>
      </c>
      <c r="B5" s="3">
        <f>AVERAGE(DT!C4:C1004)</f>
        <v>2.2999999999999998</v>
      </c>
      <c r="C5" s="3">
        <f>VAR(DT!C4:C1004)</f>
        <v>0.45555555555555571</v>
      </c>
      <c r="D5" s="3">
        <f t="shared" si="0"/>
        <v>0.67494855771055307</v>
      </c>
      <c r="E5" s="4">
        <f>COUNTA(Data!C4:C1004)</f>
        <v>10</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2.2999999999999998</v>
      </c>
      <c r="M5" s="6">
        <f>VAR(DT!AE4:AE1004)</f>
        <v>0.27500000000000013</v>
      </c>
    </row>
    <row r="6" spans="1:18">
      <c r="A6" s="2">
        <v>4</v>
      </c>
      <c r="B6" s="3">
        <f>AVERAGE(DT!D4:D1004)</f>
        <v>2.5</v>
      </c>
      <c r="C6" s="3">
        <f>VAR(DT!D4:D1004)</f>
        <v>0.27777777777777779</v>
      </c>
      <c r="D6" s="3">
        <f t="shared" si="0"/>
        <v>0.52704627669472992</v>
      </c>
      <c r="E6" s="4">
        <f>COUNTA(Data!D4:D1004)</f>
        <v>10</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2.4</v>
      </c>
      <c r="M6" s="6">
        <f>VAR(DT!AF4:AF1004)</f>
        <v>0.11388888888888873</v>
      </c>
    </row>
    <row r="7" spans="1:18">
      <c r="A7" s="2">
        <v>5</v>
      </c>
      <c r="B7" s="3">
        <f>AVERAGE(DT!E4:E1004)</f>
        <v>2.4</v>
      </c>
      <c r="C7" s="3">
        <f>VAR(DT!E4:E1004)</f>
        <v>0.48888888888888871</v>
      </c>
      <c r="D7" s="3">
        <f t="shared" si="0"/>
        <v>0.69920589878010087</v>
      </c>
      <c r="E7" s="4">
        <f>COUNTA(Data!E4:E1004)</f>
        <v>10</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2.4</v>
      </c>
      <c r="M7" s="6">
        <f>VAR(DT!AG4:AG1004)</f>
        <v>9.9999999999999839E-2</v>
      </c>
    </row>
    <row r="8" spans="1:18">
      <c r="A8" s="2">
        <v>6</v>
      </c>
      <c r="B8" s="3">
        <f>AVERAGE(DT!F4:F1004)</f>
        <v>2.1</v>
      </c>
      <c r="C8" s="3">
        <f>VAR(DT!F4:F1004)</f>
        <v>0.54444444444444429</v>
      </c>
      <c r="D8" s="3">
        <f t="shared" si="0"/>
        <v>0.73786478737262173</v>
      </c>
      <c r="E8" s="4">
        <f>COUNTA(Data!F4:F1004)</f>
        <v>10</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2.5249999999999999</v>
      </c>
      <c r="M8" s="6">
        <f>VAR(DT!AH4:AH1004)</f>
        <v>0.1729166666666665</v>
      </c>
    </row>
    <row r="9" spans="1:18">
      <c r="A9" s="2">
        <v>7</v>
      </c>
      <c r="B9" s="3">
        <f>AVERAGE(DT!G4:G1004)</f>
        <v>2.2999999999999998</v>
      </c>
      <c r="C9" s="3">
        <f>VAR(DT!G4:G1004)</f>
        <v>0.67777777777777792</v>
      </c>
      <c r="D9" s="3">
        <f t="shared" si="0"/>
        <v>0.8232726023485647</v>
      </c>
      <c r="E9" s="4">
        <f>COUNTA(Data!G4:G1004)</f>
        <v>10</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1.4</v>
      </c>
      <c r="C10" s="3">
        <f>VAR(DT!H4:H1004)</f>
        <v>0.93333333333333313</v>
      </c>
      <c r="D10" s="3">
        <f t="shared" si="0"/>
        <v>0.96609178307929577</v>
      </c>
      <c r="E10" s="4">
        <f>COUNTA(Data!H4:H1004)</f>
        <v>10</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1.7</v>
      </c>
      <c r="C11" s="3">
        <f>VAR(DT!I4:I1004)</f>
        <v>2.0111111111111111</v>
      </c>
      <c r="D11" s="3">
        <f t="shared" si="0"/>
        <v>1.4181364924121764</v>
      </c>
      <c r="E11" s="4">
        <f>COUNTA(Data!I4:I1004)</f>
        <v>10</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2.6</v>
      </c>
      <c r="C12" s="3">
        <f>VAR(DT!J4:J1004)</f>
        <v>0.93333333333333401</v>
      </c>
      <c r="D12" s="3">
        <f t="shared" si="0"/>
        <v>0.96609178307929622</v>
      </c>
      <c r="E12" s="4">
        <f>COUNTA(Data!J4:J1004)</f>
        <v>10</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2.4</v>
      </c>
      <c r="C13" s="3">
        <f>VAR(DT!K4:K1004)</f>
        <v>0.48888888888888871</v>
      </c>
      <c r="D13" s="3">
        <f t="shared" si="0"/>
        <v>0.69920589878010087</v>
      </c>
      <c r="E13" s="4">
        <f>COUNTA(Data!K4:K1004)</f>
        <v>10</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2.7</v>
      </c>
      <c r="C14" s="3">
        <f>VAR(DT!L4:L1004)</f>
        <v>0.2333333333333327</v>
      </c>
      <c r="D14" s="3">
        <f t="shared" si="0"/>
        <v>0.48304589153964728</v>
      </c>
      <c r="E14" s="4">
        <f>COUNTA(Data!L4:L1004)</f>
        <v>10</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2.6</v>
      </c>
      <c r="C15" s="3">
        <f>VAR(DT!M4:M1004)</f>
        <v>0.26666666666666727</v>
      </c>
      <c r="D15" s="3">
        <f t="shared" si="0"/>
        <v>0.51639777949432286</v>
      </c>
      <c r="E15" s="4">
        <f>COUNTA(Data!M4:M1004)</f>
        <v>10</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2.6</v>
      </c>
      <c r="C16" s="3">
        <f>VAR(DT!N4:N1004)</f>
        <v>0.26666666666666727</v>
      </c>
      <c r="D16" s="3">
        <f t="shared" si="0"/>
        <v>0.51639777949432286</v>
      </c>
      <c r="E16" s="4">
        <f>COUNTA(Data!N4:N1004)</f>
        <v>10</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2.2999999999999998</v>
      </c>
      <c r="C17" s="3">
        <f>VAR(DT!O4:O1004)</f>
        <v>0.90000000000000013</v>
      </c>
      <c r="D17" s="3">
        <f t="shared" si="0"/>
        <v>0.94868329805051388</v>
      </c>
      <c r="E17" s="4">
        <f>COUNTA(Data!O4:O1004)</f>
        <v>10</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2.5</v>
      </c>
      <c r="C18" s="3">
        <f>VAR(DT!P4:P1004)</f>
        <v>0.27777777777777779</v>
      </c>
      <c r="D18" s="3">
        <f t="shared" si="0"/>
        <v>0.52704627669472992</v>
      </c>
      <c r="E18" s="4">
        <f>COUNTA(Data!P4:P1004)</f>
        <v>10</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2.9</v>
      </c>
      <c r="C19" s="3">
        <f>VAR(DT!Q4:Q1004)</f>
        <v>0.10000000000000063</v>
      </c>
      <c r="D19" s="3">
        <f t="shared" si="0"/>
        <v>0.31622776601683894</v>
      </c>
      <c r="E19" s="4">
        <f>COUNTA(Data!Q4:Q1004)</f>
        <v>10</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2.8</v>
      </c>
      <c r="C20" s="3">
        <f>VAR(DT!R4:R1004)</f>
        <v>0.17777777777777715</v>
      </c>
      <c r="D20" s="3">
        <f t="shared" si="0"/>
        <v>0.42163702135578318</v>
      </c>
      <c r="E20" s="4">
        <f>COUNTA(Data!R4:R1004)</f>
        <v>10</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2.9</v>
      </c>
      <c r="C21" s="3">
        <f>VAR(DT!S4:S1004)</f>
        <v>0.10000000000000063</v>
      </c>
      <c r="D21" s="3">
        <f t="shared" si="0"/>
        <v>0.31622776601683894</v>
      </c>
      <c r="E21" s="4">
        <f>COUNTA(Data!S4:S1004)</f>
        <v>10</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2.5</v>
      </c>
      <c r="C22" s="3">
        <f>VAR(DT!T4:T1004)</f>
        <v>0.5</v>
      </c>
      <c r="D22" s="3">
        <f t="shared" si="0"/>
        <v>0.70710678118654757</v>
      </c>
      <c r="E22" s="4">
        <f>COUNTA(Data!T4:T1004)</f>
        <v>10</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2.6</v>
      </c>
      <c r="C23" s="3">
        <f>VAR(DT!U4:U1004)</f>
        <v>0.26666666666666727</v>
      </c>
      <c r="D23" s="3">
        <f t="shared" si="0"/>
        <v>0.51639777949432286</v>
      </c>
      <c r="E23" s="4">
        <f>COUNTA(Data!U4:U1004)</f>
        <v>10</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2.5</v>
      </c>
      <c r="C24" s="3">
        <f>VAR(DT!V4:V1004)</f>
        <v>0.27777777777777779</v>
      </c>
      <c r="D24" s="3">
        <f t="shared" si="0"/>
        <v>0.52704627669472992</v>
      </c>
      <c r="E24" s="4">
        <f>COUNTA(Data!V4:V1004)</f>
        <v>10</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2.5</v>
      </c>
      <c r="C25" s="3">
        <f>VAR(DT!W4:W1004)</f>
        <v>0.27777777777777779</v>
      </c>
      <c r="D25" s="3">
        <f t="shared" si="0"/>
        <v>0.52704627669472992</v>
      </c>
      <c r="E25" s="4">
        <f>COUNTA(Data!W4:W1004)</f>
        <v>10</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2.8</v>
      </c>
      <c r="C26" s="3">
        <f>VAR(DT!X4:X1004)</f>
        <v>0.17777777777777715</v>
      </c>
      <c r="D26" s="3">
        <f t="shared" si="0"/>
        <v>0.42163702135578318</v>
      </c>
      <c r="E26" s="4">
        <f>COUNTA(Data!X4:X1004)</f>
        <v>10</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2.8</v>
      </c>
      <c r="C27" s="3">
        <f>VAR(DT!Y4:Y1004)</f>
        <v>0.17777777777777715</v>
      </c>
      <c r="D27" s="3">
        <f t="shared" si="0"/>
        <v>0.42163702135578318</v>
      </c>
      <c r="E27" s="4">
        <f>COUNTA(Data!Y4:Y1004)</f>
        <v>10</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2.9</v>
      </c>
      <c r="C28" s="3">
        <f>VAR(DT!Z4:Z1004)</f>
        <v>0.10000000000000063</v>
      </c>
      <c r="D28" s="3">
        <f t="shared" si="0"/>
        <v>0.31622776601683894</v>
      </c>
      <c r="E28" s="4">
        <f>COUNTA(Data!Z4:Z1004)</f>
        <v>10</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2.6833333333333336</v>
      </c>
    </row>
    <row r="41" spans="11:15">
      <c r="K41" s="1" t="str">
        <f>VLOOKUP(Read_First!B5,Items!A1:BI50,60,FALSE)</f>
        <v>Pragmatic Quality</v>
      </c>
      <c r="L41" s="36">
        <f>(L4+L5+L6)/3</f>
        <v>2.4333333333333336</v>
      </c>
    </row>
    <row r="42" spans="11:15">
      <c r="K42" s="1" t="str">
        <f>VLOOKUP(Read_First!B5,Items!A1:BI50,61,FALSE)</f>
        <v>Hedonic Quality</v>
      </c>
      <c r="L42" s="36">
        <f>(L7+L8)/2</f>
        <v>2.4624999999999999</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2.7</v>
      </c>
      <c r="C5" s="70">
        <f>Results!D3</f>
        <v>0.6749485577105524</v>
      </c>
      <c r="D5" s="59">
        <f>Results!E3</f>
        <v>10</v>
      </c>
      <c r="E5" s="70">
        <f t="shared" ref="E5:E24" si="0">CONFIDENCE(0.05, C5, D5)</f>
        <v>0.41832976313012898</v>
      </c>
      <c r="F5" s="70">
        <f t="shared" ref="F5:F24" si="1">B5-E5</f>
        <v>2.2816702368698714</v>
      </c>
      <c r="G5" s="70">
        <f t="shared" ref="G5:G24" si="2">B5+E5</f>
        <v>3.118329763130129</v>
      </c>
      <c r="I5" s="72" t="str">
        <f>VLOOKUP(Read_First!B5,Items!A1:BI50,54,FALSE)</f>
        <v>Attractiveness</v>
      </c>
      <c r="J5" s="70">
        <f>AVERAGE(DT!AC4:AC1004)</f>
        <v>2.6833333333333336</v>
      </c>
      <c r="K5" s="70">
        <f>STDEV(DT!AC4:AC1004)</f>
        <v>0.22838671990104961</v>
      </c>
      <c r="L5" s="59">
        <f>MAX(D5:D24)</f>
        <v>10</v>
      </c>
      <c r="M5" s="70">
        <f>CONFIDENCE(0.05, K5, L5)</f>
        <v>0.14155295443900387</v>
      </c>
      <c r="N5" s="70">
        <f t="shared" ref="N5:N10" si="3">J5-M5</f>
        <v>2.5417803788943298</v>
      </c>
      <c r="O5" s="70">
        <f t="shared" ref="O5:O10" si="4">J5+M5</f>
        <v>2.8248862877723373</v>
      </c>
    </row>
    <row r="6" spans="1:15">
      <c r="A6" s="12">
        <v>2</v>
      </c>
      <c r="B6" s="10">
        <f>Results!B4</f>
        <v>2.7</v>
      </c>
      <c r="C6" s="10">
        <f>Results!D4</f>
        <v>0.48304589153964728</v>
      </c>
      <c r="D6" s="4">
        <f>Results!E4</f>
        <v>10</v>
      </c>
      <c r="E6" s="10">
        <f t="shared" si="0"/>
        <v>0.29938944395140132</v>
      </c>
      <c r="F6" s="10">
        <f t="shared" si="1"/>
        <v>2.4006105560485986</v>
      </c>
      <c r="G6" s="10">
        <f t="shared" si="2"/>
        <v>2.9993894439514017</v>
      </c>
      <c r="I6" s="9" t="str">
        <f>VLOOKUP(Read_First!B5,Items!A1:BI50,55,FALSE)</f>
        <v>Perspicuity</v>
      </c>
      <c r="J6" s="10">
        <f>AVERAGE(DT!AD4:AD1004)</f>
        <v>2.6</v>
      </c>
      <c r="K6" s="10">
        <f>STDEV(DT!AD4:AD1004)</f>
        <v>0.29344694769431789</v>
      </c>
      <c r="L6" s="4">
        <f>L5</f>
        <v>10</v>
      </c>
      <c r="M6" s="10">
        <f t="shared" ref="M6:M10" si="5">CONFIDENCE(0.05, K6, L6)</f>
        <v>0.18187696042587467</v>
      </c>
      <c r="N6" s="10">
        <f t="shared" si="3"/>
        <v>2.4181230395741253</v>
      </c>
      <c r="O6" s="10">
        <f t="shared" si="4"/>
        <v>2.7818769604258748</v>
      </c>
    </row>
    <row r="7" spans="1:15">
      <c r="A7" s="12">
        <v>3</v>
      </c>
      <c r="B7" s="10">
        <f>Results!B5</f>
        <v>2.2999999999999998</v>
      </c>
      <c r="C7" s="10">
        <f>Results!D5</f>
        <v>0.67494855771055307</v>
      </c>
      <c r="D7" s="4">
        <f>Results!E5</f>
        <v>10</v>
      </c>
      <c r="E7" s="10">
        <f t="shared" si="0"/>
        <v>0.41832976313012937</v>
      </c>
      <c r="F7" s="10">
        <f t="shared" si="1"/>
        <v>1.8816702368698706</v>
      </c>
      <c r="G7" s="10">
        <f t="shared" si="2"/>
        <v>2.7183297631301291</v>
      </c>
      <c r="I7" s="9" t="str">
        <f>VLOOKUP(Read_First!B5,Items!A1:BI50,56,FALSE)</f>
        <v>Efficiency</v>
      </c>
      <c r="J7" s="10">
        <f>AVERAGE(DT!AE4:AE1004)</f>
        <v>2.2999999999999998</v>
      </c>
      <c r="K7" s="10">
        <f>STDEV(DT!AE4:AE1004)</f>
        <v>0.52440442408507593</v>
      </c>
      <c r="L7" s="4">
        <f>L6</f>
        <v>10</v>
      </c>
      <c r="M7" s="10">
        <f t="shared" si="5"/>
        <v>0.32502325696646456</v>
      </c>
      <c r="N7" s="10">
        <f t="shared" si="3"/>
        <v>1.9749767430335352</v>
      </c>
      <c r="O7" s="10">
        <f t="shared" si="4"/>
        <v>2.6250232569664642</v>
      </c>
    </row>
    <row r="8" spans="1:15">
      <c r="A8" s="12">
        <v>4</v>
      </c>
      <c r="B8" s="10">
        <f>Results!B6</f>
        <v>2.5</v>
      </c>
      <c r="C8" s="10">
        <f>Results!D6</f>
        <v>0.52704627669472992</v>
      </c>
      <c r="D8" s="4">
        <f>Results!E6</f>
        <v>10</v>
      </c>
      <c r="E8" s="10">
        <f t="shared" si="0"/>
        <v>0.32666066409000893</v>
      </c>
      <c r="F8" s="10">
        <f t="shared" si="1"/>
        <v>2.1733393359099908</v>
      </c>
      <c r="G8" s="10">
        <f t="shared" si="2"/>
        <v>2.8266606640900092</v>
      </c>
      <c r="I8" s="11" t="str">
        <f>VLOOKUP(Read_First!B5,Items!A1:BI50,57,FALSE)</f>
        <v>Dependability</v>
      </c>
      <c r="J8" s="10">
        <f>AVERAGE(DT!AF4:AF1004)</f>
        <v>2.4</v>
      </c>
      <c r="K8" s="10">
        <f>STDEV(DT!AF4:AF1004)</f>
        <v>0.3374742788552762</v>
      </c>
      <c r="L8" s="4">
        <f>L7</f>
        <v>10</v>
      </c>
      <c r="M8" s="10">
        <f t="shared" si="5"/>
        <v>0.20916488156506449</v>
      </c>
      <c r="N8" s="10">
        <f t="shared" si="3"/>
        <v>2.1908351184349355</v>
      </c>
      <c r="O8" s="10">
        <f t="shared" si="4"/>
        <v>2.6091648815650643</v>
      </c>
    </row>
    <row r="9" spans="1:15">
      <c r="A9" s="12">
        <v>5</v>
      </c>
      <c r="B9" s="10">
        <f>Results!B7</f>
        <v>2.4</v>
      </c>
      <c r="C9" s="10">
        <f>Results!D7</f>
        <v>0.69920589878010087</v>
      </c>
      <c r="D9" s="4">
        <f>Results!E7</f>
        <v>10</v>
      </c>
      <c r="E9" s="10">
        <f t="shared" si="0"/>
        <v>0.4333643426219525</v>
      </c>
      <c r="F9" s="10">
        <f t="shared" si="1"/>
        <v>1.9666356573780475</v>
      </c>
      <c r="G9" s="10">
        <f t="shared" si="2"/>
        <v>2.8333643426219526</v>
      </c>
      <c r="I9" s="11" t="str">
        <f>VLOOKUP(Read_First!B5,Items!A1:BI50,58,FALSE)</f>
        <v>Stimulation</v>
      </c>
      <c r="J9" s="10">
        <f>AVERAGE(DT!AG4:AG1004)</f>
        <v>2.4</v>
      </c>
      <c r="K9" s="10">
        <f>STDEV(DT!AG4:AG1004)</f>
        <v>0.31622776601683766</v>
      </c>
      <c r="L9" s="4">
        <f>L8</f>
        <v>10</v>
      </c>
      <c r="M9" s="10">
        <f t="shared" si="5"/>
        <v>0.19599639845400518</v>
      </c>
      <c r="N9" s="10">
        <f t="shared" si="3"/>
        <v>2.2040036015459945</v>
      </c>
      <c r="O9" s="10">
        <f t="shared" si="4"/>
        <v>2.5959963984540053</v>
      </c>
    </row>
    <row r="10" spans="1:15">
      <c r="A10" s="12">
        <v>6</v>
      </c>
      <c r="B10" s="10">
        <f>Results!B8</f>
        <v>2.1</v>
      </c>
      <c r="C10" s="10">
        <f>Results!D8</f>
        <v>0.73786478737262173</v>
      </c>
      <c r="D10" s="4">
        <f>Results!E8</f>
        <v>10</v>
      </c>
      <c r="E10" s="10">
        <f t="shared" si="0"/>
        <v>0.45732492972601241</v>
      </c>
      <c r="F10" s="10">
        <f t="shared" si="1"/>
        <v>1.6426750702739876</v>
      </c>
      <c r="G10" s="10">
        <f t="shared" si="2"/>
        <v>2.5573249297260126</v>
      </c>
      <c r="I10" s="9" t="str">
        <f>VLOOKUP(Read_First!B5,Items!A1:BI50,59,FALSE)</f>
        <v>Novelty</v>
      </c>
      <c r="J10" s="10">
        <f>AVERAGE(DT!AH4:AH1004)</f>
        <v>2.5249999999999999</v>
      </c>
      <c r="K10" s="10">
        <f>STDEV(DT!AH4:AH1004)</f>
        <v>0.41583249832915475</v>
      </c>
      <c r="L10" s="4">
        <f>L9</f>
        <v>10</v>
      </c>
      <c r="M10" s="10">
        <f t="shared" si="5"/>
        <v>0.25773091673520493</v>
      </c>
      <c r="N10" s="10">
        <f t="shared" si="3"/>
        <v>2.2672690832647948</v>
      </c>
      <c r="O10" s="10">
        <f t="shared" si="4"/>
        <v>2.782730916735205</v>
      </c>
    </row>
    <row r="11" spans="1:15">
      <c r="A11" s="12">
        <v>7</v>
      </c>
      <c r="B11" s="10">
        <f>Results!B9</f>
        <v>2.2999999999999998</v>
      </c>
      <c r="C11" s="10">
        <f>Results!D9</f>
        <v>0.8232726023485647</v>
      </c>
      <c r="D11" s="4">
        <f>Results!E9</f>
        <v>10</v>
      </c>
      <c r="E11" s="10">
        <f t="shared" si="0"/>
        <v>0.51026026916808898</v>
      </c>
      <c r="F11" s="10">
        <f t="shared" si="1"/>
        <v>1.789739730831911</v>
      </c>
      <c r="G11" s="10">
        <f t="shared" si="2"/>
        <v>2.8102602691680887</v>
      </c>
    </row>
    <row r="12" spans="1:15">
      <c r="A12" s="12">
        <v>8</v>
      </c>
      <c r="B12" s="10">
        <f>Results!B10</f>
        <v>1.4</v>
      </c>
      <c r="C12" s="10">
        <f>Results!D10</f>
        <v>0.96609178307929577</v>
      </c>
      <c r="D12" s="4">
        <f>Results!E10</f>
        <v>10</v>
      </c>
      <c r="E12" s="10">
        <f t="shared" si="0"/>
        <v>0.59877888790280343</v>
      </c>
      <c r="F12" s="10">
        <f t="shared" si="1"/>
        <v>0.80122111209719649</v>
      </c>
      <c r="G12" s="10">
        <f t="shared" si="2"/>
        <v>1.9987788879028034</v>
      </c>
    </row>
    <row r="13" spans="1:15">
      <c r="A13" s="12">
        <v>9</v>
      </c>
      <c r="B13" s="10">
        <f>Results!B11</f>
        <v>1.7</v>
      </c>
      <c r="C13" s="10">
        <f>Results!D11</f>
        <v>1.4181364924121764</v>
      </c>
      <c r="D13" s="4">
        <f>Results!E11</f>
        <v>10</v>
      </c>
      <c r="E13" s="10">
        <f t="shared" si="0"/>
        <v>0.87895395312688229</v>
      </c>
      <c r="F13" s="10">
        <f t="shared" si="1"/>
        <v>0.82104604687311766</v>
      </c>
      <c r="G13" s="10">
        <f t="shared" si="2"/>
        <v>2.5789539531268821</v>
      </c>
    </row>
    <row r="14" spans="1:15">
      <c r="A14" s="12">
        <v>10</v>
      </c>
      <c r="B14" s="10">
        <f>Results!B12</f>
        <v>2.6</v>
      </c>
      <c r="C14" s="10">
        <f>Results!D12</f>
        <v>0.96609178307929622</v>
      </c>
      <c r="D14" s="4">
        <f>Results!E12</f>
        <v>10</v>
      </c>
      <c r="E14" s="10">
        <f t="shared" si="0"/>
        <v>0.59877888790280376</v>
      </c>
      <c r="F14" s="10">
        <f t="shared" si="1"/>
        <v>2.0012211120971966</v>
      </c>
      <c r="G14" s="10">
        <f t="shared" si="2"/>
        <v>3.1987788879028036</v>
      </c>
    </row>
    <row r="15" spans="1:15">
      <c r="A15" s="12">
        <v>11</v>
      </c>
      <c r="B15" s="10">
        <f>Results!B13</f>
        <v>2.4</v>
      </c>
      <c r="C15" s="10">
        <f>Results!D13</f>
        <v>0.69920589878010087</v>
      </c>
      <c r="D15" s="4">
        <f>Results!E13</f>
        <v>10</v>
      </c>
      <c r="E15" s="10">
        <f t="shared" si="0"/>
        <v>0.4333643426219525</v>
      </c>
      <c r="F15" s="10">
        <f t="shared" si="1"/>
        <v>1.9666356573780475</v>
      </c>
      <c r="G15" s="10">
        <f t="shared" si="2"/>
        <v>2.8333643426219526</v>
      </c>
      <c r="J15" s="69"/>
    </row>
    <row r="16" spans="1:15">
      <c r="A16" s="12">
        <v>12</v>
      </c>
      <c r="B16" s="10">
        <f>Results!B14</f>
        <v>2.7</v>
      </c>
      <c r="C16" s="10">
        <f>Results!D14</f>
        <v>0.48304589153964728</v>
      </c>
      <c r="D16" s="4">
        <f>Results!E14</f>
        <v>10</v>
      </c>
      <c r="E16" s="10">
        <f t="shared" si="0"/>
        <v>0.29938944395140132</v>
      </c>
      <c r="F16" s="10">
        <f t="shared" si="1"/>
        <v>2.4006105560485986</v>
      </c>
      <c r="G16" s="10">
        <f t="shared" si="2"/>
        <v>2.9993894439514017</v>
      </c>
    </row>
    <row r="17" spans="1:7">
      <c r="A17" s="12">
        <v>13</v>
      </c>
      <c r="B17" s="10">
        <f>Results!B15</f>
        <v>2.6</v>
      </c>
      <c r="C17" s="10">
        <f>Results!D15</f>
        <v>0.51639777949432286</v>
      </c>
      <c r="D17" s="4">
        <f>Results!E15</f>
        <v>10</v>
      </c>
      <c r="E17" s="10">
        <f t="shared" si="0"/>
        <v>0.32006077842368758</v>
      </c>
      <c r="F17" s="10">
        <f t="shared" si="1"/>
        <v>2.2799392215763126</v>
      </c>
      <c r="G17" s="10">
        <f t="shared" si="2"/>
        <v>2.9200607784236876</v>
      </c>
    </row>
    <row r="18" spans="1:7">
      <c r="A18" s="12">
        <v>14</v>
      </c>
      <c r="B18" s="10">
        <f>Results!B16</f>
        <v>2.6</v>
      </c>
      <c r="C18" s="10">
        <f>Results!D16</f>
        <v>0.51639777949432286</v>
      </c>
      <c r="D18" s="4">
        <f>Results!E16</f>
        <v>10</v>
      </c>
      <c r="E18" s="10">
        <f t="shared" si="0"/>
        <v>0.32006077842368758</v>
      </c>
      <c r="F18" s="10">
        <f t="shared" si="1"/>
        <v>2.2799392215763126</v>
      </c>
      <c r="G18" s="10">
        <f t="shared" si="2"/>
        <v>2.9200607784236876</v>
      </c>
    </row>
    <row r="19" spans="1:7">
      <c r="A19" s="12">
        <v>15</v>
      </c>
      <c r="B19" s="10">
        <f>Results!B17</f>
        <v>2.2999999999999998</v>
      </c>
      <c r="C19" s="10">
        <f>Results!D17</f>
        <v>0.94868329805051388</v>
      </c>
      <c r="D19" s="4">
        <f>Results!E17</f>
        <v>10</v>
      </c>
      <c r="E19" s="10">
        <f t="shared" si="0"/>
        <v>0.5879891953620161</v>
      </c>
      <c r="F19" s="10">
        <f t="shared" si="1"/>
        <v>1.7120108046379836</v>
      </c>
      <c r="G19" s="10">
        <f t="shared" si="2"/>
        <v>2.887989195362016</v>
      </c>
    </row>
    <row r="20" spans="1:7">
      <c r="A20" s="12">
        <v>16</v>
      </c>
      <c r="B20" s="10">
        <f>Results!B18</f>
        <v>2.5</v>
      </c>
      <c r="C20" s="10">
        <f>Results!D18</f>
        <v>0.52704627669472992</v>
      </c>
      <c r="D20" s="4">
        <f>Results!E18</f>
        <v>10</v>
      </c>
      <c r="E20" s="10">
        <f t="shared" si="0"/>
        <v>0.32666066409000893</v>
      </c>
      <c r="F20" s="10">
        <f t="shared" si="1"/>
        <v>2.1733393359099908</v>
      </c>
      <c r="G20" s="10">
        <f t="shared" si="2"/>
        <v>2.8266606640900092</v>
      </c>
    </row>
    <row r="21" spans="1:7">
      <c r="A21" s="12">
        <v>17</v>
      </c>
      <c r="B21" s="10">
        <f>Results!B19</f>
        <v>2.9</v>
      </c>
      <c r="C21" s="10">
        <f>Results!D19</f>
        <v>0.31622776601683894</v>
      </c>
      <c r="D21" s="4">
        <f>Results!E19</f>
        <v>10</v>
      </c>
      <c r="E21" s="10">
        <f t="shared" si="0"/>
        <v>0.19599639845400596</v>
      </c>
      <c r="F21" s="10">
        <f t="shared" si="1"/>
        <v>2.7040036015459941</v>
      </c>
      <c r="G21" s="10">
        <f t="shared" si="2"/>
        <v>3.0959963984540058</v>
      </c>
    </row>
    <row r="22" spans="1:7">
      <c r="A22" s="12">
        <v>18</v>
      </c>
      <c r="B22" s="10">
        <f>Results!B20</f>
        <v>2.8</v>
      </c>
      <c r="C22" s="10">
        <f>Results!D20</f>
        <v>0.42163702135578318</v>
      </c>
      <c r="D22" s="4">
        <f>Results!E20</f>
        <v>10</v>
      </c>
      <c r="E22" s="10">
        <f t="shared" si="0"/>
        <v>0.26132853127200667</v>
      </c>
      <c r="F22" s="10">
        <f t="shared" si="1"/>
        <v>2.5386714687279932</v>
      </c>
      <c r="G22" s="10">
        <f t="shared" si="2"/>
        <v>3.0613285312720064</v>
      </c>
    </row>
    <row r="23" spans="1:7">
      <c r="A23" s="12">
        <v>19</v>
      </c>
      <c r="B23" s="10">
        <f>Results!B21</f>
        <v>2.9</v>
      </c>
      <c r="C23" s="10">
        <f>Results!D21</f>
        <v>0.31622776601683894</v>
      </c>
      <c r="D23" s="4">
        <f>Results!E21</f>
        <v>10</v>
      </c>
      <c r="E23" s="10">
        <f t="shared" si="0"/>
        <v>0.19599639845400596</v>
      </c>
      <c r="F23" s="10">
        <f t="shared" si="1"/>
        <v>2.7040036015459941</v>
      </c>
      <c r="G23" s="10">
        <f t="shared" si="2"/>
        <v>3.0959963984540058</v>
      </c>
    </row>
    <row r="24" spans="1:7">
      <c r="A24" s="12">
        <v>20</v>
      </c>
      <c r="B24" s="10">
        <f>Results!B22</f>
        <v>2.5</v>
      </c>
      <c r="C24" s="10">
        <f>Results!D22</f>
        <v>0.70710678118654757</v>
      </c>
      <c r="D24" s="4">
        <f>Results!E22</f>
        <v>10</v>
      </c>
      <c r="E24" s="10">
        <f t="shared" si="0"/>
        <v>0.43826127028829065</v>
      </c>
      <c r="F24" s="10">
        <f t="shared" si="1"/>
        <v>2.0617387297117094</v>
      </c>
      <c r="G24" s="10">
        <f t="shared" si="2"/>
        <v>2.9382612702882906</v>
      </c>
    </row>
    <row r="25" spans="1:7">
      <c r="A25" s="12">
        <v>21</v>
      </c>
      <c r="B25" s="10">
        <f>Results!B23</f>
        <v>2.6</v>
      </c>
      <c r="C25" s="10">
        <f>Results!D23</f>
        <v>0.51639777949432286</v>
      </c>
      <c r="D25" s="4">
        <f>Results!E23</f>
        <v>10</v>
      </c>
      <c r="E25" s="10">
        <f t="shared" ref="E25:E30" si="6">CONFIDENCE(0.05, C25, D25)</f>
        <v>0.32006077842368758</v>
      </c>
      <c r="F25" s="10">
        <f t="shared" ref="F25:F30" si="7">B25-E25</f>
        <v>2.2799392215763126</v>
      </c>
      <c r="G25" s="10">
        <f t="shared" ref="G25:G30" si="8">B25+E25</f>
        <v>2.9200607784236876</v>
      </c>
    </row>
    <row r="26" spans="1:7">
      <c r="A26" s="12">
        <v>22</v>
      </c>
      <c r="B26" s="10">
        <f>Results!B24</f>
        <v>2.5</v>
      </c>
      <c r="C26" s="10">
        <f>Results!D24</f>
        <v>0.52704627669472992</v>
      </c>
      <c r="D26" s="4">
        <f>Results!E24</f>
        <v>10</v>
      </c>
      <c r="E26" s="10">
        <f t="shared" si="6"/>
        <v>0.32666066409000893</v>
      </c>
      <c r="F26" s="10">
        <f t="shared" si="7"/>
        <v>2.1733393359099908</v>
      </c>
      <c r="G26" s="10">
        <f t="shared" si="8"/>
        <v>2.8266606640900092</v>
      </c>
    </row>
    <row r="27" spans="1:7">
      <c r="A27" s="12">
        <v>23</v>
      </c>
      <c r="B27" s="10">
        <f>Results!B25</f>
        <v>2.5</v>
      </c>
      <c r="C27" s="10">
        <f>Results!D25</f>
        <v>0.52704627669472992</v>
      </c>
      <c r="D27" s="4">
        <f>Results!E25</f>
        <v>10</v>
      </c>
      <c r="E27" s="10">
        <f t="shared" si="6"/>
        <v>0.32666066409000893</v>
      </c>
      <c r="F27" s="10">
        <f t="shared" si="7"/>
        <v>2.1733393359099908</v>
      </c>
      <c r="G27" s="10">
        <f t="shared" si="8"/>
        <v>2.8266606640900092</v>
      </c>
    </row>
    <row r="28" spans="1:7">
      <c r="A28" s="12">
        <v>24</v>
      </c>
      <c r="B28" s="10">
        <f>Results!B26</f>
        <v>2.8</v>
      </c>
      <c r="C28" s="10">
        <f>Results!D26</f>
        <v>0.42163702135578318</v>
      </c>
      <c r="D28" s="4">
        <f>Results!E26</f>
        <v>10</v>
      </c>
      <c r="E28" s="10">
        <f t="shared" si="6"/>
        <v>0.26132853127200667</v>
      </c>
      <c r="F28" s="10">
        <f t="shared" si="7"/>
        <v>2.5386714687279932</v>
      </c>
      <c r="G28" s="10">
        <f t="shared" si="8"/>
        <v>3.0613285312720064</v>
      </c>
    </row>
    <row r="29" spans="1:7">
      <c r="A29" s="12">
        <v>25</v>
      </c>
      <c r="B29" s="10">
        <f>Results!B27</f>
        <v>2.8</v>
      </c>
      <c r="C29" s="10">
        <f>Results!D27</f>
        <v>0.42163702135578318</v>
      </c>
      <c r="D29" s="4">
        <f>Results!E27</f>
        <v>10</v>
      </c>
      <c r="E29" s="10">
        <f t="shared" si="6"/>
        <v>0.26132853127200667</v>
      </c>
      <c r="F29" s="10">
        <f t="shared" si="7"/>
        <v>2.5386714687279932</v>
      </c>
      <c r="G29" s="10">
        <f t="shared" si="8"/>
        <v>3.0613285312720064</v>
      </c>
    </row>
    <row r="30" spans="1:7">
      <c r="A30" s="12">
        <v>26</v>
      </c>
      <c r="B30" s="10">
        <f>Results!B28</f>
        <v>2.9</v>
      </c>
      <c r="C30" s="10">
        <f>Results!D28</f>
        <v>0.31622776601683894</v>
      </c>
      <c r="D30" s="4">
        <f>Results!E28</f>
        <v>10</v>
      </c>
      <c r="E30" s="10">
        <f t="shared" si="6"/>
        <v>0.19599639845400596</v>
      </c>
      <c r="F30" s="10">
        <f t="shared" si="7"/>
        <v>2.7040036015459941</v>
      </c>
      <c r="G30" s="10">
        <f t="shared" si="8"/>
        <v>3.0959963984540058</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v>
      </c>
      <c r="H3" s="1">
        <f>COUNTIF(DT!A4:A1004,"2")</f>
        <v>1</v>
      </c>
      <c r="I3" s="1">
        <f>COUNTIF(DT!A4:A1004,"3")</f>
        <v>8</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3</v>
      </c>
      <c r="I4" s="1">
        <f>COUNTIF(DT!B4:B1004,"3")</f>
        <v>7</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1</v>
      </c>
      <c r="H5" s="1">
        <f>COUNTIF(DT!C4:C1004,"2")</f>
        <v>5</v>
      </c>
      <c r="I5" s="1">
        <f>COUNTIF(DT!C4:C1004,"3")</f>
        <v>4</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5</v>
      </c>
      <c r="I6" s="1">
        <f>COUNTIF(DT!D4:D1004,"3")</f>
        <v>5</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1</v>
      </c>
      <c r="H7" s="1">
        <f>COUNTIF(DT!E4:E1004,"2")</f>
        <v>4</v>
      </c>
      <c r="I7" s="1">
        <f>COUNTIF(DT!E4:E1004,"3")</f>
        <v>5</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2</v>
      </c>
      <c r="H8" s="1">
        <f>COUNTIF(DT!F4:F1004,"2")</f>
        <v>5</v>
      </c>
      <c r="I8" s="1">
        <f>COUNTIF(DT!F4:F1004,"3")</f>
        <v>3</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2</v>
      </c>
      <c r="H9" s="1">
        <f>COUNTIF(DT!G4:G1004,"2")</f>
        <v>3</v>
      </c>
      <c r="I9" s="1">
        <f>COUNTIF(DT!G4:G1004,"3")</f>
        <v>5</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2</v>
      </c>
      <c r="G10" s="1">
        <f>COUNTIF(DT!H4:H1004,"1")</f>
        <v>3</v>
      </c>
      <c r="H10" s="1">
        <f>COUNTIF(DT!H4:H1004,"2")</f>
        <v>4</v>
      </c>
      <c r="I10" s="1">
        <f>COUNTIF(DT!H4:H1004,"3")</f>
        <v>1</v>
      </c>
      <c r="J10" s="23" t="str">
        <f>Results!H10</f>
        <v>Dependability</v>
      </c>
    </row>
    <row r="11" spans="1:11">
      <c r="A11" s="2">
        <v>9</v>
      </c>
      <c r="B11" s="1" t="str">
        <f>_xlfn.CONCAT(Results!G11,"/",Results!F11)</f>
        <v>slow/fast</v>
      </c>
      <c r="C11" s="1">
        <f>COUNTIF(DT!I4:I1004,"-3")</f>
        <v>0</v>
      </c>
      <c r="D11" s="1">
        <f>COUNTIF(DT!I4:I1004,"-2")</f>
        <v>1</v>
      </c>
      <c r="E11" s="1">
        <f>COUNTIF(DT!I4:I1004,"-1")</f>
        <v>0</v>
      </c>
      <c r="F11" s="1">
        <f>COUNTIF(DT!I4:I1004,"0")</f>
        <v>0</v>
      </c>
      <c r="G11" s="1">
        <f>COUNTIF(DT!I4:I1004,"1")</f>
        <v>1</v>
      </c>
      <c r="H11" s="1">
        <f>COUNTIF(DT!I4:I1004,"2")</f>
        <v>6</v>
      </c>
      <c r="I11" s="1">
        <f>COUNTIF(DT!I4:I1004,"3")</f>
        <v>2</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1</v>
      </c>
      <c r="G12" s="1">
        <f>COUNTIF(DT!J4:J1004,"1")</f>
        <v>0</v>
      </c>
      <c r="H12" s="1">
        <f>COUNTIF(DT!J4:J1004,"2")</f>
        <v>1</v>
      </c>
      <c r="I12" s="1">
        <f>COUNTIF(DT!J4:J1004,"3")</f>
        <v>8</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1</v>
      </c>
      <c r="H13" s="1">
        <f>COUNTIF(DT!K4:K1004,"2")</f>
        <v>4</v>
      </c>
      <c r="I13" s="1">
        <f>COUNTIF(DT!K4:K1004,"3")</f>
        <v>5</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3</v>
      </c>
      <c r="I14" s="1">
        <f>COUNTIF(DT!L4:L1004,"3")</f>
        <v>7</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4</v>
      </c>
      <c r="I15" s="1">
        <f>COUNTIF(DT!M4:M1004,"3")</f>
        <v>6</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4</v>
      </c>
      <c r="I16" s="1">
        <f>COUNTIF(DT!N4:N1004,"3")</f>
        <v>6</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1</v>
      </c>
      <c r="G17" s="1">
        <f>COUNTIF(DT!O4:O1004,"1")</f>
        <v>0</v>
      </c>
      <c r="H17" s="1">
        <f>COUNTIF(DT!O4:O1004,"2")</f>
        <v>4</v>
      </c>
      <c r="I17" s="1">
        <f>COUNTIF(DT!O4:O1004,"3")</f>
        <v>5</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5</v>
      </c>
      <c r="I18" s="1">
        <f>COUNTIF(DT!P4:P1004,"3")</f>
        <v>5</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1</v>
      </c>
      <c r="I19" s="1">
        <f>COUNTIF(DT!Q4:Q1004,"3")</f>
        <v>9</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2</v>
      </c>
      <c r="I20" s="1">
        <f>COUNTIF(DT!R4:R1004,"3")</f>
        <v>8</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1</v>
      </c>
      <c r="I21" s="1">
        <f>COUNTIF(DT!S4:S1004,"3")</f>
        <v>9</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1</v>
      </c>
      <c r="H22" s="1">
        <f>COUNTIF(DT!T4:T1004,"2")</f>
        <v>3</v>
      </c>
      <c r="I22" s="1">
        <f>COUNTIF(DT!T4:T1004,"3")</f>
        <v>6</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4</v>
      </c>
      <c r="I23" s="1">
        <f>COUNTIF(DT!U4:U1004,"3")</f>
        <v>6</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5</v>
      </c>
      <c r="I24" s="1">
        <f>COUNTIF(DT!V4:V1004,"3")</f>
        <v>5</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5</v>
      </c>
      <c r="I25" s="1">
        <f>COUNTIF(DT!W4:W1004,"3")</f>
        <v>5</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2</v>
      </c>
      <c r="I26" s="1">
        <f>COUNTIF(DT!X4:X1004,"3")</f>
        <v>8</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2</v>
      </c>
      <c r="I27" s="1">
        <f>COUNTIF(DT!Y4:Y1004,"3")</f>
        <v>8</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1</v>
      </c>
      <c r="I28" s="1">
        <f>COUNTIF(DT!Z4:Z1004,"3")</f>
        <v>9</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6"/>
      <c r="C1" s="166"/>
      <c r="D1" s="166"/>
      <c r="E1" s="166"/>
      <c r="F1" s="166"/>
      <c r="G1" s="166"/>
      <c r="H1" s="166"/>
      <c r="I1" s="166"/>
      <c r="J1" s="166"/>
      <c r="K1" s="166"/>
      <c r="L1" s="166"/>
      <c r="M1" s="166"/>
      <c r="N1" s="166"/>
      <c r="O1" s="166"/>
      <c r="P1" s="166"/>
      <c r="Q1" s="166"/>
      <c r="R1" s="166"/>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7"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-0.30671917946594873</v>
      </c>
      <c r="D7" s="79" t="s">
        <v>5</v>
      </c>
      <c r="E7" s="80">
        <f>CORREL(DT!B4:B1004,DT!D4:D1004)</f>
        <v>-0.21821789023599236</v>
      </c>
      <c r="G7" s="79" t="s">
        <v>11</v>
      </c>
      <c r="H7" s="80">
        <f>CORREL(DT!I4:I1004,DT!T4:T1004)</f>
        <v>0.8310281191431671</v>
      </c>
      <c r="J7" s="79" t="s">
        <v>17</v>
      </c>
      <c r="K7" s="80">
        <f>CORREL(DT!H4:H1004,DT!K4:K1004)</f>
        <v>0.23028309323591906</v>
      </c>
      <c r="M7" s="79" t="s">
        <v>24</v>
      </c>
      <c r="N7" s="80">
        <f>CORREL(DT!E4:E1004,DT!F4:F1004)</f>
        <v>-0.30151134457776357</v>
      </c>
      <c r="P7" s="79" t="s">
        <v>34</v>
      </c>
      <c r="Q7" s="80">
        <f>CORREL(DT!C4:C1004,DT!J4:J1004)</f>
        <v>0.71567808542054689</v>
      </c>
    </row>
    <row r="8" spans="1:18">
      <c r="A8" s="31" t="s">
        <v>37</v>
      </c>
      <c r="B8" s="32">
        <f>CORREL(DT!A4:A1004,DT!N4:N1004)</f>
        <v>0.25503068522533523</v>
      </c>
      <c r="D8" s="31" t="s">
        <v>6</v>
      </c>
      <c r="E8" s="32">
        <f>CORREL(DT!B4:B1004,DT!M4:M1004)</f>
        <v>0.35634832254989907</v>
      </c>
      <c r="G8" s="31" t="s">
        <v>12</v>
      </c>
      <c r="H8" s="32">
        <f>CORREL(DT!I4:I1004,DT!V4:V1004)</f>
        <v>7.4329414624716678E-2</v>
      </c>
      <c r="J8" s="31" t="s">
        <v>18</v>
      </c>
      <c r="K8" s="32">
        <f>CORREL(DT!H4:H1004,DT!Q4:Q1004)</f>
        <v>-0.21821789023599242</v>
      </c>
      <c r="M8" s="31" t="s">
        <v>25</v>
      </c>
      <c r="N8" s="32">
        <f>CORREL(DT!E4:E1004,DT!G4:G1004)</f>
        <v>-3.8604571824109181E-2</v>
      </c>
      <c r="P8" s="31" t="s">
        <v>33</v>
      </c>
      <c r="Q8" s="32">
        <f>CORREL(DT!C4:C1004,DT!O4:O1004)</f>
        <v>-0.32970016398705726</v>
      </c>
    </row>
    <row r="9" spans="1:18">
      <c r="A9" s="31" t="s">
        <v>38</v>
      </c>
      <c r="B9" s="32">
        <f>CORREL(DT!A4:A1004,DT!P4:P1004)</f>
        <v>0.15617376188860607</v>
      </c>
      <c r="D9" s="31" t="s">
        <v>7</v>
      </c>
      <c r="E9" s="32">
        <f>CORREL(DT!B4:B1004,DT!U4:U1004)</f>
        <v>-8.908708063747485E-2</v>
      </c>
      <c r="G9" s="31" t="s">
        <v>13</v>
      </c>
      <c r="H9" s="32">
        <f>CORREL(DT!I4:I1004,DT!W4:W1004)</f>
        <v>-7.4329414624716608E-2</v>
      </c>
      <c r="J9" s="31" t="s">
        <v>19</v>
      </c>
      <c r="K9" s="32">
        <f>CORREL(DT!H4:H1004,DT!S4:S1004)</f>
        <v>0.14547859349066156</v>
      </c>
      <c r="M9" s="31" t="s">
        <v>26</v>
      </c>
      <c r="N9" s="32">
        <f>CORREL(DT!E4:E1004,DT!R4:R1004)</f>
        <v>-7.5377836144440977E-2</v>
      </c>
      <c r="P9" s="31" t="s">
        <v>32</v>
      </c>
      <c r="Q9" s="32">
        <f>CORREL(DT!C4:C1004,DT!Z4:Z1004)</f>
        <v>-0.36440544440674755</v>
      </c>
    </row>
    <row r="10" spans="1:18">
      <c r="A10" s="31" t="s">
        <v>39</v>
      </c>
      <c r="B10" s="32">
        <f>CORREL(DT!A4:A1004,DT!X4:X1004)</f>
        <v>-0.23426064283290909</v>
      </c>
      <c r="D10" s="31" t="s">
        <v>8</v>
      </c>
      <c r="E10" s="32">
        <f>CORREL(DT!D4:D1004,DT!M4:M1004)</f>
        <v>0.40824829046386302</v>
      </c>
      <c r="G10" s="31" t="s">
        <v>14</v>
      </c>
      <c r="H10" s="32">
        <f>CORREL(DT!T4:T1004,DT!V4:V1004)</f>
        <v>-0.14907119849998599</v>
      </c>
      <c r="J10" s="31" t="s">
        <v>20</v>
      </c>
      <c r="K10" s="32">
        <f>CORREL(DT!K4:K1004,DT!Q4:Q1004)</f>
        <v>-0.30151134457776368</v>
      </c>
      <c r="M10" s="31" t="s">
        <v>27</v>
      </c>
      <c r="N10" s="32">
        <f>CORREL(DT!F4:F1004,DT!G4:G1004)</f>
        <v>0.31094670840846172</v>
      </c>
      <c r="P10" s="31" t="s">
        <v>31</v>
      </c>
      <c r="Q10" s="32">
        <f>CORREL(DT!J4:J1004,DT!O4:O1004)</f>
        <v>-0.21821789023599233</v>
      </c>
    </row>
    <row r="11" spans="1:18">
      <c r="A11" s="31" t="s">
        <v>40</v>
      </c>
      <c r="B11" s="32">
        <f>CORREL(DT!A4:A1004,DT!Y4:Y1004)</f>
        <v>-0.23426064283290904</v>
      </c>
      <c r="D11" s="31" t="s">
        <v>9</v>
      </c>
      <c r="E11" s="32">
        <f>CORREL(DT!D4:D1004,DT!U4:U1004)</f>
        <v>0.40824829046386302</v>
      </c>
      <c r="G11" s="31" t="s">
        <v>15</v>
      </c>
      <c r="H11" s="32">
        <f>CORREL(DT!T4:T1004,DT!W4:W1004)</f>
        <v>0.14907119849998599</v>
      </c>
      <c r="J11" s="31" t="s">
        <v>21</v>
      </c>
      <c r="K11" s="32">
        <f>CORREL(DT!K4:K1004,DT!S4:S1004)</f>
        <v>0.20100756305184236</v>
      </c>
      <c r="M11" s="31" t="s">
        <v>28</v>
      </c>
      <c r="N11" s="32">
        <f>CORREL(DT!F4:F1004,DT!R4:R1004)</f>
        <v>-0.2857142857142857</v>
      </c>
      <c r="P11" s="31" t="s">
        <v>30</v>
      </c>
      <c r="Q11" s="32">
        <f>CORREL(DT!J4:J1004,DT!Z4:Z1004)</f>
        <v>-0.14547859349066156</v>
      </c>
    </row>
    <row r="12" spans="1:18">
      <c r="A12" s="31" t="s">
        <v>41</v>
      </c>
      <c r="B12" s="32">
        <f>CORREL(DT!L4:L1004,DT!N4:N1004)</f>
        <v>0.35634832254989907</v>
      </c>
      <c r="D12" s="31" t="s">
        <v>10</v>
      </c>
      <c r="E12" s="32">
        <f>CORREL(DT!M4:M1004,DT!U4:U1004)</f>
        <v>-0.25</v>
      </c>
      <c r="G12" s="31" t="s">
        <v>16</v>
      </c>
      <c r="H12" s="32">
        <f>CORREL(DT!V4:V1004,DT!W4:W1004)</f>
        <v>-0.6</v>
      </c>
      <c r="J12" s="31" t="s">
        <v>22</v>
      </c>
      <c r="K12" s="32">
        <f>CORREL(DT!Q4:Q1004,DT!S4:S1004)</f>
        <v>-0.11111111111111108</v>
      </c>
      <c r="M12" s="31" t="s">
        <v>23</v>
      </c>
      <c r="N12" s="32">
        <f>CORREL(DT!G4:G1004,DT!R4:R1004)</f>
        <v>-0.12803687993289603</v>
      </c>
      <c r="P12" s="31" t="s">
        <v>29</v>
      </c>
      <c r="Q12" s="32">
        <f>CORREL(DT!O4:O1004,DT!Z4:Z1004)</f>
        <v>0.85185185185185253</v>
      </c>
    </row>
    <row r="13" spans="1:18">
      <c r="A13" s="31" t="s">
        <v>42</v>
      </c>
      <c r="B13" s="32">
        <f>CORREL(DT!L4:L1004,DT!P4:P1004)</f>
        <v>0.21821789023599236</v>
      </c>
      <c r="D13" s="33" t="s">
        <v>826</v>
      </c>
      <c r="E13" s="32">
        <f>AVERAGE(E7:E12)</f>
        <v>0.10258998876735965</v>
      </c>
      <c r="G13" s="33" t="s">
        <v>826</v>
      </c>
      <c r="H13" s="32">
        <f>AVERAGE(H7:H12)</f>
        <v>3.8504686523861187E-2</v>
      </c>
      <c r="J13" s="33" t="s">
        <v>826</v>
      </c>
      <c r="K13" s="32">
        <f>AVERAGE(K7:K12)</f>
        <v>-9.0118493577407005E-3</v>
      </c>
      <c r="M13" s="33" t="s">
        <v>826</v>
      </c>
      <c r="N13" s="32">
        <f>AVERAGE(N7:N12)</f>
        <v>-8.6383034964172281E-2</v>
      </c>
      <c r="P13" s="33" t="s">
        <v>826</v>
      </c>
      <c r="Q13" s="32">
        <f>AVERAGE(Q7:Q12)</f>
        <v>8.4954640858656782E-2</v>
      </c>
    </row>
    <row r="14" spans="1:18">
      <c r="A14" s="31" t="s">
        <v>43</v>
      </c>
      <c r="B14" s="32">
        <f>CORREL(DT!L4:L1004,DT!X4:X1004)</f>
        <v>0.2182178902359925</v>
      </c>
      <c r="C14" s="7"/>
      <c r="D14" s="44" t="s">
        <v>4</v>
      </c>
      <c r="E14" s="45">
        <f>(4*E13)/(1+(3*E13))</f>
        <v>0.3137860370274404</v>
      </c>
      <c r="F14" s="46"/>
      <c r="G14" s="44" t="s">
        <v>4</v>
      </c>
      <c r="H14" s="45">
        <f>(4*H13)/(1+(3*H13))</f>
        <v>0.1380697488963932</v>
      </c>
      <c r="I14" s="46"/>
      <c r="J14" s="44" t="s">
        <v>4</v>
      </c>
      <c r="K14" s="45">
        <f>(4*K13)/(1+(3*K13))</f>
        <v>-3.7049038492184924E-2</v>
      </c>
      <c r="L14" s="46"/>
      <c r="M14" s="44" t="s">
        <v>4</v>
      </c>
      <c r="N14" s="45">
        <f>(4*N13)/(1+(3*N13))</f>
        <v>-0.46639903135510025</v>
      </c>
      <c r="P14" s="44" t="s">
        <v>4</v>
      </c>
      <c r="Q14" s="45">
        <f>(4*Q13)/(1+(3*Q13))</f>
        <v>0.27080112617872659</v>
      </c>
    </row>
    <row r="15" spans="1:18">
      <c r="A15" s="31" t="s">
        <v>44</v>
      </c>
      <c r="B15" s="32">
        <f>CORREL(DT!L4:L1004,DT!Y4:Y1004)</f>
        <v>0.2182178902359925</v>
      </c>
      <c r="D15" s="161" t="s">
        <v>1462</v>
      </c>
      <c r="E15" s="36">
        <f>1-EXP(LN(1-E14)+1.96*SQRT(8/(3*(Results!E3-2))))</f>
        <v>-1.1276981765710086</v>
      </c>
      <c r="G15" s="161" t="s">
        <v>1462</v>
      </c>
      <c r="H15" s="36">
        <f>1-EXP(LN(1-H14)+1.96*SQRT(8/(3*(Results!E3-2))))</f>
        <v>-1.672530030808876</v>
      </c>
      <c r="J15" s="161" t="s">
        <v>1462</v>
      </c>
      <c r="K15" s="36">
        <f>1-EXP(LN(1-K14)+1.96*SQRT(8/(3*(Results!E3-2))))</f>
        <v>-2.2155092540761574</v>
      </c>
      <c r="M15" s="161" t="s">
        <v>1462</v>
      </c>
      <c r="N15" s="36">
        <f>1-EXP(LN(1-N14)+1.96*SQRT(8/(3*(Results!E3-2))))</f>
        <v>-3.5467663345470353</v>
      </c>
      <c r="P15" s="161" t="s">
        <v>1462</v>
      </c>
      <c r="Q15" s="36">
        <f>1-EXP(LN(1-Q14)+1.96*SQRT(8/(3*(Results!E3-2))))</f>
        <v>-1.2609786420932942</v>
      </c>
    </row>
    <row r="16" spans="1:18">
      <c r="A16" s="31" t="s">
        <v>45</v>
      </c>
      <c r="B16" s="32">
        <f>CORREL(DT!N4:N1004,DT!P4:P1004)</f>
        <v>0.40824829046386302</v>
      </c>
      <c r="D16" s="162"/>
      <c r="E16" s="36">
        <f>1-EXP(LN(1-E14)-1.96*SQRT(8/(3*(Results!E3-2))))</f>
        <v>0.77868590189921127</v>
      </c>
      <c r="G16" s="162"/>
      <c r="H16" s="36">
        <f>1-EXP(LN(1-H14)-1.96*SQRT(8/(3*(Results!E3-2))))</f>
        <v>0.72201481397660061</v>
      </c>
      <c r="J16" s="162"/>
      <c r="K16" s="36">
        <f>1-EXP(LN(1-K14)-1.96*SQRT(8/(3*(Results!E3-2))))</f>
        <v>0.66553642883339892</v>
      </c>
      <c r="M16" s="162"/>
      <c r="N16" s="36">
        <f>1-EXP(LN(1-N14)-1.96*SQRT(8/(3*(Results!E3-2))))</f>
        <v>0.52706473987443214</v>
      </c>
      <c r="P16" s="162"/>
      <c r="Q16" s="36">
        <f>1-EXP(LN(1-Q14)-1.96*SQRT(8/(3*(Results!E3-2))))</f>
        <v>0.76482263579017373</v>
      </c>
    </row>
    <row r="17" spans="1:18">
      <c r="A17" s="31" t="s">
        <v>46</v>
      </c>
      <c r="B17" s="32">
        <f>CORREL(DT!N4:N1004,DT!X4:X1004)</f>
        <v>-0.40824829046386296</v>
      </c>
    </row>
    <row r="18" spans="1:18">
      <c r="A18" s="31" t="s">
        <v>47</v>
      </c>
      <c r="B18" s="32">
        <f>CORREL(DT!N4:N1004,DT!Y4:Y1004)</f>
        <v>-0.40824829046386296</v>
      </c>
    </row>
    <row r="19" spans="1:18">
      <c r="A19" s="31" t="s">
        <v>48</v>
      </c>
      <c r="B19" s="32">
        <f>CORREL(DT!P4:P1004,DT!X4:X1004)</f>
        <v>0</v>
      </c>
    </row>
    <row r="20" spans="1:18">
      <c r="A20" s="31" t="s">
        <v>116</v>
      </c>
      <c r="B20" s="32">
        <f>CORREL(DT!P4:P1004,DT!Y4:Y1004)</f>
        <v>0</v>
      </c>
    </row>
    <row r="21" spans="1:18">
      <c r="A21" s="31" t="s">
        <v>35</v>
      </c>
      <c r="B21" s="32">
        <f>CORREL(DT!X4:X1004,DT!Y4:Y1004)</f>
        <v>0.37499999999999983</v>
      </c>
    </row>
    <row r="22" spans="1:18">
      <c r="A22" s="33" t="s">
        <v>826</v>
      </c>
      <c r="B22" s="32">
        <f>AVERAGE(B7:B21)</f>
        <v>4.0914512318412519E-2</v>
      </c>
    </row>
    <row r="23" spans="1:18">
      <c r="A23" s="44" t="s">
        <v>4</v>
      </c>
      <c r="B23" s="45">
        <f>(6*B22)/(1+(5*B22))</f>
        <v>0.20379600344376025</v>
      </c>
    </row>
    <row r="24" spans="1:18">
      <c r="A24" s="161" t="s">
        <v>1462</v>
      </c>
      <c r="B24" s="36">
        <f>1-EXP(LN(1-B23)+1.96*SQRT(12/(5*(Results!E3-2))))</f>
        <v>-1.3294597268922055</v>
      </c>
    </row>
    <row r="25" spans="1:18">
      <c r="A25" s="162"/>
      <c r="B25" s="36">
        <f>1-EXP(LN(1-B23)-1.96*SQRT(12/(5*(Results!E3-2))))</f>
        <v>0.72785929852589204</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0.15384615384615474</v>
      </c>
      <c r="D30" s="41" t="s">
        <v>1277</v>
      </c>
      <c r="E30" s="41">
        <f>1-((Results!C4+Results!C6+Results!C15+Results!C23)/(16*(Results!M4)))</f>
        <v>0.24193548387097286</v>
      </c>
      <c r="G30" s="41" t="s">
        <v>1277</v>
      </c>
      <c r="H30" s="41">
        <f>1-((Results!C11+Results!C22+Results!C24+Results!C25)/(16*(Results!M5)))</f>
        <v>0.30303030303030343</v>
      </c>
      <c r="J30" s="41" t="s">
        <v>1277</v>
      </c>
      <c r="K30" s="41">
        <f>1-((Results!C10+Results!C13+Results!C19+Results!C21)/(16*(Results!M6)))</f>
        <v>0.10975609756097404</v>
      </c>
      <c r="M30" s="41" t="s">
        <v>1277</v>
      </c>
      <c r="N30" s="41">
        <f>1-((Results!C7+Results!C8+Results!C9+Results!C20)/(16*(Results!M7)))</f>
        <v>-0.18055555555555691</v>
      </c>
      <c r="P30" s="41" t="s">
        <v>1277</v>
      </c>
      <c r="Q30" s="41">
        <f>1-((Results!C5+Results!C12+Results!C17+Results!C28)/(16*(Results!M8)))</f>
        <v>0.13654618473895452</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8.1000000000000065E-3</v>
      </c>
      <c r="D33" s="31" t="s">
        <v>5</v>
      </c>
      <c r="E33" s="32">
        <f>_xlfn.COVARIANCE.S(DT!B4:B1004,DT!D4:D1004)^2</f>
        <v>3.0864197530864196E-3</v>
      </c>
      <c r="G33" s="31" t="s">
        <v>11</v>
      </c>
      <c r="H33" s="32">
        <f>COVAR(DT!I4:I1004,DT!T4:T1004)^2</f>
        <v>0.56250000000000022</v>
      </c>
      <c r="J33" s="31" t="s">
        <v>17</v>
      </c>
      <c r="K33" s="32">
        <f>COVAR(DT!H4:H1004,DT!K4:K1004)^2</f>
        <v>1.9599999999999996E-2</v>
      </c>
      <c r="M33" s="31" t="s">
        <v>24</v>
      </c>
      <c r="N33" s="32">
        <f>COVAR(DT!E4:E1004,DT!F4:F1004)^2</f>
        <v>1.9599999999999996E-2</v>
      </c>
      <c r="P33" s="31" t="s">
        <v>34</v>
      </c>
      <c r="Q33" s="32">
        <f>COVAR(DT!C4:C1004,DT!J4:J1004)^2</f>
        <v>0.17640000000000003</v>
      </c>
    </row>
    <row r="34" spans="1:17">
      <c r="A34" s="31" t="s">
        <v>37</v>
      </c>
      <c r="B34" s="32">
        <f>COVAR(DT!A4:A1004,DT!N4:N1004)^2</f>
        <v>6.3999999999999977E-3</v>
      </c>
      <c r="D34" s="31" t="s">
        <v>6</v>
      </c>
      <c r="E34" s="32">
        <f>_xlfn.COVARIANCE.S(DT!B4:B1004,DT!M4:M1004)^2</f>
        <v>7.9012345679012295E-3</v>
      </c>
      <c r="G34" s="31" t="s">
        <v>12</v>
      </c>
      <c r="H34" s="32">
        <f>COVAR(DT!I4:I1004,DT!V4:V1004)^2</f>
        <v>2.5000000000000031E-3</v>
      </c>
      <c r="J34" s="31" t="s">
        <v>18</v>
      </c>
      <c r="K34" s="32">
        <f>COVAR(DT!H4:H1004,DT!Q4:Q1004)^2</f>
        <v>3.6000000000000012E-3</v>
      </c>
      <c r="M34" s="31" t="s">
        <v>25</v>
      </c>
      <c r="N34" s="32">
        <f>COVAR(DT!E4:E1004,DT!G4:G1004)^2</f>
        <v>4.0000000000000072E-4</v>
      </c>
      <c r="P34" s="31" t="s">
        <v>33</v>
      </c>
      <c r="Q34" s="32">
        <f>COVAR(DT!C4:C1004,DT!O4:O1004)^2</f>
        <v>3.6100000000000014E-2</v>
      </c>
    </row>
    <row r="35" spans="1:17">
      <c r="A35" s="31" t="s">
        <v>38</v>
      </c>
      <c r="B35" s="32">
        <f>COVAR(DT!A4:A1004,DT!P4:P1004)^2</f>
        <v>2.5000000000000005E-3</v>
      </c>
      <c r="D35" s="31" t="s">
        <v>7</v>
      </c>
      <c r="E35" s="32">
        <f>_xlfn.COVARIANCE.S(DT!B4:B1004,DT!U4:U1004)^2</f>
        <v>4.9382716049382793E-4</v>
      </c>
      <c r="G35" s="31" t="s">
        <v>13</v>
      </c>
      <c r="H35" s="32">
        <f>COVAR(DT!I4:I1004,DT!W4:W1004)^2</f>
        <v>2.4999999999999988E-3</v>
      </c>
      <c r="J35" s="31" t="s">
        <v>19</v>
      </c>
      <c r="K35" s="32">
        <f>COVAR(DT!H4:H1004,DT!S4:S1004)^2</f>
        <v>1.5999999999999994E-3</v>
      </c>
      <c r="M35" s="31" t="s">
        <v>26</v>
      </c>
      <c r="N35" s="32">
        <f>COVAR(DT!E4:E1004,DT!R4:R1004)^2</f>
        <v>4.0000000000000072E-4</v>
      </c>
      <c r="P35" s="31" t="s">
        <v>32</v>
      </c>
      <c r="Q35" s="32">
        <f>COVAR(DT!C4:C1004,DT!Z4:Z1004)^2</f>
        <v>4.9000000000000024E-3</v>
      </c>
    </row>
    <row r="36" spans="1:17">
      <c r="A36" s="31" t="s">
        <v>39</v>
      </c>
      <c r="B36" s="32">
        <f>COVAR(DT!A4:A1004,DT!X4:X1004)^2</f>
        <v>3.5999999999999999E-3</v>
      </c>
      <c r="D36" s="31" t="s">
        <v>8</v>
      </c>
      <c r="E36" s="32">
        <f>_xlfn.COVARIANCE.S(DT!D4:D1004,DT!M4:M1004)^2</f>
        <v>1.2345679012345678E-2</v>
      </c>
      <c r="G36" s="31" t="s">
        <v>14</v>
      </c>
      <c r="H36" s="32">
        <f>COVAR(DT!T4:T1004,DT!V4:V1004)^2</f>
        <v>2.5000000000000005E-3</v>
      </c>
      <c r="J36" s="31" t="s">
        <v>20</v>
      </c>
      <c r="K36" s="32">
        <f>COVAR(DT!K4:K1004,DT!Q4:Q1004)^2</f>
        <v>3.6000000000000012E-3</v>
      </c>
      <c r="M36" s="31" t="s">
        <v>27</v>
      </c>
      <c r="N36" s="32">
        <f>COVAR(DT!F4:F1004,DT!G4:G1004)^2</f>
        <v>2.8900000000000012E-2</v>
      </c>
      <c r="P36" s="31" t="s">
        <v>31</v>
      </c>
      <c r="Q36" s="32">
        <f>COVAR(DT!J4:J1004,DT!O4:O1004)^2</f>
        <v>3.2399999999999998E-2</v>
      </c>
    </row>
    <row r="37" spans="1:17">
      <c r="A37" s="31" t="s">
        <v>40</v>
      </c>
      <c r="B37" s="32">
        <f>COVAR(DT!A4:A1004,DT!Y4:Y1004)^2</f>
        <v>3.5999999999999982E-3</v>
      </c>
      <c r="D37" s="31" t="s">
        <v>9</v>
      </c>
      <c r="E37" s="32">
        <f>_xlfn.COVARIANCE.S(DT!D4:D1004,DT!U4:U1004)^2</f>
        <v>1.2345679012345678E-2</v>
      </c>
      <c r="G37" s="31" t="s">
        <v>15</v>
      </c>
      <c r="H37" s="32">
        <f>COVAR(DT!T4:T1004,DT!W4:W1004)^2</f>
        <v>2.5000000000000005E-3</v>
      </c>
      <c r="J37" s="31" t="s">
        <v>21</v>
      </c>
      <c r="K37" s="32">
        <f>COVAR(DT!K4:K1004,DT!S4:S1004)^2</f>
        <v>1.5999999999999994E-3</v>
      </c>
      <c r="M37" s="31" t="s">
        <v>28</v>
      </c>
      <c r="N37" s="32">
        <f>COVAR(DT!F4:F1004,DT!R4:R1004)^2</f>
        <v>6.3999999999999977E-3</v>
      </c>
      <c r="P37" s="31" t="s">
        <v>30</v>
      </c>
      <c r="Q37" s="32">
        <f>COVAR(DT!J4:J1004,DT!Z4:Z1004)^2</f>
        <v>1.5999999999999994E-3</v>
      </c>
    </row>
    <row r="38" spans="1:17">
      <c r="A38" s="31" t="s">
        <v>41</v>
      </c>
      <c r="B38" s="32">
        <f>COVAR(DT!L4:L1004,DT!N4:N1004)^2</f>
        <v>6.3999999999999977E-3</v>
      </c>
      <c r="D38" s="31" t="s">
        <v>10</v>
      </c>
      <c r="E38" s="32">
        <f>_xlfn.COVARIANCE.S(DT!M4:M1004,DT!U4:U1004)^2</f>
        <v>4.4444444444444462E-3</v>
      </c>
      <c r="G38" s="31" t="s">
        <v>16</v>
      </c>
      <c r="H38" s="32">
        <f>COVAR(DT!V4:V1004,DT!W4:W1004)^2</f>
        <v>2.2499999999999999E-2</v>
      </c>
      <c r="J38" s="31" t="s">
        <v>22</v>
      </c>
      <c r="K38" s="32">
        <f>COVAR(DT!Q4:Q1004,DT!S4:S1004)^2</f>
        <v>9.9999999999999937E-5</v>
      </c>
      <c r="M38" s="31" t="s">
        <v>23</v>
      </c>
      <c r="N38" s="32">
        <f>COVAR(DT!G4:G1004,DT!R4:R1004)^2</f>
        <v>1.6000000000000012E-3</v>
      </c>
      <c r="P38" s="31" t="s">
        <v>29</v>
      </c>
      <c r="Q38" s="32">
        <f>COVAR(DT!O4:O1004,DT!Z4:Z1004)^2</f>
        <v>5.2900000000000093E-2</v>
      </c>
    </row>
    <row r="39" spans="1:17">
      <c r="A39" s="31" t="s">
        <v>42</v>
      </c>
      <c r="B39" s="32">
        <f>COVAR(DT!L4:L1004,DT!P4:P1004)^2</f>
        <v>2.5000000000000005E-3</v>
      </c>
      <c r="D39" s="31" t="s">
        <v>1275</v>
      </c>
      <c r="E39" s="6">
        <f>SUM(E33:E38)</f>
        <v>4.0617283950617283E-2</v>
      </c>
      <c r="G39" s="31" t="s">
        <v>1275</v>
      </c>
      <c r="H39" s="6">
        <f>SUM(H33:H38)</f>
        <v>0.59500000000000008</v>
      </c>
      <c r="J39" s="31" t="s">
        <v>1275</v>
      </c>
      <c r="K39" s="6">
        <f>SUM(K33:K38)</f>
        <v>3.0100000000000002E-2</v>
      </c>
      <c r="M39" s="31" t="s">
        <v>1275</v>
      </c>
      <c r="N39" s="6">
        <f>SUM(N33:N38)</f>
        <v>5.7300000000000011E-2</v>
      </c>
      <c r="P39" s="31" t="s">
        <v>1275</v>
      </c>
      <c r="Q39" s="6">
        <f>SUM(Q33:Q38)</f>
        <v>0.30430000000000018</v>
      </c>
    </row>
    <row r="40" spans="1:17">
      <c r="A40" s="31" t="s">
        <v>43</v>
      </c>
      <c r="B40" s="32">
        <f>COVAR(DT!L4:L1004,DT!X4:X1004)^2</f>
        <v>1.6000000000000018E-3</v>
      </c>
      <c r="D40" s="33" t="s">
        <v>1276</v>
      </c>
      <c r="E40" s="40">
        <f>E30+SQRT((4/3)*2*E39)/(16*(Results!M4))</f>
        <v>0.48080494507014382</v>
      </c>
      <c r="G40" s="33" t="s">
        <v>1276</v>
      </c>
      <c r="H40" s="40">
        <f>H30+SQRT((4/3)*2*H39)/(16*(Results!M5))</f>
        <v>0.58930975193471524</v>
      </c>
      <c r="J40" s="33" t="s">
        <v>1276</v>
      </c>
      <c r="K40" s="40">
        <f>K30+SQRT((4/3)*2*K39)/(16*(Results!M6))</f>
        <v>0.26523314166494338</v>
      </c>
      <c r="M40" s="33" t="s">
        <v>1276</v>
      </c>
      <c r="N40" s="40">
        <f>N30+SQRT((4/3)*2*N39)/(16*(Results!M7))</f>
        <v>6.3754698015594302E-2</v>
      </c>
      <c r="P40" s="33" t="s">
        <v>1276</v>
      </c>
      <c r="Q40" s="40">
        <f>Q30+SQRT((4/3)*2*Q39)/(16*(Results!M8))</f>
        <v>0.46214176773973559</v>
      </c>
    </row>
    <row r="41" spans="1:17">
      <c r="A41" s="31" t="s">
        <v>44</v>
      </c>
      <c r="B41" s="32">
        <f>COVAR(DT!L4:L1004,DT!Y4:Y1004)^2</f>
        <v>1.6000000000000018E-3</v>
      </c>
    </row>
    <row r="42" spans="1:17">
      <c r="A42" s="31" t="s">
        <v>45</v>
      </c>
      <c r="B42" s="32">
        <f>COVAR(DT!N4:N1004,DT!P4:P1004)^2</f>
        <v>1.0000000000000002E-2</v>
      </c>
    </row>
    <row r="43" spans="1:17">
      <c r="A43" s="31" t="s">
        <v>46</v>
      </c>
      <c r="B43" s="32">
        <f>COVAR(DT!N4:N1004,DT!X4:X1004)^2</f>
        <v>6.3999999999999977E-3</v>
      </c>
    </row>
    <row r="44" spans="1:17">
      <c r="A44" s="31" t="s">
        <v>47</v>
      </c>
      <c r="B44" s="32">
        <f>COVAR(DT!N4:N1004,DT!Y4:Y1004)^2</f>
        <v>6.3999999999999977E-3</v>
      </c>
    </row>
    <row r="45" spans="1:17">
      <c r="A45" s="31" t="s">
        <v>48</v>
      </c>
      <c r="B45" s="32">
        <f>COVAR(DT!P4:P1004,DT!X4:X1004)^2</f>
        <v>0</v>
      </c>
    </row>
    <row r="46" spans="1:17">
      <c r="A46" s="31" t="s">
        <v>116</v>
      </c>
      <c r="B46" s="32">
        <f>COVAR(DT!P4:P1004,DT!Y4:Y1004)^2</f>
        <v>0</v>
      </c>
    </row>
    <row r="47" spans="1:17">
      <c r="A47" s="31" t="s">
        <v>35</v>
      </c>
      <c r="B47" s="32">
        <f>COVAR(DT!X4:X1004,DT!Y4:Y1004)^2</f>
        <v>3.5999999999999956E-3</v>
      </c>
    </row>
    <row r="48" spans="1:17">
      <c r="A48" s="31" t="s">
        <v>1275</v>
      </c>
      <c r="B48" s="6">
        <f>SUM(B33:B47)</f>
        <v>6.2700000000000006E-2</v>
      </c>
    </row>
    <row r="49" spans="1:2">
      <c r="A49" s="33" t="s">
        <v>1276</v>
      </c>
      <c r="B49" s="40">
        <f>B30+SQRT((6/5)*2*B48)/(36*(Results!M3))</f>
        <v>0.36042944692620427</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7"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2.6833333333333336</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49">
        <f>Results!L4</f>
        <v>2.6</v>
      </c>
      <c r="C4" s="13" t="str">
        <f>IF(B4&gt;E38,"Excellent",IF(B4&gt;D38,"Good",IF(B4&gt;C38,"Above Average",IF(B4&gt;B38,"Below Average","Bad"))))</f>
        <v>Excellent</v>
      </c>
      <c r="D4" t="str">
        <f t="shared" si="0"/>
        <v>In the range of the 10% best results</v>
      </c>
    </row>
    <row r="5" spans="1:8">
      <c r="A5" s="14" t="str">
        <f>VLOOKUP(Read_First!B5,Items!A1:BI50,56,FALSE)</f>
        <v>Efficiency</v>
      </c>
      <c r="B5" s="49">
        <f>Results!L5</f>
        <v>2.2999999999999998</v>
      </c>
      <c r="C5" s="13" t="str">
        <f>IF(B5&gt;E39,"Excellent",IF(B5&gt;D39,"Good",IF(B5&gt;C39,"Above Average",IF(B5&gt;B39,"Below Average","Bad"))))</f>
        <v>Excellent</v>
      </c>
      <c r="D5" t="str">
        <f t="shared" si="0"/>
        <v>In the range of the 10% best results</v>
      </c>
    </row>
    <row r="6" spans="1:8">
      <c r="A6" s="15" t="str">
        <f>VLOOKUP(Read_First!B5,Items!A1:BI50,57,FALSE)</f>
        <v>Dependability</v>
      </c>
      <c r="B6" s="49">
        <f>Results!L6</f>
        <v>2.4</v>
      </c>
      <c r="C6" s="13" t="str">
        <f>IF(B6&gt;E40,"Excellent",IF(B6&gt;D40,"Good",IF(B6&gt;C40,"Above Average",IF(B6&gt;B40,"Below Average","Bad"))))</f>
        <v>Excellent</v>
      </c>
      <c r="D6" t="str">
        <f t="shared" si="0"/>
        <v>In the range of the 10% best results</v>
      </c>
    </row>
    <row r="7" spans="1:8">
      <c r="A7" s="15" t="str">
        <f>VLOOKUP(Read_First!B5,Items!A1:BI50,58,FALSE)</f>
        <v>Stimulation</v>
      </c>
      <c r="B7" s="49">
        <f>Results!L7</f>
        <v>2.4</v>
      </c>
      <c r="C7" s="13" t="str">
        <f>IF(B7&gt;E41,"Excellent",IF(B7&gt;D41,"Good",IF(B7&gt;C41,"Above Average",IF(B7&gt;B41,"Below Average","Bad"))))</f>
        <v>Excellent</v>
      </c>
      <c r="D7" t="str">
        <f t="shared" si="0"/>
        <v>In the range of the 10% best results</v>
      </c>
    </row>
    <row r="8" spans="1:8">
      <c r="A8" s="14" t="str">
        <f>VLOOKUP(Read_First!B5,Items!A1:BI50,59,FALSE)</f>
        <v>Novelty</v>
      </c>
      <c r="B8" s="49">
        <f>Results!L8</f>
        <v>2.5249999999999999</v>
      </c>
      <c r="C8" s="13" t="str">
        <f>IF(B8&gt;E42,"Excellent",IF(B8&gt;D42,"Good",IF(B8&gt;C42,"Above Average",IF(B8&gt;B42,"Below Average","Bad"))))</f>
        <v>Excellent</v>
      </c>
      <c r="D8" t="str">
        <f t="shared" si="0"/>
        <v>In the range of the 10% best results</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2.6833333333333336</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2.6</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2.2999999999999998</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2.4</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2.4</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2.5249999999999999</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1">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12</v>
      </c>
    </row>
    <row r="5" spans="1:37">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12</v>
      </c>
    </row>
    <row r="6" spans="1:37">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c r="AK6" s="2">
        <f>IF(MAX(COUNTIF(Data!A6:Z6,1),COUNTIF(Data!A6:Z6,2),COUNTIF(Data!A6:Z6,3),COUNTIF(Data!A6:Z6,4),COUNTIF(Data!A6:Z6,5),COUNTIF(Data!A6:Z6,6),COUNTIF(Data!A6:Z6,7))&gt;0,MAX(COUNTIF(Data!A6:Z6,1),COUNTIF(Data!A6:Z6,2),COUNTIF(Data!A6:Z6,3),COUNTIF(Data!A6:Z6,4),COUNTIF(Data!A6:Z6,5),COUNTIF(Data!A6:Z6,6),COUNTIF(Data!A6:Z6,7)),"")</f>
        <v>9</v>
      </c>
    </row>
    <row r="7" spans="1:37">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4" t="str">
        <f t="shared" si="4"/>
        <v/>
      </c>
      <c r="AD7" s="4" t="str">
        <f t="shared" si="5"/>
        <v/>
      </c>
      <c r="AE7" s="4" t="str">
        <f t="shared" si="6"/>
        <v/>
      </c>
      <c r="AF7" s="4" t="str">
        <f t="shared" si="7"/>
        <v/>
      </c>
      <c r="AG7" s="4" t="str">
        <f t="shared" si="8"/>
        <v/>
      </c>
      <c r="AH7" s="4" t="str">
        <f t="shared" si="9"/>
        <v/>
      </c>
      <c r="AI7" s="2">
        <f t="shared" si="10"/>
        <v>0</v>
      </c>
      <c r="AK7" s="2">
        <f>IF(MAX(COUNTIF(Data!A7:Z7,1),COUNTIF(Data!A7:Z7,2),COUNTIF(Data!A7:Z7,3),COUNTIF(Data!A7:Z7,4),COUNTIF(Data!A7:Z7,5),COUNTIF(Data!A7:Z7,6),COUNTIF(Data!A7:Z7,7))&gt;0,MAX(COUNTIF(Data!A7:Z7,1),COUNTIF(Data!A7:Z7,2),COUNTIF(Data!A7:Z7,3),COUNTIF(Data!A7:Z7,4),COUNTIF(Data!A7:Z7,5),COUNTIF(Data!A7:Z7,6),COUNTIF(Data!A7:Z7,7)),"")</f>
        <v>11</v>
      </c>
    </row>
    <row r="8" spans="1:37">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4" t="str">
        <f t="shared" si="4"/>
        <v/>
      </c>
      <c r="AD8" s="4" t="str">
        <f t="shared" si="5"/>
        <v/>
      </c>
      <c r="AE8" s="4">
        <f t="shared" si="6"/>
        <v>1</v>
      </c>
      <c r="AF8" s="4" t="str">
        <f t="shared" si="7"/>
        <v/>
      </c>
      <c r="AG8" s="4" t="str">
        <f t="shared" si="8"/>
        <v/>
      </c>
      <c r="AH8" s="4" t="str">
        <f t="shared" si="9"/>
        <v/>
      </c>
      <c r="AI8" s="2">
        <f t="shared" si="10"/>
        <v>1</v>
      </c>
      <c r="AK8" s="2">
        <f>IF(MAX(COUNTIF(Data!A8:Z8,1),COUNTIF(Data!A8:Z8,2),COUNTIF(Data!A8:Z8,3),COUNTIF(Data!A8:Z8,4),COUNTIF(Data!A8:Z8,5),COUNTIF(Data!A8:Z8,6),COUNTIF(Data!A8:Z8,7))&gt;0,MAX(COUNTIF(Data!A8:Z8,1),COUNTIF(Data!A8:Z8,2),COUNTIF(Data!A8:Z8,3),COUNTIF(Data!A8:Z8,4),COUNTIF(Data!A8:Z8,5),COUNTIF(Data!A8:Z8,6),COUNTIF(Data!A8:Z8,7)),"")</f>
        <v>9</v>
      </c>
    </row>
    <row r="9" spans="1:37">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c r="AK9" s="2">
        <f>IF(MAX(COUNTIF(Data!A9:Z9,1),COUNTIF(Data!A9:Z9,2),COUNTIF(Data!A9:Z9,3),COUNTIF(Data!A9:Z9,4),COUNTIF(Data!A9:Z9,5),COUNTIF(Data!A9:Z9,6),COUNTIF(Data!A9:Z9,7))&gt;0,MAX(COUNTIF(Data!A9:Z9,1),COUNTIF(Data!A9:Z9,2),COUNTIF(Data!A9:Z9,3),COUNTIF(Data!A9:Z9,4),COUNTIF(Data!A9:Z9,5),COUNTIF(Data!A9:Z9,6),COUNTIF(Data!A9:Z9,7)),"")</f>
        <v>9</v>
      </c>
    </row>
    <row r="10" spans="1:37">
      <c r="A10" s="1">
        <f>IF(Data!A10&gt;0,Data!A10-4,"")</f>
        <v>3</v>
      </c>
      <c r="B10" s="1">
        <f>IF(Data!B10&gt;0,Data!B10-4,"")</f>
        <v>3</v>
      </c>
      <c r="C10" s="1">
        <f>IF(Data!C10&gt;0,4-Data!C10,"")</f>
        <v>1</v>
      </c>
      <c r="D10" s="1">
        <f>IF(Data!D10&gt;0,4-Data!D10,"")</f>
        <v>2</v>
      </c>
      <c r="E10" s="1">
        <f>IF(Data!E10&gt;0,4-Data!E10,"")</f>
        <v>2</v>
      </c>
      <c r="F10" s="1">
        <f>IF(Data!F10&gt;0,Data!F10-4,"")</f>
        <v>3</v>
      </c>
      <c r="G10" s="1">
        <f>IF(Data!G10&gt;0,Data!G10-4,"")</f>
        <v>3</v>
      </c>
      <c r="H10" s="1">
        <f>IF(Data!H10&gt;0,Data!H10-4,"")</f>
        <v>1</v>
      </c>
      <c r="I10" s="1">
        <f>IF(Data!I10&gt;0,4-Data!I10,"")</f>
        <v>2</v>
      </c>
      <c r="J10" s="1">
        <f>IF(Data!J10&gt;0,4-Data!J10,"")</f>
        <v>0</v>
      </c>
      <c r="K10" s="1">
        <f>IF(Data!K10&gt;0,Data!K10-4,"")</f>
        <v>2</v>
      </c>
      <c r="L10" s="1">
        <f>IF(Data!L10&gt;0,4-Data!L10,"")</f>
        <v>2</v>
      </c>
      <c r="M10" s="1">
        <f>IF(Data!M10&gt;0,Data!M10-4,"")</f>
        <v>3</v>
      </c>
      <c r="N10" s="1">
        <f>IF(Data!N10&gt;0,Data!N10-4,"")</f>
        <v>2</v>
      </c>
      <c r="O10" s="1">
        <f>IF(Data!O10&gt;0,Data!O10-4,"")</f>
        <v>3</v>
      </c>
      <c r="P10" s="1">
        <f>IF(Data!P10&gt;0,Data!P10-4,"")</f>
        <v>2</v>
      </c>
      <c r="Q10" s="1">
        <f>IF(Data!Q10&gt;0,4-Data!Q10,"")</f>
        <v>3</v>
      </c>
      <c r="R10" s="1">
        <f>IF(Data!R10&gt;0,4-Data!R10,"")</f>
        <v>3</v>
      </c>
      <c r="S10" s="1">
        <f>IF(Data!S10&gt;0,4-Data!S10,"")</f>
        <v>2</v>
      </c>
      <c r="T10" s="1">
        <f>IF(Data!T10&gt;0,Data!T10-4,"")</f>
        <v>2</v>
      </c>
      <c r="U10" s="1">
        <f>IF(Data!U10&gt;0,4-Data!U10,"")</f>
        <v>2</v>
      </c>
      <c r="V10" s="1">
        <f>IF(Data!V10&gt;0,Data!V10-4,"")</f>
        <v>3</v>
      </c>
      <c r="W10" s="1">
        <f>IF(Data!W10&gt;0,4-Data!W10,"")</f>
        <v>2</v>
      </c>
      <c r="X10" s="1">
        <f>IF(Data!X10&gt;0,4-Data!X10,"")</f>
        <v>3</v>
      </c>
      <c r="Y10" s="1">
        <f>IF(Data!Y10&gt;0,4-Data!Y10,"")</f>
        <v>3</v>
      </c>
      <c r="Z10" s="1">
        <f>IF(Data!Z10&gt;0,Data!Z10-4,"")</f>
        <v>3</v>
      </c>
      <c r="AC10" s="4" t="str">
        <f t="shared" si="4"/>
        <v/>
      </c>
      <c r="AD10" s="4" t="str">
        <f t="shared" si="5"/>
        <v/>
      </c>
      <c r="AE10" s="4" t="str">
        <f t="shared" si="6"/>
        <v/>
      </c>
      <c r="AF10" s="4" t="str">
        <f t="shared" si="7"/>
        <v/>
      </c>
      <c r="AG10" s="4" t="str">
        <f t="shared" si="8"/>
        <v/>
      </c>
      <c r="AH10" s="4" t="str">
        <f t="shared" si="9"/>
        <v/>
      </c>
      <c r="AI10" s="2">
        <f t="shared" si="10"/>
        <v>0</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8</v>
      </c>
    </row>
    <row r="11" spans="1:37">
      <c r="A11" s="1">
        <f>IF(Data!A11&gt;0,Data!A11-4,"")</f>
        <v>3</v>
      </c>
      <c r="B11" s="1">
        <f>IF(Data!B11&gt;0,Data!B11-4,"")</f>
        <v>2</v>
      </c>
      <c r="C11" s="1">
        <f>IF(Data!C11&gt;0,4-Data!C11,"")</f>
        <v>3</v>
      </c>
      <c r="D11" s="1">
        <f>IF(Data!D11&gt;0,4-Data!D11,"")</f>
        <v>2</v>
      </c>
      <c r="E11" s="1">
        <f>IF(Data!E11&gt;0,4-Data!E11,"")</f>
        <v>3</v>
      </c>
      <c r="F11" s="1">
        <f>IF(Data!F11&gt;0,Data!F11-4,"")</f>
        <v>1</v>
      </c>
      <c r="G11" s="1">
        <f>IF(Data!G11&gt;0,Data!G11-4,"")</f>
        <v>3</v>
      </c>
      <c r="H11" s="1">
        <f>IF(Data!H11&gt;0,Data!H11-4,"")</f>
        <v>3</v>
      </c>
      <c r="I11" s="1">
        <f>IF(Data!I11&gt;0,4-Data!I11,"")</f>
        <v>3</v>
      </c>
      <c r="J11" s="1">
        <f>IF(Data!J11&gt;0,4-Data!J11,"")</f>
        <v>3</v>
      </c>
      <c r="K11" s="1">
        <f>IF(Data!K11&gt;0,Data!K11-4,"")</f>
        <v>2</v>
      </c>
      <c r="L11" s="1">
        <f>IF(Data!L11&gt;0,4-Data!L11,"")</f>
        <v>3</v>
      </c>
      <c r="M11" s="1">
        <f>IF(Data!M11&gt;0,Data!M11-4,"")</f>
        <v>2</v>
      </c>
      <c r="N11" s="1">
        <f>IF(Data!N11&gt;0,Data!N11-4,"")</f>
        <v>3</v>
      </c>
      <c r="O11" s="1">
        <f>IF(Data!O11&gt;0,Data!O11-4,"")</f>
        <v>3</v>
      </c>
      <c r="P11" s="1">
        <f>IF(Data!P11&gt;0,Data!P11-4,"")</f>
        <v>2</v>
      </c>
      <c r="Q11" s="1">
        <f>IF(Data!Q11&gt;0,4-Data!Q11,"")</f>
        <v>3</v>
      </c>
      <c r="R11" s="1">
        <f>IF(Data!R11&gt;0,4-Data!R11,"")</f>
        <v>3</v>
      </c>
      <c r="S11" s="1">
        <f>IF(Data!S11&gt;0,4-Data!S11,"")</f>
        <v>3</v>
      </c>
      <c r="T11" s="1">
        <f>IF(Data!T11&gt;0,Data!T11-4,"")</f>
        <v>3</v>
      </c>
      <c r="U11" s="1">
        <f>IF(Data!U11&gt;0,4-Data!U11,"")</f>
        <v>3</v>
      </c>
      <c r="V11" s="1">
        <f>IF(Data!V11&gt;0,Data!V11-4,"")</f>
        <v>2</v>
      </c>
      <c r="W11" s="1">
        <f>IF(Data!W11&gt;0,4-Data!W11,"")</f>
        <v>3</v>
      </c>
      <c r="X11" s="1">
        <f>IF(Data!X11&gt;0,4-Data!X11,"")</f>
        <v>2</v>
      </c>
      <c r="Y11" s="1">
        <f>IF(Data!Y11&gt;0,4-Data!Y11,"")</f>
        <v>3</v>
      </c>
      <c r="Z11" s="1">
        <f>IF(Data!Z11&gt;0,Data!Z11-4,"")</f>
        <v>3</v>
      </c>
      <c r="AC11" s="4" t="str">
        <f t="shared" si="4"/>
        <v/>
      </c>
      <c r="AD11" s="4" t="str">
        <f t="shared" si="5"/>
        <v/>
      </c>
      <c r="AE11" s="4" t="str">
        <f t="shared" si="6"/>
        <v/>
      </c>
      <c r="AF11" s="4" t="str">
        <f t="shared" si="7"/>
        <v/>
      </c>
      <c r="AG11" s="4" t="str">
        <f t="shared" si="8"/>
        <v/>
      </c>
      <c r="AH11" s="4" t="str">
        <f t="shared" si="9"/>
        <v/>
      </c>
      <c r="AI11" s="2">
        <f t="shared" si="10"/>
        <v>0</v>
      </c>
      <c r="AK11" s="2">
        <f>IF(MAX(COUNTIF(Data!A11:Z11,1),COUNTIF(Data!A11:Z11,2),COUNTIF(Data!A11:Z11,3),COUNTIF(Data!A11:Z11,4),COUNTIF(Data!A11:Z11,5),COUNTIF(Data!A11:Z11,6),COUNTIF(Data!A11:Z11,7))&gt;0,MAX(COUNTIF(Data!A11:Z11,1),COUNTIF(Data!A11:Z11,2),COUNTIF(Data!A11:Z11,3),COUNTIF(Data!A11:Z11,4),COUNTIF(Data!A11:Z11,5),COUNTIF(Data!A11:Z11,6),COUNTIF(Data!A11:Z11,7)),"")</f>
        <v>11</v>
      </c>
    </row>
    <row r="12" spans="1:37">
      <c r="A12" s="1">
        <f>IF(Data!A12&gt;0,Data!A12-4,"")</f>
        <v>2</v>
      </c>
      <c r="B12" s="1">
        <f>IF(Data!B12&gt;0,Data!B12-4,"")</f>
        <v>2</v>
      </c>
      <c r="C12" s="1">
        <f>IF(Data!C12&gt;0,4-Data!C12,"")</f>
        <v>2</v>
      </c>
      <c r="D12" s="1">
        <f>IF(Data!D12&gt;0,4-Data!D12,"")</f>
        <v>3</v>
      </c>
      <c r="E12" s="1">
        <f>IF(Data!E12&gt;0,4-Data!E12,"")</f>
        <v>2</v>
      </c>
      <c r="F12" s="1">
        <f>IF(Data!F12&gt;0,Data!F12-4,"")</f>
        <v>1</v>
      </c>
      <c r="G12" s="1">
        <f>IF(Data!G12&gt;0,Data!G12-4,"")</f>
        <v>2</v>
      </c>
      <c r="H12" s="1">
        <f>IF(Data!H12&gt;0,Data!H12-4,"")</f>
        <v>0</v>
      </c>
      <c r="I12" s="1">
        <f>IF(Data!I12&gt;0,4-Data!I12,"")</f>
        <v>2</v>
      </c>
      <c r="J12" s="1">
        <f>IF(Data!J12&gt;0,4-Data!J12,"")</f>
        <v>3</v>
      </c>
      <c r="K12" s="1">
        <f>IF(Data!K12&gt;0,Data!K12-4,"")</f>
        <v>1</v>
      </c>
      <c r="L12" s="1">
        <f>IF(Data!L12&gt;0,4-Data!L12,"")</f>
        <v>3</v>
      </c>
      <c r="M12" s="1">
        <f>IF(Data!M12&gt;0,Data!M12-4,"")</f>
        <v>3</v>
      </c>
      <c r="N12" s="1">
        <f>IF(Data!N12&gt;0,Data!N12-4,"")</f>
        <v>3</v>
      </c>
      <c r="O12" s="1">
        <f>IF(Data!O12&gt;0,Data!O12-4,"")</f>
        <v>2</v>
      </c>
      <c r="P12" s="1">
        <f>IF(Data!P12&gt;0,Data!P12-4,"")</f>
        <v>3</v>
      </c>
      <c r="Q12" s="1">
        <f>IF(Data!Q12&gt;0,4-Data!Q12,"")</f>
        <v>3</v>
      </c>
      <c r="R12" s="1">
        <f>IF(Data!R12&gt;0,4-Data!R12,"")</f>
        <v>3</v>
      </c>
      <c r="S12" s="1">
        <f>IF(Data!S12&gt;0,4-Data!S12,"")</f>
        <v>3</v>
      </c>
      <c r="T12" s="1">
        <f>IF(Data!T12&gt;0,Data!T12-4,"")</f>
        <v>3</v>
      </c>
      <c r="U12" s="1">
        <f>IF(Data!U12&gt;0,4-Data!U12,"")</f>
        <v>2</v>
      </c>
      <c r="V12" s="1">
        <f>IF(Data!V12&gt;0,Data!V12-4,"")</f>
        <v>2</v>
      </c>
      <c r="W12" s="1">
        <f>IF(Data!W12&gt;0,4-Data!W12,"")</f>
        <v>2</v>
      </c>
      <c r="X12" s="1">
        <f>IF(Data!X12&gt;0,4-Data!X12,"")</f>
        <v>3</v>
      </c>
      <c r="Y12" s="1">
        <f>IF(Data!Y12&gt;0,4-Data!Y12,"")</f>
        <v>3</v>
      </c>
      <c r="Z12" s="1">
        <f>IF(Data!Z12&gt;0,Data!Z12-4,"")</f>
        <v>3</v>
      </c>
      <c r="AC12" s="4" t="str">
        <f t="shared" si="4"/>
        <v/>
      </c>
      <c r="AD12" s="4" t="str">
        <f t="shared" si="5"/>
        <v/>
      </c>
      <c r="AE12" s="4" t="str">
        <f t="shared" si="6"/>
        <v/>
      </c>
      <c r="AF12" s="4" t="str">
        <f t="shared" si="7"/>
        <v/>
      </c>
      <c r="AG12" s="4" t="str">
        <f t="shared" si="8"/>
        <v/>
      </c>
      <c r="AH12" s="4" t="str">
        <f t="shared" si="9"/>
        <v/>
      </c>
      <c r="AI12" s="2">
        <f t="shared" si="10"/>
        <v>0</v>
      </c>
      <c r="AK12" s="2">
        <f>IF(MAX(COUNTIF(Data!A12:Z12,1),COUNTIF(Data!A12:Z12,2),COUNTIF(Data!A12:Z12,3),COUNTIF(Data!A12:Z12,4),COUNTIF(Data!A12:Z12,5),COUNTIF(Data!A12:Z12,6),COUNTIF(Data!A12:Z12,7))&gt;0,MAX(COUNTIF(Data!A12:Z12,1),COUNTIF(Data!A12:Z12,2),COUNTIF(Data!A12:Z12,3),COUNTIF(Data!A12:Z12,4),COUNTIF(Data!A12:Z12,5),COUNTIF(Data!A12:Z12,6),COUNTIF(Data!A12:Z12,7)),"")</f>
        <v>8</v>
      </c>
    </row>
    <row r="13" spans="1:37">
      <c r="A13" s="1">
        <f>IF(Data!A13&gt;0,Data!A13-4,"")</f>
        <v>3</v>
      </c>
      <c r="B13" s="1">
        <f>IF(Data!B13&gt;0,Data!B13-4,"")</f>
        <v>3</v>
      </c>
      <c r="C13" s="1">
        <f>IF(Data!C13&gt;0,4-Data!C13,"")</f>
        <v>2</v>
      </c>
      <c r="D13" s="1">
        <f>IF(Data!D13&gt;0,4-Data!D13,"")</f>
        <v>3</v>
      </c>
      <c r="E13" s="1">
        <f>IF(Data!E13&gt;0,4-Data!E13,"")</f>
        <v>3</v>
      </c>
      <c r="F13" s="1">
        <f>IF(Data!F13&gt;0,Data!F13-4,"")</f>
        <v>2</v>
      </c>
      <c r="G13" s="1">
        <f>IF(Data!G13&gt;0,Data!G13-4,"")</f>
        <v>1</v>
      </c>
      <c r="H13" s="1">
        <f>IF(Data!H13&gt;0,Data!H13-4,"")</f>
        <v>2</v>
      </c>
      <c r="I13" s="1">
        <f>IF(Data!I13&gt;0,4-Data!I13,"")</f>
        <v>3</v>
      </c>
      <c r="J13" s="1">
        <f>IF(Data!J13&gt;0,4-Data!J13,"")</f>
        <v>3</v>
      </c>
      <c r="K13" s="1">
        <f>IF(Data!K13&gt;0,Data!K13-4,"")</f>
        <v>2</v>
      </c>
      <c r="L13" s="1">
        <f>IF(Data!L13&gt;0,4-Data!L13,"")</f>
        <v>3</v>
      </c>
      <c r="M13" s="1">
        <f>IF(Data!M13&gt;0,Data!M13-4,"")</f>
        <v>3</v>
      </c>
      <c r="N13" s="1">
        <f>IF(Data!N13&gt;0,Data!N13-4,"")</f>
        <v>3</v>
      </c>
      <c r="O13" s="1">
        <f>IF(Data!O13&gt;0,Data!O13-4,"")</f>
        <v>2</v>
      </c>
      <c r="P13" s="1">
        <f>IF(Data!P13&gt;0,Data!P13-4,"")</f>
        <v>3</v>
      </c>
      <c r="Q13" s="1">
        <f>IF(Data!Q13&gt;0,4-Data!Q13,"")</f>
        <v>3</v>
      </c>
      <c r="R13" s="1">
        <f>IF(Data!R13&gt;0,4-Data!R13,"")</f>
        <v>3</v>
      </c>
      <c r="S13" s="1">
        <f>IF(Data!S13&gt;0,4-Data!S13,"")</f>
        <v>3</v>
      </c>
      <c r="T13" s="1">
        <f>IF(Data!T13&gt;0,Data!T13-4,"")</f>
        <v>3</v>
      </c>
      <c r="U13" s="1">
        <f>IF(Data!U13&gt;0,4-Data!U13,"")</f>
        <v>3</v>
      </c>
      <c r="V13" s="1">
        <f>IF(Data!V13&gt;0,Data!V13-4,"")</f>
        <v>2</v>
      </c>
      <c r="W13" s="1">
        <f>IF(Data!W13&gt;0,4-Data!W13,"")</f>
        <v>3</v>
      </c>
      <c r="X13" s="1">
        <f>IF(Data!X13&gt;0,4-Data!X13,"")</f>
        <v>3</v>
      </c>
      <c r="Y13" s="1">
        <f>IF(Data!Y13&gt;0,4-Data!Y13,"")</f>
        <v>3</v>
      </c>
      <c r="Z13" s="1">
        <f>IF(Data!Z13&gt;0,Data!Z13-4,"")</f>
        <v>3</v>
      </c>
      <c r="AC13" s="4" t="str">
        <f t="shared" si="4"/>
        <v/>
      </c>
      <c r="AD13" s="4" t="str">
        <f t="shared" si="5"/>
        <v/>
      </c>
      <c r="AE13" s="4" t="str">
        <f t="shared" si="6"/>
        <v/>
      </c>
      <c r="AF13" s="4" t="str">
        <f t="shared" si="7"/>
        <v/>
      </c>
      <c r="AG13" s="4" t="str">
        <f t="shared" si="8"/>
        <v/>
      </c>
      <c r="AH13" s="4" t="str">
        <f t="shared" si="9"/>
        <v/>
      </c>
      <c r="AI13" s="2">
        <f t="shared" si="10"/>
        <v>0</v>
      </c>
      <c r="AK13" s="2">
        <f>IF(MAX(COUNTIF(Data!A13:Z13,1),COUNTIF(Data!A13:Z13,2),COUNTIF(Data!A13:Z13,3),COUNTIF(Data!A13:Z13,4),COUNTIF(Data!A13:Z13,5),COUNTIF(Data!A13:Z13,6),COUNTIF(Data!A13:Z13,7))&gt;0,MAX(COUNTIF(Data!A13:Z13,1),COUNTIF(Data!A13:Z13,2),COUNTIF(Data!A13:Z13,3),COUNTIF(Data!A13:Z13,4),COUNTIF(Data!A13:Z13,5),COUNTIF(Data!A13:Z13,6),COUNTIF(Data!A13:Z13,7)),"")</f>
        <v>12</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0.22838671990104961</v>
      </c>
    </row>
    <row r="5" spans="1:7">
      <c r="A5" s="9" t="str">
        <f>VLOOKUP(Read_First!B5,Items!A1:BI50,55,FALSE)</f>
        <v>Perspicuity</v>
      </c>
      <c r="B5" s="6">
        <f>SQRT(VAR(DT!AD4:AD1004))</f>
        <v>0.29344694769431789</v>
      </c>
    </row>
    <row r="6" spans="1:7">
      <c r="A6" s="9" t="str">
        <f>VLOOKUP(Read_First!B5,Items!A1:BI50,56,FALSE)</f>
        <v>Efficiency</v>
      </c>
      <c r="B6" s="6">
        <f>SQRT(VAR(DT!AE4:AE1004))</f>
        <v>0.52440442408507593</v>
      </c>
    </row>
    <row r="7" spans="1:7">
      <c r="A7" s="9" t="str">
        <f>VLOOKUP(Read_First!B5,Items!A1:BI50,57,FALSE)</f>
        <v>Dependability</v>
      </c>
      <c r="B7" s="6">
        <f>SQRT(VAR(DT!AF4:AF1004))</f>
        <v>0.3374742788552762</v>
      </c>
    </row>
    <row r="8" spans="1:7">
      <c r="A8" s="9" t="str">
        <f>VLOOKUP(Read_First!B5,Items!A1:BI50,58,FALSE)</f>
        <v>Stimulation</v>
      </c>
      <c r="B8" s="6">
        <f>SQRT(VAR(DT!AG4:AG1004))</f>
        <v>0.31622776601683766</v>
      </c>
    </row>
    <row r="9" spans="1:7">
      <c r="A9" s="9" t="str">
        <f>VLOOKUP(Read_First!B5,Items!A1:BI50,59,FALSE)</f>
        <v>Novelty</v>
      </c>
      <c r="B9" s="6">
        <f>SQRT(VAR(DT!AH4:AH1004))</f>
        <v>0.41583249832915475</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0.56802777777777769</v>
      </c>
      <c r="C12" s="4">
        <f>POWER((1.65*B5)/0.5,2)</f>
        <v>0.93775000000000674</v>
      </c>
      <c r="D12" s="4">
        <f>POWER((1.65*B6)/0.5,2)</f>
        <v>2.9947500000000011</v>
      </c>
      <c r="E12" s="4">
        <f>POWER((1.65*B7)/0.5,2)</f>
        <v>1.2402499999999983</v>
      </c>
      <c r="F12" s="4">
        <f>POWER((1.65*B8)/0.5,2)</f>
        <v>1.0889999999999982</v>
      </c>
      <c r="G12" s="4">
        <f>POWER((1.65*B9)/0.5,2)</f>
        <v>1.8830624999999979</v>
      </c>
    </row>
    <row r="13" spans="1:7">
      <c r="A13" s="90" t="s">
        <v>832</v>
      </c>
      <c r="B13" s="4">
        <f>POWER((1.96*B4)/0.5,2)</f>
        <v>0.80151901234567891</v>
      </c>
      <c r="C13" s="4">
        <f>POWER((1.96*B5)/0.5,2)</f>
        <v>1.3232177777777876</v>
      </c>
      <c r="D13" s="4">
        <f>POWER((1.96*B6)/0.5,2)</f>
        <v>4.225760000000002</v>
      </c>
      <c r="E13" s="4">
        <f>POWER((1.96*B7)/0.5,2)</f>
        <v>1.7500622222222195</v>
      </c>
      <c r="F13" s="4">
        <f>POWER((1.96*B8)/0.5,2)</f>
        <v>1.5366399999999973</v>
      </c>
      <c r="G13" s="4">
        <f>POWER((1.96*B9)/0.5,2)</f>
        <v>2.6571066666666638</v>
      </c>
    </row>
    <row r="14" spans="1:7">
      <c r="A14" s="90" t="s">
        <v>833</v>
      </c>
      <c r="B14" s="4">
        <f>POWER((2.58*B4)/0.5,2)</f>
        <v>1.3888044444444443</v>
      </c>
      <c r="C14" s="4">
        <f>POWER((2.58*B5)/0.5,2)</f>
        <v>2.2927600000000168</v>
      </c>
      <c r="D14" s="4">
        <f>POWER((2.58*B6)/0.5,2)</f>
        <v>7.3220400000000048</v>
      </c>
      <c r="E14" s="4">
        <f>POWER((2.58*B7)/0.5,2)</f>
        <v>3.0323599999999957</v>
      </c>
      <c r="F14" s="4">
        <f>POWER((2.58*B8)/0.5,2)</f>
        <v>2.6625599999999956</v>
      </c>
      <c r="G14" s="4">
        <f>POWER((2.58*B9)/0.5,2)</f>
        <v>4.6040099999999944</v>
      </c>
    </row>
    <row r="15" spans="1:7">
      <c r="A15" s="90" t="s">
        <v>834</v>
      </c>
      <c r="B15" s="4">
        <f>POWER((1.65*B4)/0.25,2)</f>
        <v>2.2721111111111107</v>
      </c>
      <c r="C15" s="4">
        <f>POWER((1.65*B5)/0.25,2)</f>
        <v>3.751000000000027</v>
      </c>
      <c r="D15" s="4">
        <f>POWER((1.65*B6)/0.25,2)</f>
        <v>11.979000000000005</v>
      </c>
      <c r="E15" s="4">
        <f>POWER((1.65*B7)/0.25,2)</f>
        <v>4.9609999999999932</v>
      </c>
      <c r="F15" s="4">
        <f>POWER((1.65*B8)/0.25,2)</f>
        <v>4.3559999999999928</v>
      </c>
      <c r="G15" s="4">
        <f>POWER((1.65*B9)/0.25,2)</f>
        <v>7.5322499999999915</v>
      </c>
    </row>
    <row r="16" spans="1:7">
      <c r="A16" s="90" t="s">
        <v>835</v>
      </c>
      <c r="B16" s="4">
        <f>POWER((1.96*B4)/0.25,2)</f>
        <v>3.2060760493827156</v>
      </c>
      <c r="C16" s="4">
        <f>POWER((1.96*B5)/0.25,2)</f>
        <v>5.2928711111111504</v>
      </c>
      <c r="D16" s="4">
        <f>POWER((1.96*B6)/0.25,2)</f>
        <v>16.903040000000008</v>
      </c>
      <c r="E16" s="4">
        <f>POWER((1.96*B7)/0.25,2)</f>
        <v>7.0002488888888781</v>
      </c>
      <c r="F16" s="4">
        <f>POWER((1.96*B8)/0.25,2)</f>
        <v>6.1465599999999894</v>
      </c>
      <c r="G16" s="4">
        <f>POWER((1.96*B9)/0.25,2)</f>
        <v>10.628426666666655</v>
      </c>
    </row>
    <row r="17" spans="1:7">
      <c r="A17" s="90" t="s">
        <v>836</v>
      </c>
      <c r="B17" s="4">
        <f>POWER((2.58*B4)/0.25,2)</f>
        <v>5.5552177777777771</v>
      </c>
      <c r="C17" s="4">
        <f>POWER((2.58*B5)/0.25,2)</f>
        <v>9.1710400000000671</v>
      </c>
      <c r="D17" s="4">
        <f>POWER((2.58*B6)/0.25,2)</f>
        <v>29.288160000000019</v>
      </c>
      <c r="E17" s="4">
        <f>POWER((2.58*B7)/0.25,2)</f>
        <v>12.129439999999983</v>
      </c>
      <c r="F17" s="4">
        <f>POWER((2.58*B8)/0.25,2)</f>
        <v>10.650239999999982</v>
      </c>
      <c r="G17" s="4">
        <f>POWER((2.58*B9)/0.25,2)</f>
        <v>18.416039999999978</v>
      </c>
    </row>
    <row r="18" spans="1:7">
      <c r="A18" s="90" t="s">
        <v>837</v>
      </c>
      <c r="B18" s="4">
        <f>POWER((1.65*B4)/0.1,2)</f>
        <v>14.200694444444439</v>
      </c>
      <c r="C18" s="4">
        <f>POWER((1.65*B5)/0.1,2)</f>
        <v>23.443750000000168</v>
      </c>
      <c r="D18" s="4">
        <f>POWER((1.65*B6)/0.1,2)</f>
        <v>74.86875000000002</v>
      </c>
      <c r="E18" s="4">
        <f>POWER((1.65*B7)/0.1,2)</f>
        <v>31.006249999999948</v>
      </c>
      <c r="F18" s="4">
        <f>POWER((1.65*B8)/0.1,2)</f>
        <v>27.224999999999952</v>
      </c>
      <c r="G18" s="4">
        <f>POWER((1.65*B9)/0.1,2)</f>
        <v>47.076562499999945</v>
      </c>
    </row>
    <row r="19" spans="1:7">
      <c r="A19" s="90" t="s">
        <v>838</v>
      </c>
      <c r="B19" s="4">
        <f>POWER((1.96*B4)/0.1,2)</f>
        <v>20.037975308641968</v>
      </c>
      <c r="C19" s="4">
        <f>POWER((1.96*B5)/0.1,2)</f>
        <v>33.08044444444468</v>
      </c>
      <c r="D19" s="4">
        <f>POWER((1.96*B6)/0.1,2)</f>
        <v>105.64400000000001</v>
      </c>
      <c r="E19" s="4">
        <f>POWER((1.96*B7)/0.1,2)</f>
        <v>43.751555555555484</v>
      </c>
      <c r="F19" s="4">
        <f>POWER((1.96*B8)/0.1,2)</f>
        <v>38.415999999999926</v>
      </c>
      <c r="G19" s="4">
        <f>POWER((1.96*B9)/0.1,2)</f>
        <v>66.427666666666596</v>
      </c>
    </row>
    <row r="20" spans="1:7">
      <c r="A20" s="91" t="s">
        <v>839</v>
      </c>
      <c r="B20" s="4">
        <f>POWER((2.58*B4)/0.1,2)</f>
        <v>34.720111111111102</v>
      </c>
      <c r="C20" s="4">
        <f>POWER((2.58*B5)/0.1,2)</f>
        <v>57.319000000000422</v>
      </c>
      <c r="D20" s="4">
        <f>POWER((2.58*B6)/0.1,2)</f>
        <v>183.05100000000013</v>
      </c>
      <c r="E20" s="4">
        <f>POWER((2.58*B7)/0.1,2)</f>
        <v>75.808999999999898</v>
      </c>
      <c r="F20" s="4">
        <f>POWER((2.58*B8)/0.1,2)</f>
        <v>66.563999999999879</v>
      </c>
      <c r="G20" s="4">
        <f>POWER((2.58*B9)/0.1,2)</f>
        <v>115.10024999999985</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2.357843137254902</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2.375</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2.5</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2.6833333333333331</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2.2430555555555554</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2.6790123456790123</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f>IF(G10&gt;0,DT!AC10*I10+DT!AD10*J10+DT!AE10*K10+DT!AF10*L10+DT!AG10*M10+DT!AH10*N10,"")</f>
        <v>2.270833333333333</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f>IF(G11&gt;0,DT!AC11*I11+DT!AD11*J11+DT!AE11*K11+DT!AF11*L11+DT!AG11*M11+DT!AH11*N11,"")</f>
        <v>2.661111111111111</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f>IF(G12&gt;0,DT!AC12*I12+DT!AD12*J12+DT!AE12*K12+DT!AF12*L12+DT!AG12*M12+DT!AH12*N12,"")</f>
        <v>2.3130630630630633</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f>IF(G13&gt;0,DT!AC13*I13+DT!AD13*J13+DT!AE13*K13+DT!AF13*L13+DT!AG13*M13+DT!AH13*N13,"")</f>
        <v>2.6730769230769229</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t="e">
        <f>IF(G14&gt;0,DT!AC14*I14+DT!AD14*J14+DT!AE14*K14+DT!AF14*L14+DT!AG14*M14+DT!AH14*N14,"")</f>
        <v>#VALUE!</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t="e">
        <f>IF(G15&gt;0,DT!AC15*I15+DT!AD15*J15+DT!AE15*K15+DT!AF15*L15+DT!AG15*M15+DT!AH15*N15,"")</f>
        <v>#VALUE!</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t="e">
        <f>IF(G16&gt;0,DT!AC16*I16+DT!AD16*J16+DT!AE16*K16+DT!AF16*L16+DT!AG16*M16+DT!AH16*N16,"")</f>
        <v>#VALUE!</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t="e">
        <f>IF(G17&gt;0,DT!AC17*I17+DT!AD17*J17+DT!AE17*K17+DT!AF17*L17+DT!AG17*M17+DT!AH17*N17,"")</f>
        <v>#VALUE!</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t="e">
        <f>IF(G18&gt;0,DT!AC18*I18+DT!AD18*J18+DT!AE18*K18+DT!AF18*L18+DT!AG18*M18+DT!AH18*N18,"")</f>
        <v>#VALUE!</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t="e">
        <f>IF(G19&gt;0,DT!AC19*I19+DT!AD19*J19+DT!AE19*K19+DT!AF19*L19+DT!AG19*M19+DT!AH19*N19,"")</f>
        <v>#VALUE!</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Riccardo Caprile</cp:lastModifiedBy>
  <dcterms:created xsi:type="dcterms:W3CDTF">2012-03-20T13:56:56Z</dcterms:created>
  <dcterms:modified xsi:type="dcterms:W3CDTF">2024-07-02T11:17:08Z</dcterms:modified>
</cp:coreProperties>
</file>